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\\NT-SFCDC-3\Bureautique\Bureau\PARTAGE\Label Bas Carbone\04_Auxerre\2025\RAINACHE\"/>
    </mc:Choice>
  </mc:AlternateContent>
  <xr:revisionPtr revIDLastSave="0" documentId="13_ncr:1_{BDD464F2-9B48-4F18-9351-A95C5633C5C2}" xr6:coauthVersionLast="47" xr6:coauthVersionMax="47" xr10:uidLastSave="{00000000-0000-0000-0000-000000000000}"/>
  <bookViews>
    <workbookView xWindow="-120" yWindow="-120" windowWidth="29040" windowHeight="1584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0" i="6" l="1"/>
  <c r="B276" i="1"/>
  <c r="D276" i="1" s="1"/>
  <c r="D275" i="1"/>
  <c r="D274" i="1"/>
  <c r="D273" i="1"/>
  <c r="D272" i="1"/>
  <c r="D271" i="1"/>
  <c r="D270" i="1"/>
  <c r="B251" i="1"/>
  <c r="D251" i="1" s="1"/>
  <c r="D250" i="1"/>
  <c r="D249" i="1"/>
  <c r="D248" i="1"/>
  <c r="D247" i="1"/>
  <c r="D246" i="1"/>
  <c r="D245" i="1"/>
  <c r="B225" i="1"/>
  <c r="B224" i="1"/>
  <c r="B223" i="1"/>
  <c r="B222" i="1"/>
  <c r="B221" i="1"/>
  <c r="B220" i="1"/>
  <c r="B219" i="1"/>
  <c r="B218" i="1"/>
  <c r="B199" i="1"/>
  <c r="B198" i="1"/>
  <c r="B197" i="1"/>
  <c r="B196" i="1"/>
  <c r="B195" i="1"/>
  <c r="B194" i="1"/>
  <c r="B193" i="1"/>
  <c r="B192" i="1"/>
  <c r="D173" i="1"/>
  <c r="B173" i="1"/>
  <c r="D172" i="1"/>
  <c r="B172" i="1"/>
  <c r="D171" i="1"/>
  <c r="B171" i="1"/>
  <c r="D170" i="1"/>
  <c r="B170" i="1"/>
  <c r="D169" i="1"/>
  <c r="B169" i="1"/>
  <c r="D168" i="1"/>
  <c r="B168" i="1"/>
  <c r="D167" i="1"/>
  <c r="B167" i="1"/>
  <c r="D166" i="1"/>
  <c r="B166" i="1"/>
  <c r="D147" i="1"/>
  <c r="B147" i="1"/>
  <c r="D146" i="1"/>
  <c r="B146" i="1"/>
  <c r="D145" i="1"/>
  <c r="B145" i="1"/>
  <c r="D144" i="1"/>
  <c r="B144" i="1"/>
  <c r="D143" i="1"/>
  <c r="B143" i="1"/>
  <c r="D142" i="1"/>
  <c r="B142" i="1"/>
  <c r="D141" i="1"/>
  <c r="B141" i="1"/>
  <c r="D140" i="1"/>
  <c r="B140" i="1"/>
  <c r="D121" i="1"/>
  <c r="D120" i="1"/>
  <c r="D119" i="1"/>
  <c r="D118" i="1"/>
  <c r="D117" i="1"/>
  <c r="D116" i="1"/>
  <c r="D115" i="1"/>
  <c r="B95" i="1"/>
  <c r="D95" i="1" s="1"/>
  <c r="D94" i="1"/>
  <c r="D93" i="1"/>
  <c r="D92" i="1"/>
  <c r="D91" i="1"/>
  <c r="D90" i="1"/>
  <c r="D89" i="1"/>
  <c r="D70" i="1"/>
  <c r="B70" i="1"/>
  <c r="D69" i="1"/>
  <c r="B69" i="1"/>
  <c r="D68" i="1"/>
  <c r="B68" i="1"/>
  <c r="D67" i="1"/>
  <c r="B67" i="1"/>
  <c r="D66" i="1"/>
  <c r="B66" i="1"/>
  <c r="D65" i="1"/>
  <c r="B65" i="1"/>
  <c r="D64" i="1"/>
  <c r="B64" i="1"/>
  <c r="D63" i="1"/>
  <c r="B63" i="1"/>
  <c r="B62" i="1"/>
  <c r="D43" i="1"/>
  <c r="B43" i="1"/>
  <c r="D42" i="1"/>
  <c r="B42" i="1"/>
  <c r="D41" i="1"/>
  <c r="B41" i="1"/>
  <c r="D40" i="1"/>
  <c r="B40" i="1"/>
  <c r="D39" i="1"/>
  <c r="B39" i="1"/>
  <c r="D38" i="1"/>
  <c r="B38" i="1"/>
  <c r="D37" i="1"/>
  <c r="B37" i="1"/>
  <c r="B36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EC4" i="2"/>
  <c r="FR4" i="2"/>
  <c r="BR4" i="2"/>
  <c r="BQ4" i="2"/>
  <c r="EA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B10" i="2"/>
  <c r="HG10" i="2"/>
  <c r="EA10" i="2"/>
  <c r="HH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EV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EX14" i="2"/>
  <c r="HG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FS18" i="2" l="1"/>
  <c r="EX18" i="2"/>
  <c r="EV18" i="2"/>
  <c r="EW18" i="2"/>
  <c r="HG18" i="2"/>
  <c r="EA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HH20" i="2" l="1"/>
  <c r="EC20" i="2"/>
  <c r="EW20" i="2"/>
  <c r="EV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V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EA22" i="2"/>
  <c r="EB22" i="2"/>
  <c r="EW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FR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I28" i="2" l="1"/>
  <c r="FS28" i="2"/>
  <c r="EC28" i="2"/>
  <c r="EB28" i="2"/>
  <c r="HG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V33" i="2" l="1"/>
  <c r="EW33" i="2"/>
  <c r="EB33" i="2"/>
  <c r="HG33" i="2"/>
  <c r="HH33" i="2"/>
  <c r="EA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FQ35" i="2" l="1"/>
  <c r="HH35" i="2"/>
  <c r="EB35" i="2"/>
  <c r="EA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EA38" i="2"/>
  <c r="HH38" i="2"/>
  <c r="EX38" i="2"/>
  <c r="HI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HG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DG43" i="2" l="1"/>
  <c r="EA43" i="2"/>
  <c r="HI43" i="2"/>
  <c r="H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EC44" i="2"/>
  <c r="EW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EW46" i="2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EV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I57" i="2" l="1"/>
  <c r="EB57" i="2"/>
  <c r="HG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HH59" i="2" l="1"/>
  <c r="EA59" i="2"/>
  <c r="EC59" i="2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G60" i="2"/>
  <c r="EW60" i="2"/>
  <c r="EV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X61" i="2"/>
  <c r="EA61" i="2"/>
  <c r="EV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C63" i="2" l="1"/>
  <c r="EB63" i="2"/>
  <c r="HG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HH64" i="2"/>
  <c r="EC64" i="2"/>
  <c r="EV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X72" i="2" l="1"/>
  <c r="HH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FS75" i="2" l="1"/>
  <c r="HG75" i="2"/>
  <c r="EA75" i="2"/>
  <c r="EB75" i="2"/>
  <c r="HH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H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HI77" i="2" l="1"/>
  <c r="EB77" i="2"/>
  <c r="EA77" i="2"/>
  <c r="EW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HI78" i="2" l="1"/>
  <c r="EV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EB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EV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EV85" i="2"/>
  <c r="EW85" i="2"/>
  <c r="HG85" i="2"/>
  <c r="HH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HI98" i="2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W100" i="2" l="1"/>
  <c r="EX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EX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HH105" i="2"/>
  <c r="FS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X107" i="2" l="1"/>
  <c r="EA107" i="2"/>
  <c r="HG107" i="2"/>
  <c r="EC107" i="2"/>
  <c r="EB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X109" i="2" l="1"/>
  <c r="EB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FQ112" i="2"/>
  <c r="EC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C113" i="2" l="1"/>
  <c r="EW113" i="2"/>
  <c r="EX113" i="2"/>
  <c r="FS113" i="2"/>
  <c r="HI113" i="2"/>
  <c r="EB113" i="2"/>
  <c r="HG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C116" i="2"/>
  <c r="EV116" i="2"/>
  <c r="HG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HH118" i="2" l="1"/>
  <c r="EX118" i="2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EX120" i="2" l="1"/>
  <c r="FQ120" i="2"/>
  <c r="FR120" i="2"/>
  <c r="HI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FS122" i="2"/>
  <c r="HI122" i="2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EX124" i="2"/>
  <c r="HG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HI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FS126" i="2" l="1"/>
  <c r="EA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FS127" i="2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HG128" i="2" l="1"/>
  <c r="FS128" i="2"/>
  <c r="EX128" i="2"/>
  <c r="EB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B130" i="2"/>
  <c r="EX130" i="2"/>
  <c r="EW130" i="2"/>
  <c r="HG130" i="2"/>
  <c r="FS130" i="2"/>
  <c r="HH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S132" i="2" s="1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HI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HH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W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C140" i="2" l="1"/>
  <c r="HH140" i="2"/>
  <c r="EX140" i="2"/>
  <c r="EB140" i="2"/>
  <c r="FR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HH141" i="2"/>
  <c r="EA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A144" i="2" l="1"/>
  <c r="FR144" i="2"/>
  <c r="HG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G145" i="2"/>
  <c r="EA145" i="2"/>
  <c r="EB145" i="2"/>
  <c r="HH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FS146" i="2"/>
  <c r="EA146" i="2"/>
  <c r="HI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C149" i="2" l="1"/>
  <c r="EX149" i="2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EV150" i="2"/>
  <c r="FS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B152" i="2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AC154" i="2" s="1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EX155" i="2" l="1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HI156" i="2" l="1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HG158" i="2" s="1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EW158" i="2" s="1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AU158" i="2" l="1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C159" i="2" l="1"/>
  <c r="HI159" i="2"/>
  <c r="HH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EX161" i="2"/>
  <c r="FS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X164" i="2"/>
  <c r="EV164" i="2"/>
  <c r="FR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FS166" i="2" l="1"/>
  <c r="HG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C167" i="2" l="1"/>
  <c r="EB167" i="2"/>
  <c r="HH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HH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I172" i="2" l="1"/>
  <c r="EW172" i="2"/>
  <c r="EA172" i="2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W173" i="2" l="1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C174" i="2" s="1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HG174" i="2" l="1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EA175" i="2" s="1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A178" i="2" l="1"/>
  <c r="EB178" i="2"/>
  <c r="HH178" i="2"/>
  <c r="HG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DF179" i="2" s="1"/>
  <c r="CG179" i="2"/>
  <c r="W179" i="2"/>
  <c r="AX176" i="2"/>
  <c r="ED178" i="2"/>
  <c r="EV179" i="2" l="1"/>
  <c r="HI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HG181" i="2" l="1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D184" i="2"/>
  <c r="EV185" i="2" l="1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EB187" i="2" l="1"/>
  <c r="HH187" i="2"/>
  <c r="HG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C189" i="2" l="1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W190" i="2" l="1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B192" i="2" s="1"/>
  <c r="ES192" i="2"/>
  <c r="EV192" i="2" s="1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EA192" i="2"/>
  <c r="HH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A195" i="2" s="1"/>
  <c r="AX192" i="2"/>
  <c r="EY194" i="2" l="1"/>
  <c r="EA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EA197" i="2" s="1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FS199" i="2" s="1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H199" i="2"/>
  <c r="HG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D200" i="2"/>
  <c r="DI200" i="2"/>
  <c r="FS201" i="2" l="1"/>
  <c r="EB201" i="2"/>
  <c r="HI201" i="2"/>
  <c r="EX201" i="2"/>
  <c r="AI5" i="2"/>
  <c r="EW201" i="2"/>
  <c r="EC201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FR202" i="2" s="1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AH92" i="2" a="1"/>
  <c r="AH92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AH151" i="2" a="1"/>
  <c r="AH151" i="2" s="1"/>
  <c r="DN103" i="2" a="1"/>
  <c r="DN103" i="2" s="1"/>
  <c r="DN114" i="2" a="1"/>
  <c r="DN114" i="2" s="1"/>
  <c r="CS77" i="2" a="1"/>
  <c r="CS77" i="2" s="1"/>
  <c r="AH90" i="2" a="1"/>
  <c r="AH90" i="2" s="1"/>
  <c r="AH19" i="2" a="1"/>
  <c r="AH19" i="2" s="1"/>
  <c r="AH166" i="2" a="1"/>
  <c r="AH166" i="2" s="1"/>
  <c r="AH199" i="2" a="1"/>
  <c r="AH199" i="2" s="1"/>
  <c r="AH62" i="2" a="1"/>
  <c r="AH62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FR203" i="2" l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FK3" i="2" s="1"/>
  <c r="D13" i="4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AJ33" i="2"/>
  <c r="AK33" i="2" s="1"/>
  <c r="AL33" i="2" s="1"/>
  <c r="AM33" i="2" s="1"/>
  <c r="AO3" i="2" s="1"/>
  <c r="HA3" i="2" l="1"/>
  <c r="D15" i="4" s="1"/>
  <c r="T85" i="2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FE65" i="2" l="1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GZ3" i="2" l="1"/>
  <c r="C15" i="4" s="1"/>
  <c r="E15" i="4" s="1"/>
  <c r="F15" i="4" s="1"/>
  <c r="G15" i="4" s="1"/>
  <c r="L15" i="4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E11" i="2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85" i="2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J155" i="2" l="1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CD60" i="2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FE115" i="2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FE202" i="2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<sst xmlns="http://schemas.openxmlformats.org/spreadsheetml/2006/main" count="1179" uniqueCount="324">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</sst>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4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1.9371373631158919</c:v>
                </c:pt>
                <c:pt idx="2">
                  <c:v>2.582043612011879</c:v>
                </c:pt>
                <c:pt idx="3">
                  <c:v>3.4425466249226413</c:v>
                </c:pt>
                <c:pt idx="4">
                  <c:v>4.591004491739012</c:v>
                </c:pt>
                <c:pt idx="5">
                  <c:v>6.124148648935722</c:v>
                </c:pt>
                <c:pt idx="6">
                  <c:v>8.1713216117174081</c:v>
                </c:pt>
                <c:pt idx="7">
                  <c:v>10.905507543402789</c:v>
                </c:pt>
                <c:pt idx="8">
                  <c:v>14.558105199493902</c:v>
                </c:pt>
                <c:pt idx="9">
                  <c:v>19.438716447552824</c:v>
                </c:pt>
                <c:pt idx="10">
                  <c:v>25.96165780940046</c:v>
                </c:pt>
                <c:pt idx="11">
                  <c:v>34.681485159077681</c:v>
                </c:pt>
                <c:pt idx="12">
                  <c:v>46.340603684565174</c:v>
                </c:pt>
                <c:pt idx="13">
                  <c:v>61.933084777661577</c:v>
                </c:pt>
                <c:pt idx="14">
                  <c:v>82.790220394132618</c:v>
                </c:pt>
                <c:pt idx="15">
                  <c:v>110.69523687133828</c:v>
                </c:pt>
                <c:pt idx="16">
                  <c:v>148.03712979275406</c:v>
                </c:pt>
                <c:pt idx="17">
                  <c:v>198.01699175113845</c:v>
                </c:pt>
                <c:pt idx="18">
                  <c:v>225.9481518705777</c:v>
                </c:pt>
                <c:pt idx="19">
                  <c:v>167.1629650420995</c:v>
                </c:pt>
                <c:pt idx="20">
                  <c:v>192.18884671776516</c:v>
                </c:pt>
                <c:pt idx="21">
                  <c:v>217.13883006272945</c:v>
                </c:pt>
                <c:pt idx="22">
                  <c:v>242.02286551975575</c:v>
                </c:pt>
                <c:pt idx="23">
                  <c:v>266.84868654930165</c:v>
                </c:pt>
                <c:pt idx="24">
                  <c:v>291.62246862735793</c:v>
                </c:pt>
                <c:pt idx="25">
                  <c:v>267.83973843136442</c:v>
                </c:pt>
                <c:pt idx="26">
                  <c:v>295.20984437767919</c:v>
                </c:pt>
                <c:pt idx="27">
                  <c:v>322.52334410117277</c:v>
                </c:pt>
                <c:pt idx="28">
                  <c:v>349.785701644997</c:v>
                </c:pt>
                <c:pt idx="29">
                  <c:v>377.00145984165829</c:v>
                </c:pt>
                <c:pt idx="30">
                  <c:v>404.17445231612891</c:v>
                </c:pt>
                <c:pt idx="31">
                  <c:v>353.2119291038573</c:v>
                </c:pt>
                <c:pt idx="32">
                  <c:v>380.4892939371228</c:v>
                </c:pt>
                <c:pt idx="33">
                  <c:v>407.72413216850492</c:v>
                </c:pt>
                <c:pt idx="34">
                  <c:v>434.91968079517761</c:v>
                </c:pt>
                <c:pt idx="35">
                  <c:v>462.07873925701455</c:v>
                </c:pt>
                <c:pt idx="36">
                  <c:v>489.20375134717227</c:v>
                </c:pt>
                <c:pt idx="37">
                  <c:v>433.59961838636008</c:v>
                </c:pt>
                <c:pt idx="38">
                  <c:v>460.20839311111894</c:v>
                </c:pt>
                <c:pt idx="39">
                  <c:v>486.78434108389047</c:v>
                </c:pt>
                <c:pt idx="40">
                  <c:v>513.32950438861201</c:v>
                </c:pt>
                <c:pt idx="41">
                  <c:v>539.84569689767909</c:v>
                </c:pt>
                <c:pt idx="42">
                  <c:v>566.33453995655486</c:v>
                </c:pt>
                <c:pt idx="43">
                  <c:v>505.12943761341859</c:v>
                </c:pt>
                <c:pt idx="44">
                  <c:v>530.71596265986329</c:v>
                </c:pt>
                <c:pt idx="45">
                  <c:v>556.27653997817106</c:v>
                </c:pt>
                <c:pt idx="46">
                  <c:v>581.81252811346212</c:v>
                </c:pt>
                <c:pt idx="47">
                  <c:v>607.32515676835726</c:v>
                </c:pt>
                <c:pt idx="48">
                  <c:v>632.81554402908341</c:v>
                </c:pt>
                <c:pt idx="49">
                  <c:v>561.06523629540231</c:v>
                </c:pt>
                <c:pt idx="50">
                  <c:v>585.27746751979441</c:v>
                </c:pt>
                <c:pt idx="51">
                  <c:v>609.46883490395442</c:v>
                </c:pt>
                <c:pt idx="52">
                  <c:v>633.64028211551329</c:v>
                </c:pt>
                <c:pt idx="53">
                  <c:v>657.79267504043685</c:v>
                </c:pt>
                <c:pt idx="54">
                  <c:v>681.92681087155916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2.5419361243387457</c:v>
                </c:pt>
                <c:pt idx="2">
                  <c:v>3.1655725638916965</c:v>
                </c:pt>
                <c:pt idx="3">
                  <c:v>3.9428035750244419</c:v>
                </c:pt>
                <c:pt idx="4">
                  <c:v>4.9115952921971058</c:v>
                </c:pt>
                <c:pt idx="5">
                  <c:v>6.1193302965732146</c:v>
                </c:pt>
                <c:pt idx="6">
                  <c:v>7.6251504406534805</c:v>
                </c:pt>
                <c:pt idx="7">
                  <c:v>9.5028842563757507</c:v>
                </c:pt>
                <c:pt idx="8">
                  <c:v>11.844705198464125</c:v>
                </c:pt>
                <c:pt idx="9">
                  <c:v>14.765703652419754</c:v>
                </c:pt>
                <c:pt idx="10">
                  <c:v>18.409601532395097</c:v>
                </c:pt>
                <c:pt idx="11">
                  <c:v>22.955895729680325</c:v>
                </c:pt>
                <c:pt idx="12">
                  <c:v>28.628788554676579</c:v>
                </c:pt>
                <c:pt idx="13">
                  <c:v>35.708353284652667</c:v>
                </c:pt>
                <c:pt idx="14">
                  <c:v>44.544495545902528</c:v>
                </c:pt>
                <c:pt idx="15">
                  <c:v>55.574412233109683</c:v>
                </c:pt>
                <c:pt idx="16">
                  <c:v>69.344426154250357</c:v>
                </c:pt>
                <c:pt idx="17">
                  <c:v>86.537295547085179</c:v>
                </c:pt>
                <c:pt idx="18">
                  <c:v>108.00637426873294</c:v>
                </c:pt>
                <c:pt idx="19">
                  <c:v>134.81834487636456</c:v>
                </c:pt>
                <c:pt idx="20">
                  <c:v>168.30668061428091</c:v>
                </c:pt>
                <c:pt idx="21">
                  <c:v>114.89636998864779</c:v>
                </c:pt>
                <c:pt idx="22">
                  <c:v>136.11149105418758</c:v>
                </c:pt>
                <c:pt idx="23">
                  <c:v>157.24688373565013</c:v>
                </c:pt>
                <c:pt idx="24">
                  <c:v>178.31479007290764</c:v>
                </c:pt>
                <c:pt idx="25">
                  <c:v>199.32431229219446</c:v>
                </c:pt>
                <c:pt idx="26">
                  <c:v>220.28247236407125</c:v>
                </c:pt>
                <c:pt idx="27">
                  <c:v>241.19484478237635</c:v>
                </c:pt>
                <c:pt idx="28">
                  <c:v>262.06595742232184</c:v>
                </c:pt>
                <c:pt idx="29">
                  <c:v>282.89955759178861</c:v>
                </c:pt>
                <c:pt idx="30">
                  <c:v>303.69879541443913</c:v>
                </c:pt>
                <c:pt idx="31">
                  <c:v>225.42891467822554</c:v>
                </c:pt>
                <c:pt idx="32">
                  <c:v>242.90708874646216</c:v>
                </c:pt>
                <c:pt idx="33">
                  <c:v>260.35666841385739</c:v>
                </c:pt>
                <c:pt idx="34">
                  <c:v>277.77983970169777</c:v>
                </c:pt>
                <c:pt idx="35">
                  <c:v>295.17849192957436</c:v>
                </c:pt>
                <c:pt idx="36">
                  <c:v>312.55427347160997</c:v>
                </c:pt>
                <c:pt idx="37">
                  <c:v>329.90863445331962</c:v>
                </c:pt>
                <c:pt idx="38">
                  <c:v>347.24285998792817</c:v>
                </c:pt>
                <c:pt idx="39">
                  <c:v>364.55809642552708</c:v>
                </c:pt>
                <c:pt idx="40">
                  <c:v>381.85537235272409</c:v>
                </c:pt>
                <c:pt idx="41">
                  <c:v>299.78012652729893</c:v>
                </c:pt>
                <c:pt idx="42">
                  <c:v>312.89475650137177</c:v>
                </c:pt>
                <c:pt idx="43">
                  <c:v>325.9971979435436</c:v>
                </c:pt>
                <c:pt idx="44">
                  <c:v>339.08800983656238</c:v>
                </c:pt>
                <c:pt idx="45">
                  <c:v>352.16770447084946</c:v>
                </c:pt>
                <c:pt idx="46">
                  <c:v>365.23675297080734</c:v>
                </c:pt>
                <c:pt idx="47">
                  <c:v>378.29558998861233</c:v>
                </c:pt>
                <c:pt idx="48">
                  <c:v>391.34461771590031</c:v>
                </c:pt>
                <c:pt idx="49">
                  <c:v>404.38420933237239</c:v>
                </c:pt>
                <c:pt idx="50">
                  <c:v>417.41471198632871</c:v>
                </c:pt>
                <c:pt idx="51">
                  <c:v>360.82499034748571</c:v>
                </c:pt>
                <c:pt idx="52">
                  <c:v>370.32580293370683</c:v>
                </c:pt>
                <c:pt idx="53">
                  <c:v>379.82129986564109</c:v>
                </c:pt>
                <c:pt idx="54">
                  <c:v>389.31163283661289</c:v>
                </c:pt>
                <c:pt idx="55">
                  <c:v>398.79694553728024</c:v>
                </c:pt>
                <c:pt idx="56">
                  <c:v>408.27737426224047</c:v>
                </c:pt>
                <c:pt idx="57">
                  <c:v>417.7530484573353</c:v>
                </c:pt>
                <c:pt idx="58">
                  <c:v>427.22409121469786</c:v>
                </c:pt>
                <c:pt idx="59">
                  <c:v>436.69061972160131</c:v>
                </c:pt>
                <c:pt idx="60">
                  <c:v>446.15274566834916</c:v>
                </c:pt>
                <c:pt idx="61">
                  <c:v>410.81596227236088</c:v>
                </c:pt>
                <c:pt idx="62">
                  <c:v>417.7530484573353</c:v>
                </c:pt>
                <c:pt idx="63">
                  <c:v>424.68765216037281</c:v>
                </c:pt>
                <c:pt idx="64">
                  <c:v>431.61981966331041</c:v>
                </c:pt>
                <c:pt idx="65">
                  <c:v>438.54959563904839</c:v>
                </c:pt>
                <c:pt idx="66">
                  <c:v>445.477023232585</c:v>
                </c:pt>
                <c:pt idx="67">
                  <c:v>452.40214413674408</c:v>
                </c:pt>
                <c:pt idx="68">
                  <c:v>459.32499866302322</c:v>
                </c:pt>
                <c:pt idx="69">
                  <c:v>466.24562580794571</c:v>
                </c:pt>
                <c:pt idx="70">
                  <c:v>473.16406331526701</c:v>
                </c:pt>
                <c:pt idx="71">
                  <c:v>442.94286825616126</c:v>
                </c:pt>
                <c:pt idx="72">
                  <c:v>448.17978162908167</c:v>
                </c:pt>
                <c:pt idx="73">
                  <c:v>453.41538541847422</c:v>
                </c:pt>
                <c:pt idx="74">
                  <c:v>458.64969689218088</c:v>
                </c:pt>
                <c:pt idx="75">
                  <c:v>463.88273289143444</c:v>
                </c:pt>
                <c:pt idx="76">
                  <c:v>469.11450984619825</c:v>
                </c:pt>
                <c:pt idx="77">
                  <c:v>474.3450437897875</c:v>
                </c:pt>
                <c:pt idx="78">
                  <c:v>479.5743503728101</c:v>
                </c:pt>
                <c:pt idx="79">
                  <c:v>484.80244487646905</c:v>
                </c:pt>
                <c:pt idx="80">
                  <c:v>490.02934222525914</c:v>
                </c:pt>
                <c:pt idx="81">
                  <c:v>1.3765621991510601E-12</c:v>
                </c:pt>
                <c:pt idx="82">
                  <c:v>1.3765621991510601E-12</c:v>
                </c:pt>
                <c:pt idx="83">
                  <c:v>1.3765621991510601E-12</c:v>
                </c:pt>
                <c:pt idx="84">
                  <c:v>1.3765621991510601E-12</c:v>
                </c:pt>
                <c:pt idx="85">
                  <c:v>1.3765621991510601E-12</c:v>
                </c:pt>
                <c:pt idx="86">
                  <c:v>1.3765621991510601E-12</c:v>
                </c:pt>
                <c:pt idx="87">
                  <c:v>1.3765621991510601E-12</c:v>
                </c:pt>
                <c:pt idx="88">
                  <c:v>1.3765621991510601E-12</c:v>
                </c:pt>
                <c:pt idx="89">
                  <c:v>1.3765621991510601E-12</c:v>
                </c:pt>
                <c:pt idx="90">
                  <c:v>1.3765621991510601E-12</c:v>
                </c:pt>
                <c:pt idx="91">
                  <c:v>1.3765621991510601E-12</c:v>
                </c:pt>
                <c:pt idx="92">
                  <c:v>1.3765621991510601E-12</c:v>
                </c:pt>
                <c:pt idx="93">
                  <c:v>1.3765621991510601E-12</c:v>
                </c:pt>
                <c:pt idx="94">
                  <c:v>1.3765621991510601E-12</c:v>
                </c:pt>
                <c:pt idx="95">
                  <c:v>1.3765621991510601E-12</c:v>
                </c:pt>
                <c:pt idx="96">
                  <c:v>1.3765621991510601E-12</c:v>
                </c:pt>
                <c:pt idx="97">
                  <c:v>1.3765621991510601E-12</c:v>
                </c:pt>
                <c:pt idx="98">
                  <c:v>1.3765621991510601E-12</c:v>
                </c:pt>
                <c:pt idx="99">
                  <c:v>1.3765621991510601E-12</c:v>
                </c:pt>
                <c:pt idx="100">
                  <c:v>1.3765621991510601E-12</c:v>
                </c:pt>
                <c:pt idx="101">
                  <c:v>1.3765621991510601E-12</c:v>
                </c:pt>
                <c:pt idx="102">
                  <c:v>1.3765621991510601E-12</c:v>
                </c:pt>
                <c:pt idx="103">
                  <c:v>1.3765621991510601E-12</c:v>
                </c:pt>
                <c:pt idx="104">
                  <c:v>1.3765621991510601E-12</c:v>
                </c:pt>
                <c:pt idx="105">
                  <c:v>1.3765621991510601E-12</c:v>
                </c:pt>
                <c:pt idx="106">
                  <c:v>1.3765621991510601E-12</c:v>
                </c:pt>
                <c:pt idx="107">
                  <c:v>1.3765621991510601E-12</c:v>
                </c:pt>
                <c:pt idx="108">
                  <c:v>1.3765621991510601E-12</c:v>
                </c:pt>
                <c:pt idx="109">
                  <c:v>1.3765621991510601E-12</c:v>
                </c:pt>
                <c:pt idx="110">
                  <c:v>1.3765621991510601E-12</c:v>
                </c:pt>
                <c:pt idx="111">
                  <c:v>1.3765621991510601E-12</c:v>
                </c:pt>
                <c:pt idx="112">
                  <c:v>1.3765621991510601E-12</c:v>
                </c:pt>
                <c:pt idx="113">
                  <c:v>1.3765621991510601E-12</c:v>
                </c:pt>
                <c:pt idx="114">
                  <c:v>1.3765621991510601E-12</c:v>
                </c:pt>
                <c:pt idx="115">
                  <c:v>1.3765621991510601E-12</c:v>
                </c:pt>
                <c:pt idx="116">
                  <c:v>1.3765621991510601E-12</c:v>
                </c:pt>
                <c:pt idx="117">
                  <c:v>1.3765621991510601E-12</c:v>
                </c:pt>
                <c:pt idx="118">
                  <c:v>1.3765621991510601E-12</c:v>
                </c:pt>
                <c:pt idx="119">
                  <c:v>1.3765621991510601E-12</c:v>
                </c:pt>
                <c:pt idx="120">
                  <c:v>1.3765621991510601E-12</c:v>
                </c:pt>
                <c:pt idx="121">
                  <c:v>1.3765621991510601E-12</c:v>
                </c:pt>
                <c:pt idx="122">
                  <c:v>1.3765621991510601E-12</c:v>
                </c:pt>
                <c:pt idx="123">
                  <c:v>1.3765621991510601E-12</c:v>
                </c:pt>
                <c:pt idx="124">
                  <c:v>1.3765621991510601E-12</c:v>
                </c:pt>
                <c:pt idx="125">
                  <c:v>1.3765621991510601E-12</c:v>
                </c:pt>
                <c:pt idx="126">
                  <c:v>1.3765621991510601E-12</c:v>
                </c:pt>
                <c:pt idx="127">
                  <c:v>1.3765621991510601E-12</c:v>
                </c:pt>
                <c:pt idx="128">
                  <c:v>1.3765621991510601E-12</c:v>
                </c:pt>
                <c:pt idx="129">
                  <c:v>1.3765621991510601E-12</c:v>
                </c:pt>
                <c:pt idx="130">
                  <c:v>1.3765621991510601E-12</c:v>
                </c:pt>
                <c:pt idx="131">
                  <c:v>1.3765621991510601E-12</c:v>
                </c:pt>
                <c:pt idx="132">
                  <c:v>1.3765621991510601E-12</c:v>
                </c:pt>
                <c:pt idx="133">
                  <c:v>1.3765621991510601E-12</c:v>
                </c:pt>
                <c:pt idx="134">
                  <c:v>1.3765621991510601E-12</c:v>
                </c:pt>
                <c:pt idx="135">
                  <c:v>1.3765621991510601E-12</c:v>
                </c:pt>
                <c:pt idx="136">
                  <c:v>1.3765621991510601E-12</c:v>
                </c:pt>
                <c:pt idx="137">
                  <c:v>1.3765621991510601E-12</c:v>
                </c:pt>
                <c:pt idx="138">
                  <c:v>1.3765621991510601E-12</c:v>
                </c:pt>
                <c:pt idx="139">
                  <c:v>1.3765621991510601E-12</c:v>
                </c:pt>
                <c:pt idx="140">
                  <c:v>1.3765621991510601E-12</c:v>
                </c:pt>
                <c:pt idx="141">
                  <c:v>1.3765621991510601E-12</c:v>
                </c:pt>
                <c:pt idx="142">
                  <c:v>1.3765621991510601E-12</c:v>
                </c:pt>
                <c:pt idx="143">
                  <c:v>1.3765621991510601E-12</c:v>
                </c:pt>
                <c:pt idx="144">
                  <c:v>1.3765621991510601E-12</c:v>
                </c:pt>
                <c:pt idx="145">
                  <c:v>1.3765621991510601E-12</c:v>
                </c:pt>
                <c:pt idx="146">
                  <c:v>1.3765621991510601E-12</c:v>
                </c:pt>
                <c:pt idx="147">
                  <c:v>1.3765621991510601E-12</c:v>
                </c:pt>
                <c:pt idx="148">
                  <c:v>1.3765621991510601E-12</c:v>
                </c:pt>
                <c:pt idx="149">
                  <c:v>1.3765621991510601E-12</c:v>
                </c:pt>
                <c:pt idx="150">
                  <c:v>1.3765621991510601E-12</c:v>
                </c:pt>
                <c:pt idx="151">
                  <c:v>1.3765621991510601E-12</c:v>
                </c:pt>
                <c:pt idx="152">
                  <c:v>1.3765621991510601E-12</c:v>
                </c:pt>
                <c:pt idx="153">
                  <c:v>1.3765621991510601E-12</c:v>
                </c:pt>
                <c:pt idx="154">
                  <c:v>1.3765621991510601E-12</c:v>
                </c:pt>
                <c:pt idx="155">
                  <c:v>1.3765621991510601E-12</c:v>
                </c:pt>
                <c:pt idx="156">
                  <c:v>1.3765621991510601E-12</c:v>
                </c:pt>
                <c:pt idx="157">
                  <c:v>1.3765621991510601E-12</c:v>
                </c:pt>
                <c:pt idx="158">
                  <c:v>1.3765621991510601E-12</c:v>
                </c:pt>
                <c:pt idx="159">
                  <c:v>1.3765621991510601E-12</c:v>
                </c:pt>
                <c:pt idx="160">
                  <c:v>1.3765621991510601E-12</c:v>
                </c:pt>
                <c:pt idx="161">
                  <c:v>1.3765621991510601E-12</c:v>
                </c:pt>
                <c:pt idx="162">
                  <c:v>1.3765621991510601E-12</c:v>
                </c:pt>
                <c:pt idx="163">
                  <c:v>1.3765621991510601E-12</c:v>
                </c:pt>
                <c:pt idx="164">
                  <c:v>1.3765621991510601E-12</c:v>
                </c:pt>
                <c:pt idx="165">
                  <c:v>1.3765621991510601E-12</c:v>
                </c:pt>
                <c:pt idx="166">
                  <c:v>1.3765621991510601E-12</c:v>
                </c:pt>
                <c:pt idx="167">
                  <c:v>1.3765621991510601E-12</c:v>
                </c:pt>
                <c:pt idx="168">
                  <c:v>1.3765621991510601E-12</c:v>
                </c:pt>
                <c:pt idx="169">
                  <c:v>1.3765621991510601E-12</c:v>
                </c:pt>
                <c:pt idx="170">
                  <c:v>1.3765621991510601E-12</c:v>
                </c:pt>
                <c:pt idx="171">
                  <c:v>1.3765621991510601E-12</c:v>
                </c:pt>
                <c:pt idx="172">
                  <c:v>1.3765621991510601E-12</c:v>
                </c:pt>
                <c:pt idx="173">
                  <c:v>1.3765621991510601E-12</c:v>
                </c:pt>
                <c:pt idx="174">
                  <c:v>1.3765621991510601E-12</c:v>
                </c:pt>
                <c:pt idx="175">
                  <c:v>1.3765621991510601E-12</c:v>
                </c:pt>
                <c:pt idx="176">
                  <c:v>1.3765621991510601E-12</c:v>
                </c:pt>
                <c:pt idx="177">
                  <c:v>1.3765621991510601E-12</c:v>
                </c:pt>
                <c:pt idx="178">
                  <c:v>1.3765621991510601E-12</c:v>
                </c:pt>
                <c:pt idx="179">
                  <c:v>1.3765621991510601E-12</c:v>
                </c:pt>
                <c:pt idx="180">
                  <c:v>1.3765621991510601E-12</c:v>
                </c:pt>
                <c:pt idx="181">
                  <c:v>1.3765621991510601E-12</c:v>
                </c:pt>
                <c:pt idx="182">
                  <c:v>1.3765621991510601E-12</c:v>
                </c:pt>
                <c:pt idx="183">
                  <c:v>1.3765621991510601E-12</c:v>
                </c:pt>
                <c:pt idx="184">
                  <c:v>1.3765621991510601E-12</c:v>
                </c:pt>
                <c:pt idx="185">
                  <c:v>1.3765621991510601E-12</c:v>
                </c:pt>
                <c:pt idx="186">
                  <c:v>1.3765621991510601E-12</c:v>
                </c:pt>
                <c:pt idx="187">
                  <c:v>1.3765621991510601E-12</c:v>
                </c:pt>
                <c:pt idx="188">
                  <c:v>1.3765621991510601E-12</c:v>
                </c:pt>
                <c:pt idx="189">
                  <c:v>1.3765621991510601E-12</c:v>
                </c:pt>
                <c:pt idx="190">
                  <c:v>1.3765621991510601E-12</c:v>
                </c:pt>
                <c:pt idx="191">
                  <c:v>1.3765621991510601E-12</c:v>
                </c:pt>
                <c:pt idx="192">
                  <c:v>1.3765621991510601E-12</c:v>
                </c:pt>
                <c:pt idx="193">
                  <c:v>1.3765621991510601E-12</c:v>
                </c:pt>
                <c:pt idx="194">
                  <c:v>1.3765621991510601E-12</c:v>
                </c:pt>
                <c:pt idx="195">
                  <c:v>1.3765621991510601E-12</c:v>
                </c:pt>
                <c:pt idx="196">
                  <c:v>1.3765621991510601E-12</c:v>
                </c:pt>
                <c:pt idx="197">
                  <c:v>1.3765621991510601E-12</c:v>
                </c:pt>
                <c:pt idx="198">
                  <c:v>1.3765621991510601E-12</c:v>
                </c:pt>
                <c:pt idx="199">
                  <c:v>1.3765621991510601E-12</c:v>
                </c:pt>
                <c:pt idx="200">
                  <c:v>1.3765621991510601E-12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1.8723031649007107</c:v>
                </c:pt>
                <c:pt idx="2">
                  <c:v>2.4119576082137919</c:v>
                </c:pt>
                <c:pt idx="3">
                  <c:v>3.1077875147547922</c:v>
                </c:pt>
                <c:pt idx="4">
                  <c:v>4.0051622306374703</c:v>
                </c:pt>
                <c:pt idx="5">
                  <c:v>5.1626778961505897</c:v>
                </c:pt>
                <c:pt idx="6">
                  <c:v>6.6560262423418139</c:v>
                </c:pt>
                <c:pt idx="7">
                  <c:v>8.5829984321267663</c:v>
                </c:pt>
                <c:pt idx="8">
                  <c:v>11.069957874647789</c:v>
                </c:pt>
                <c:pt idx="9">
                  <c:v>14.280214431149867</c:v>
                </c:pt>
                <c:pt idx="10">
                  <c:v>18.424860035282308</c:v>
                </c:pt>
                <c:pt idx="11">
                  <c:v>23.776791095098442</c:v>
                </c:pt>
                <c:pt idx="12">
                  <c:v>30.688857312292658</c:v>
                </c:pt>
                <c:pt idx="13">
                  <c:v>39.617354250979595</c:v>
                </c:pt>
                <c:pt idx="14">
                  <c:v>51.152436925971216</c:v>
                </c:pt>
                <c:pt idx="15">
                  <c:v>66.057498260618672</c:v>
                </c:pt>
                <c:pt idx="16">
                  <c:v>85.320161140728672</c:v>
                </c:pt>
                <c:pt idx="17">
                  <c:v>110.21831702865047</c:v>
                </c:pt>
                <c:pt idx="18">
                  <c:v>142.40566097813468</c:v>
                </c:pt>
                <c:pt idx="19">
                  <c:v>184.02249153410344</c:v>
                </c:pt>
                <c:pt idx="20">
                  <c:v>203.3007266873141</c:v>
                </c:pt>
                <c:pt idx="21">
                  <c:v>222.53665149290285</c:v>
                </c:pt>
                <c:pt idx="22">
                  <c:v>168.7566706161912</c:v>
                </c:pt>
                <c:pt idx="23">
                  <c:v>188.97408626306844</c:v>
                </c:pt>
                <c:pt idx="24">
                  <c:v>209.14106954499582</c:v>
                </c:pt>
                <c:pt idx="25">
                  <c:v>229.2631686584871</c:v>
                </c:pt>
                <c:pt idx="26">
                  <c:v>249.34487716008644</c:v>
                </c:pt>
                <c:pt idx="27">
                  <c:v>269.38990512338609</c:v>
                </c:pt>
                <c:pt idx="28">
                  <c:v>289.40136514946488</c:v>
                </c:pt>
                <c:pt idx="29">
                  <c:v>242.80327727023806</c:v>
                </c:pt>
                <c:pt idx="30">
                  <c:v>264.55540625187342</c:v>
                </c:pt>
                <c:pt idx="31">
                  <c:v>286.26720910143649</c:v>
                </c:pt>
                <c:pt idx="32">
                  <c:v>307.94217323717999</c:v>
                </c:pt>
                <c:pt idx="33">
                  <c:v>329.58325501039627</c:v>
                </c:pt>
                <c:pt idx="34">
                  <c:v>351.19299087374634</c:v>
                </c:pt>
                <c:pt idx="35">
                  <c:v>372.77357972834852</c:v>
                </c:pt>
                <c:pt idx="36">
                  <c:v>310.37056459620067</c:v>
                </c:pt>
                <c:pt idx="37">
                  <c:v>332.16291001549854</c:v>
                </c:pt>
                <c:pt idx="38">
                  <c:v>353.92374107920119</c:v>
                </c:pt>
                <c:pt idx="39">
                  <c:v>375.65526675033772</c:v>
                </c:pt>
                <c:pt idx="40">
                  <c:v>397.35941965516298</c:v>
                </c:pt>
                <c:pt idx="41">
                  <c:v>419.03790416885482</c:v>
                </c:pt>
                <c:pt idx="42">
                  <c:v>440.69223402870375</c:v>
                </c:pt>
                <c:pt idx="43">
                  <c:v>365.57312204300916</c:v>
                </c:pt>
                <c:pt idx="44">
                  <c:v>386.44458202636088</c:v>
                </c:pt>
                <c:pt idx="45">
                  <c:v>407.29156713376295</c:v>
                </c:pt>
                <c:pt idx="46">
                  <c:v>428.11550550227406</c:v>
                </c:pt>
                <c:pt idx="47">
                  <c:v>448.91767507952318</c:v>
                </c:pt>
                <c:pt idx="48">
                  <c:v>469.69922578809798</c:v>
                </c:pt>
                <c:pt idx="49">
                  <c:v>490.46119756343563</c:v>
                </c:pt>
                <c:pt idx="50">
                  <c:v>402.3588366856095</c:v>
                </c:pt>
                <c:pt idx="51">
                  <c:v>421.65245364552828</c:v>
                </c:pt>
                <c:pt idx="52">
                  <c:v>440.92706835035841</c:v>
                </c:pt>
                <c:pt idx="53">
                  <c:v>460.18362785912103</c:v>
                </c:pt>
                <c:pt idx="54">
                  <c:v>479.42299355003178</c:v>
                </c:pt>
                <c:pt idx="55">
                  <c:v>498.64595206966368</c:v>
                </c:pt>
                <c:pt idx="56">
                  <c:v>517.85322450630554</c:v>
                </c:pt>
                <c:pt idx="57">
                  <c:v>445.53319473983174</c:v>
                </c:pt>
                <c:pt idx="58">
                  <c:v>463.13961636412461</c:v>
                </c:pt>
                <c:pt idx="59">
                  <c:v>480.73176524290039</c:v>
                </c:pt>
                <c:pt idx="60">
                  <c:v>498.31023693169209</c:v>
                </c:pt>
                <c:pt idx="61">
                  <c:v>515.87558156393777</c:v>
                </c:pt>
                <c:pt idx="62">
                  <c:v>533.42830877562324</c:v>
                </c:pt>
                <c:pt idx="63">
                  <c:v>550.96889194826019</c:v>
                </c:pt>
                <c:pt idx="64">
                  <c:v>472.35430760583859</c:v>
                </c:pt>
                <c:pt idx="65">
                  <c:v>488.11156591254917</c:v>
                </c:pt>
                <c:pt idx="66">
                  <c:v>503.85803335416534</c:v>
                </c:pt>
                <c:pt idx="67">
                  <c:v>519.59409451524732</c:v>
                </c:pt>
                <c:pt idx="68">
                  <c:v>535.32010879645838</c:v>
                </c:pt>
                <c:pt idx="69">
                  <c:v>551.03641277035797</c:v>
                </c:pt>
                <c:pt idx="70">
                  <c:v>566.74332225455601</c:v>
                </c:pt>
                <c:pt idx="71">
                  <c:v>1.8635787380168604E-12</c:v>
                </c:pt>
                <c:pt idx="72">
                  <c:v>1.8635787380168604E-12</c:v>
                </c:pt>
                <c:pt idx="73">
                  <c:v>1.8635787380168604E-12</c:v>
                </c:pt>
                <c:pt idx="74">
                  <c:v>1.8635787380168604E-12</c:v>
                </c:pt>
                <c:pt idx="75">
                  <c:v>1.8635787380168604E-12</c:v>
                </c:pt>
                <c:pt idx="76">
                  <c:v>1.8635787380168604E-12</c:v>
                </c:pt>
                <c:pt idx="77">
                  <c:v>1.8635787380168604E-12</c:v>
                </c:pt>
                <c:pt idx="78">
                  <c:v>1.8635787380168604E-12</c:v>
                </c:pt>
                <c:pt idx="79">
                  <c:v>1.8635787380168604E-12</c:v>
                </c:pt>
                <c:pt idx="80">
                  <c:v>1.8635787380168604E-12</c:v>
                </c:pt>
                <c:pt idx="81">
                  <c:v>1.8635787380168604E-12</c:v>
                </c:pt>
                <c:pt idx="82">
                  <c:v>1.8635787380168604E-12</c:v>
                </c:pt>
                <c:pt idx="83">
                  <c:v>1.8635787380168604E-12</c:v>
                </c:pt>
                <c:pt idx="84">
                  <c:v>1.8635787380168604E-12</c:v>
                </c:pt>
                <c:pt idx="85">
                  <c:v>1.8635787380168604E-12</c:v>
                </c:pt>
                <c:pt idx="86">
                  <c:v>1.8635787380168604E-12</c:v>
                </c:pt>
                <c:pt idx="87">
                  <c:v>1.8635787380168604E-12</c:v>
                </c:pt>
                <c:pt idx="88">
                  <c:v>1.8635787380168604E-12</c:v>
                </c:pt>
                <c:pt idx="89">
                  <c:v>1.8635787380168604E-12</c:v>
                </c:pt>
                <c:pt idx="90">
                  <c:v>1.8635787380168604E-12</c:v>
                </c:pt>
                <c:pt idx="91">
                  <c:v>1.8635787380168604E-12</c:v>
                </c:pt>
                <c:pt idx="92">
                  <c:v>1.8635787380168604E-12</c:v>
                </c:pt>
                <c:pt idx="93">
                  <c:v>1.8635787380168604E-12</c:v>
                </c:pt>
                <c:pt idx="94">
                  <c:v>1.8635787380168604E-12</c:v>
                </c:pt>
                <c:pt idx="95">
                  <c:v>1.8635787380168604E-12</c:v>
                </c:pt>
                <c:pt idx="96">
                  <c:v>1.8635787380168604E-12</c:v>
                </c:pt>
                <c:pt idx="97">
                  <c:v>1.8635787380168604E-12</c:v>
                </c:pt>
                <c:pt idx="98">
                  <c:v>1.8635787380168604E-12</c:v>
                </c:pt>
                <c:pt idx="99">
                  <c:v>1.8635787380168604E-12</c:v>
                </c:pt>
                <c:pt idx="100">
                  <c:v>1.8635787380168604E-12</c:v>
                </c:pt>
                <c:pt idx="101">
                  <c:v>1.8635787380168604E-12</c:v>
                </c:pt>
                <c:pt idx="102">
                  <c:v>1.8635787380168604E-12</c:v>
                </c:pt>
                <c:pt idx="103">
                  <c:v>1.8635787380168604E-12</c:v>
                </c:pt>
                <c:pt idx="104">
                  <c:v>1.8635787380168604E-12</c:v>
                </c:pt>
                <c:pt idx="105">
                  <c:v>1.8635787380168604E-12</c:v>
                </c:pt>
                <c:pt idx="106">
                  <c:v>1.8635787380168604E-12</c:v>
                </c:pt>
                <c:pt idx="107">
                  <c:v>1.8635787380168604E-12</c:v>
                </c:pt>
                <c:pt idx="108">
                  <c:v>1.8635787380168604E-12</c:v>
                </c:pt>
                <c:pt idx="109">
                  <c:v>1.8635787380168604E-12</c:v>
                </c:pt>
                <c:pt idx="110">
                  <c:v>1.8635787380168604E-12</c:v>
                </c:pt>
                <c:pt idx="111">
                  <c:v>1.8635787380168604E-12</c:v>
                </c:pt>
                <c:pt idx="112">
                  <c:v>1.8635787380168604E-12</c:v>
                </c:pt>
                <c:pt idx="113">
                  <c:v>1.8635787380168604E-12</c:v>
                </c:pt>
                <c:pt idx="114">
                  <c:v>1.8635787380168604E-12</c:v>
                </c:pt>
                <c:pt idx="115">
                  <c:v>1.8635787380168604E-12</c:v>
                </c:pt>
                <c:pt idx="116">
                  <c:v>1.8635787380168604E-12</c:v>
                </c:pt>
                <c:pt idx="117">
                  <c:v>1.8635787380168604E-12</c:v>
                </c:pt>
                <c:pt idx="118">
                  <c:v>1.8635787380168604E-12</c:v>
                </c:pt>
                <c:pt idx="119">
                  <c:v>1.8635787380168604E-12</c:v>
                </c:pt>
                <c:pt idx="120">
                  <c:v>1.8635787380168604E-12</c:v>
                </c:pt>
                <c:pt idx="121">
                  <c:v>1.8635787380168604E-12</c:v>
                </c:pt>
                <c:pt idx="122">
                  <c:v>1.8635787380168604E-12</c:v>
                </c:pt>
                <c:pt idx="123">
                  <c:v>1.8635787380168604E-12</c:v>
                </c:pt>
                <c:pt idx="124">
                  <c:v>1.8635787380168604E-12</c:v>
                </c:pt>
                <c:pt idx="125">
                  <c:v>1.8635787380168604E-12</c:v>
                </c:pt>
                <c:pt idx="126">
                  <c:v>1.8635787380168604E-12</c:v>
                </c:pt>
                <c:pt idx="127">
                  <c:v>1.8635787380168604E-12</c:v>
                </c:pt>
                <c:pt idx="128">
                  <c:v>1.8635787380168604E-12</c:v>
                </c:pt>
                <c:pt idx="129">
                  <c:v>1.8635787380168604E-12</c:v>
                </c:pt>
                <c:pt idx="130">
                  <c:v>1.8635787380168604E-12</c:v>
                </c:pt>
                <c:pt idx="131">
                  <c:v>1.8635787380168604E-12</c:v>
                </c:pt>
                <c:pt idx="132">
                  <c:v>1.8635787380168604E-12</c:v>
                </c:pt>
                <c:pt idx="133">
                  <c:v>1.8635787380168604E-12</c:v>
                </c:pt>
                <c:pt idx="134">
                  <c:v>1.8635787380168604E-12</c:v>
                </c:pt>
                <c:pt idx="135">
                  <c:v>1.8635787380168604E-12</c:v>
                </c:pt>
                <c:pt idx="136">
                  <c:v>1.8635787380168604E-12</c:v>
                </c:pt>
                <c:pt idx="137">
                  <c:v>1.8635787380168604E-12</c:v>
                </c:pt>
                <c:pt idx="138">
                  <c:v>1.8635787380168604E-12</c:v>
                </c:pt>
                <c:pt idx="139">
                  <c:v>1.8635787380168604E-12</c:v>
                </c:pt>
                <c:pt idx="140">
                  <c:v>1.8635787380168604E-12</c:v>
                </c:pt>
                <c:pt idx="141">
                  <c:v>1.8635787380168604E-12</c:v>
                </c:pt>
                <c:pt idx="142">
                  <c:v>1.8635787380168604E-12</c:v>
                </c:pt>
                <c:pt idx="143">
                  <c:v>1.8635787380168604E-12</c:v>
                </c:pt>
                <c:pt idx="144">
                  <c:v>1.8635787380168604E-12</c:v>
                </c:pt>
                <c:pt idx="145">
                  <c:v>1.8635787380168604E-12</c:v>
                </c:pt>
                <c:pt idx="146">
                  <c:v>1.8635787380168604E-12</c:v>
                </c:pt>
                <c:pt idx="147">
                  <c:v>1.8635787380168604E-12</c:v>
                </c:pt>
                <c:pt idx="148">
                  <c:v>1.8635787380168604E-12</c:v>
                </c:pt>
                <c:pt idx="149">
                  <c:v>1.8635787380168604E-12</c:v>
                </c:pt>
                <c:pt idx="150">
                  <c:v>1.8635787380168604E-12</c:v>
                </c:pt>
                <c:pt idx="151">
                  <c:v>1.8635787380168604E-12</c:v>
                </c:pt>
                <c:pt idx="152">
                  <c:v>1.8635787380168604E-12</c:v>
                </c:pt>
                <c:pt idx="153">
                  <c:v>1.8635787380168604E-12</c:v>
                </c:pt>
                <c:pt idx="154">
                  <c:v>1.8635787380168604E-12</c:v>
                </c:pt>
                <c:pt idx="155">
                  <c:v>1.8635787380168604E-12</c:v>
                </c:pt>
                <c:pt idx="156">
                  <c:v>1.8635787380168604E-12</c:v>
                </c:pt>
                <c:pt idx="157">
                  <c:v>1.8635787380168604E-12</c:v>
                </c:pt>
                <c:pt idx="158">
                  <c:v>1.8635787380168604E-12</c:v>
                </c:pt>
                <c:pt idx="159">
                  <c:v>1.8635787380168604E-12</c:v>
                </c:pt>
                <c:pt idx="160">
                  <c:v>1.8635787380168604E-12</c:v>
                </c:pt>
                <c:pt idx="161">
                  <c:v>1.8635787380168604E-12</c:v>
                </c:pt>
                <c:pt idx="162">
                  <c:v>1.8635787380168604E-12</c:v>
                </c:pt>
                <c:pt idx="163">
                  <c:v>1.8635787380168604E-12</c:v>
                </c:pt>
                <c:pt idx="164">
                  <c:v>1.8635787380168604E-12</c:v>
                </c:pt>
                <c:pt idx="165">
                  <c:v>1.8635787380168604E-12</c:v>
                </c:pt>
                <c:pt idx="166">
                  <c:v>1.8635787380168604E-12</c:v>
                </c:pt>
                <c:pt idx="167">
                  <c:v>1.8635787380168604E-12</c:v>
                </c:pt>
                <c:pt idx="168">
                  <c:v>1.8635787380168604E-12</c:v>
                </c:pt>
                <c:pt idx="169">
                  <c:v>1.8635787380168604E-12</c:v>
                </c:pt>
                <c:pt idx="170">
                  <c:v>1.8635787380168604E-12</c:v>
                </c:pt>
                <c:pt idx="171">
                  <c:v>1.8635787380168604E-12</c:v>
                </c:pt>
                <c:pt idx="172">
                  <c:v>1.8635787380168604E-12</c:v>
                </c:pt>
                <c:pt idx="173">
                  <c:v>1.8635787380168604E-12</c:v>
                </c:pt>
                <c:pt idx="174">
                  <c:v>1.8635787380168604E-12</c:v>
                </c:pt>
                <c:pt idx="175">
                  <c:v>1.8635787380168604E-12</c:v>
                </c:pt>
                <c:pt idx="176">
                  <c:v>1.8635787380168604E-12</c:v>
                </c:pt>
                <c:pt idx="177">
                  <c:v>1.8635787380168604E-12</c:v>
                </c:pt>
                <c:pt idx="178">
                  <c:v>1.8635787380168604E-12</c:v>
                </c:pt>
                <c:pt idx="179">
                  <c:v>1.8635787380168604E-12</c:v>
                </c:pt>
                <c:pt idx="180">
                  <c:v>1.8635787380168604E-12</c:v>
                </c:pt>
                <c:pt idx="181">
                  <c:v>1.8635787380168604E-12</c:v>
                </c:pt>
                <c:pt idx="182">
                  <c:v>1.8635787380168604E-12</c:v>
                </c:pt>
                <c:pt idx="183">
                  <c:v>1.8635787380168604E-12</c:v>
                </c:pt>
                <c:pt idx="184">
                  <c:v>1.8635787380168604E-12</c:v>
                </c:pt>
                <c:pt idx="185">
                  <c:v>1.8635787380168604E-12</c:v>
                </c:pt>
                <c:pt idx="186">
                  <c:v>1.8635787380168604E-12</c:v>
                </c:pt>
                <c:pt idx="187">
                  <c:v>1.8635787380168604E-12</c:v>
                </c:pt>
                <c:pt idx="188">
                  <c:v>1.8635787380168604E-12</c:v>
                </c:pt>
                <c:pt idx="189">
                  <c:v>1.8635787380168604E-12</c:v>
                </c:pt>
                <c:pt idx="190">
                  <c:v>1.8635787380168604E-12</c:v>
                </c:pt>
                <c:pt idx="191">
                  <c:v>1.8635787380168604E-12</c:v>
                </c:pt>
                <c:pt idx="192">
                  <c:v>1.8635787380168604E-12</c:v>
                </c:pt>
                <c:pt idx="193">
                  <c:v>1.8635787380168604E-12</c:v>
                </c:pt>
                <c:pt idx="194">
                  <c:v>1.8635787380168604E-12</c:v>
                </c:pt>
                <c:pt idx="195">
                  <c:v>1.8635787380168604E-12</c:v>
                </c:pt>
                <c:pt idx="196">
                  <c:v>1.8635787380168604E-12</c:v>
                </c:pt>
                <c:pt idx="197">
                  <c:v>1.8635787380168604E-12</c:v>
                </c:pt>
                <c:pt idx="198">
                  <c:v>1.8635787380168604E-12</c:v>
                </c:pt>
                <c:pt idx="199">
                  <c:v>1.8635787380168604E-12</c:v>
                </c:pt>
                <c:pt idx="200">
                  <c:v>1.8635787380168604E-12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2.0061599143563931</c:v>
                </c:pt>
                <c:pt idx="2">
                  <c:v>2.8330232135356752</c:v>
                </c:pt>
                <c:pt idx="3">
                  <c:v>4.0021844522112344</c:v>
                </c:pt>
                <c:pt idx="4">
                  <c:v>5.6559280163582706</c:v>
                </c:pt>
                <c:pt idx="5">
                  <c:v>7.9959082187527839</c:v>
                </c:pt>
                <c:pt idx="6">
                  <c:v>11.308009420147043</c:v>
                </c:pt>
                <c:pt idx="7">
                  <c:v>15.997649473797606</c:v>
                </c:pt>
                <c:pt idx="8">
                  <c:v>22.6399264346115</c:v>
                </c:pt>
                <c:pt idx="9">
                  <c:v>32.050867160956948</c:v>
                </c:pt>
                <c:pt idx="10">
                  <c:v>45.388682172129364</c:v>
                </c:pt>
                <c:pt idx="11">
                  <c:v>62.580068182725313</c:v>
                </c:pt>
                <c:pt idx="12">
                  <c:v>79.64780089225961</c:v>
                </c:pt>
                <c:pt idx="13">
                  <c:v>96.622378392606606</c:v>
                </c:pt>
                <c:pt idx="14">
                  <c:v>113.52255899804454</c:v>
                </c:pt>
                <c:pt idx="15">
                  <c:v>130.36101221629727</c:v>
                </c:pt>
                <c:pt idx="16">
                  <c:v>147.14684893940071</c:v>
                </c:pt>
                <c:pt idx="17">
                  <c:v>163.88692361334699</c:v>
                </c:pt>
                <c:pt idx="18">
                  <c:v>180.58657218998459</c:v>
                </c:pt>
                <c:pt idx="19">
                  <c:v>197.25006116701806</c:v>
                </c:pt>
                <c:pt idx="20">
                  <c:v>213.88087624460479</c:v>
                </c:pt>
                <c:pt idx="21">
                  <c:v>137.39083930673908</c:v>
                </c:pt>
                <c:pt idx="22">
                  <c:v>156.88740899092929</c:v>
                </c:pt>
                <c:pt idx="23">
                  <c:v>176.32642399290856</c:v>
                </c:pt>
                <c:pt idx="24">
                  <c:v>195.7151268464269</c:v>
                </c:pt>
                <c:pt idx="25">
                  <c:v>215.0592048597434</c:v>
                </c:pt>
                <c:pt idx="26">
                  <c:v>234.36323716840596</c:v>
                </c:pt>
                <c:pt idx="27">
                  <c:v>253.6309862079039</c:v>
                </c:pt>
                <c:pt idx="28">
                  <c:v>272.86559571589572</c:v>
                </c:pt>
                <c:pt idx="29">
                  <c:v>292.06972985560316</c:v>
                </c:pt>
                <c:pt idx="30">
                  <c:v>311.24567377041313</c:v>
                </c:pt>
                <c:pt idx="31">
                  <c:v>228.952501957349</c:v>
                </c:pt>
                <c:pt idx="32">
                  <c:v>245.17622856574675</c:v>
                </c:pt>
                <c:pt idx="33">
                  <c:v>261.37556913199376</c:v>
                </c:pt>
                <c:pt idx="34">
                  <c:v>277.55224782280595</c:v>
                </c:pt>
                <c:pt idx="35">
                  <c:v>293.70777135039344</c:v>
                </c:pt>
                <c:pt idx="36">
                  <c:v>309.84346710446169</c:v>
                </c:pt>
                <c:pt idx="37">
                  <c:v>325.9605129186765</c:v>
                </c:pt>
                <c:pt idx="38">
                  <c:v>342.0599606381441</c:v>
                </c:pt>
                <c:pt idx="39">
                  <c:v>358.14275501577009</c:v>
                </c:pt>
                <c:pt idx="40">
                  <c:v>374.20974903573421</c:v>
                </c:pt>
                <c:pt idx="41">
                  <c:v>294.2927366781621</c:v>
                </c:pt>
                <c:pt idx="42">
                  <c:v>307.73989261056767</c:v>
                </c:pt>
                <c:pt idx="43">
                  <c:v>321.1739980509787</c:v>
                </c:pt>
                <c:pt idx="44">
                  <c:v>334.59567585759885</c:v>
                </c:pt>
                <c:pt idx="45">
                  <c:v>348.00549483018625</c:v>
                </c:pt>
                <c:pt idx="46">
                  <c:v>361.40397634816759</c:v>
                </c:pt>
                <c:pt idx="47">
                  <c:v>374.79159997264645</c:v>
                </c:pt>
                <c:pt idx="48">
                  <c:v>388.1688082060096</c:v>
                </c:pt>
                <c:pt idx="49">
                  <c:v>401.53601056106123</c:v>
                </c:pt>
                <c:pt idx="50">
                  <c:v>414.89358705996847</c:v>
                </c:pt>
                <c:pt idx="51">
                  <c:v>350.68608221443083</c:v>
                </c:pt>
                <c:pt idx="52">
                  <c:v>362.10272554390031</c:v>
                </c:pt>
                <c:pt idx="53">
                  <c:v>373.51150187973388</c:v>
                </c:pt>
                <c:pt idx="54">
                  <c:v>384.91268544829836</c:v>
                </c:pt>
                <c:pt idx="55">
                  <c:v>396.30653290088247</c:v>
                </c:pt>
                <c:pt idx="56">
                  <c:v>407.6932849237607</c:v>
                </c:pt>
                <c:pt idx="57">
                  <c:v>419.0731676589694</c:v>
                </c:pt>
                <c:pt idx="58">
                  <c:v>430.44639396268781</c:v>
                </c:pt>
                <c:pt idx="59">
                  <c:v>441.81316452367497</c:v>
                </c:pt>
                <c:pt idx="60">
                  <c:v>453.17366886059989</c:v>
                </c:pt>
                <c:pt idx="61">
                  <c:v>398.04985721662001</c:v>
                </c:pt>
                <c:pt idx="62">
                  <c:v>407.92559534757805</c:v>
                </c:pt>
                <c:pt idx="63">
                  <c:v>417.79616934776453</c:v>
                </c:pt>
                <c:pt idx="64">
                  <c:v>427.66171846396509</c:v>
                </c:pt>
                <c:pt idx="65">
                  <c:v>437.52237499233479</c:v>
                </c:pt>
                <c:pt idx="66">
                  <c:v>447.37826477754788</c:v>
                </c:pt>
                <c:pt idx="67">
                  <c:v>457.22950766566288</c:v>
                </c:pt>
                <c:pt idx="68">
                  <c:v>467.07621791591828</c:v>
                </c:pt>
                <c:pt idx="69">
                  <c:v>476.91850457599202</c:v>
                </c:pt>
                <c:pt idx="70">
                  <c:v>486.75647182466588</c:v>
                </c:pt>
                <c:pt idx="71">
                  <c:v>435.08666090841865</c:v>
                </c:pt>
                <c:pt idx="72">
                  <c:v>443.66836388772407</c:v>
                </c:pt>
                <c:pt idx="73">
                  <c:v>452.24651127718994</c:v>
                </c:pt>
                <c:pt idx="74">
                  <c:v>460.82118005626143</c:v>
                </c:pt>
                <c:pt idx="75">
                  <c:v>469.39244410483235</c:v>
                </c:pt>
                <c:pt idx="76">
                  <c:v>477.96037438359508</c:v>
                </c:pt>
                <c:pt idx="77">
                  <c:v>486.52503910078366</c:v>
                </c:pt>
                <c:pt idx="78">
                  <c:v>495.08650386656154</c:v>
                </c:pt>
                <c:pt idx="79">
                  <c:v>503.64483183617295</c:v>
                </c:pt>
                <c:pt idx="80">
                  <c:v>512.20008384285597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1.9214893041217032</c:v>
                </c:pt>
                <c:pt idx="2">
                  <c:v>2.5987025008718923</c:v>
                </c:pt>
                <c:pt idx="3">
                  <c:v>3.5156040807503324</c:v>
                </c:pt>
                <c:pt idx="4">
                  <c:v>4.7573647265716694</c:v>
                </c:pt>
                <c:pt idx="5">
                  <c:v>6.4395315306240031</c:v>
                </c:pt>
                <c:pt idx="6">
                  <c:v>8.7188988740568281</c:v>
                </c:pt>
                <c:pt idx="7">
                  <c:v>11.808281901058599</c:v>
                </c:pt>
                <c:pt idx="8">
                  <c:v>15.996597611169451</c:v>
                </c:pt>
                <c:pt idx="9">
                  <c:v>21.676165746847925</c:v>
                </c:pt>
                <c:pt idx="10">
                  <c:v>29.379832297005887</c:v>
                </c:pt>
                <c:pt idx="11">
                  <c:v>43.42796098315484</c:v>
                </c:pt>
                <c:pt idx="12">
                  <c:v>57.352308105364443</c:v>
                </c:pt>
                <c:pt idx="13">
                  <c:v>71.187624867837272</c:v>
                </c:pt>
                <c:pt idx="14">
                  <c:v>84.953789769718654</c:v>
                </c:pt>
                <c:pt idx="15">
                  <c:v>98.663638916304294</c:v>
                </c:pt>
                <c:pt idx="16">
                  <c:v>112.32612308019601</c:v>
                </c:pt>
                <c:pt idx="17">
                  <c:v>125.94782644681675</c:v>
                </c:pt>
                <c:pt idx="18">
                  <c:v>139.53378725227557</c:v>
                </c:pt>
                <c:pt idx="19">
                  <c:v>153.08797965351815</c:v>
                </c:pt>
                <c:pt idx="20">
                  <c:v>166.61361501076925</c:v>
                </c:pt>
                <c:pt idx="21">
                  <c:v>115.43621516079592</c:v>
                </c:pt>
                <c:pt idx="22">
                  <c:v>132.1491048997581</c:v>
                </c:pt>
                <c:pt idx="23">
                  <c:v>148.81093286135925</c:v>
                </c:pt>
                <c:pt idx="24">
                  <c:v>165.4282275996666</c:v>
                </c:pt>
                <c:pt idx="25">
                  <c:v>182.0060955160782</c:v>
                </c:pt>
                <c:pt idx="26">
                  <c:v>198.54863502669249</c:v>
                </c:pt>
                <c:pt idx="27">
                  <c:v>215.05920485974343</c:v>
                </c:pt>
                <c:pt idx="28">
                  <c:v>231.54060536306488</c:v>
                </c:pt>
                <c:pt idx="29">
                  <c:v>247.99520534543674</c:v>
                </c:pt>
                <c:pt idx="30">
                  <c:v>264.42503341914329</c:v>
                </c:pt>
                <c:pt idx="31">
                  <c:v>196.30551917967912</c:v>
                </c:pt>
                <c:pt idx="32">
                  <c:v>210.58075731770046</c:v>
                </c:pt>
                <c:pt idx="33">
                  <c:v>224.83368096285912</c:v>
                </c:pt>
                <c:pt idx="34">
                  <c:v>239.06590436046736</c:v>
                </c:pt>
                <c:pt idx="35">
                  <c:v>253.27883373100008</c:v>
                </c:pt>
                <c:pt idx="36">
                  <c:v>267.47370449813809</c:v>
                </c:pt>
                <c:pt idx="37">
                  <c:v>281.65161019072974</c:v>
                </c:pt>
                <c:pt idx="38">
                  <c:v>295.81352521481881</c:v>
                </c:pt>
                <c:pt idx="39">
                  <c:v>309.96032303309579</c:v>
                </c:pt>
                <c:pt idx="40">
                  <c:v>324.09279084959798</c:v>
                </c:pt>
                <c:pt idx="41">
                  <c:v>256.09574439867498</c:v>
                </c:pt>
                <c:pt idx="42">
                  <c:v>267.70818510138707</c:v>
                </c:pt>
                <c:pt idx="43">
                  <c:v>279.30928259257695</c:v>
                </c:pt>
                <c:pt idx="44">
                  <c:v>290.89957463061307</c:v>
                </c:pt>
                <c:pt idx="45">
                  <c:v>302.47955260057626</c:v>
                </c:pt>
                <c:pt idx="46">
                  <c:v>314.04966717357325</c:v>
                </c:pt>
                <c:pt idx="47">
                  <c:v>325.61033308796351</c:v>
                </c:pt>
                <c:pt idx="48">
                  <c:v>337.16193321571785</c:v>
                </c:pt>
                <c:pt idx="49">
                  <c:v>348.70482204213005</c:v>
                </c:pt>
                <c:pt idx="50">
                  <c:v>360.23932866053048</c:v>
                </c:pt>
                <c:pt idx="51">
                  <c:v>305.63599851497548</c:v>
                </c:pt>
                <c:pt idx="52">
                  <c:v>315.21783358823507</c:v>
                </c:pt>
                <c:pt idx="53">
                  <c:v>324.79321443249796</c:v>
                </c:pt>
                <c:pt idx="54">
                  <c:v>334.36235827747288</c:v>
                </c:pt>
                <c:pt idx="55">
                  <c:v>343.92546889640698</c:v>
                </c:pt>
                <c:pt idx="56">
                  <c:v>353.48273779876689</c:v>
                </c:pt>
                <c:pt idx="57">
                  <c:v>363.03434528713234</c:v>
                </c:pt>
                <c:pt idx="58">
                  <c:v>372.58046139700485</c:v>
                </c:pt>
                <c:pt idx="59">
                  <c:v>382.12124673523084</c:v>
                </c:pt>
                <c:pt idx="60">
                  <c:v>391.65685323028885</c:v>
                </c:pt>
                <c:pt idx="61">
                  <c:v>346.37361123107047</c:v>
                </c:pt>
                <c:pt idx="62">
                  <c:v>354.64786759228576</c:v>
                </c:pt>
                <c:pt idx="63">
                  <c:v>362.91789568036029</c:v>
                </c:pt>
                <c:pt idx="64">
                  <c:v>371.18380550457044</c:v>
                </c:pt>
                <c:pt idx="65">
                  <c:v>379.44570177141003</c:v>
                </c:pt>
                <c:pt idx="66">
                  <c:v>387.70368425262308</c:v>
                </c:pt>
                <c:pt idx="67">
                  <c:v>395.95784812023118</c:v>
                </c:pt>
                <c:pt idx="68">
                  <c:v>404.20828425215444</c:v>
                </c:pt>
                <c:pt idx="69">
                  <c:v>412.45507951156748</c:v>
                </c:pt>
                <c:pt idx="70">
                  <c:v>420.69831700274091</c:v>
                </c:pt>
                <c:pt idx="71">
                  <c:v>378.98034777548816</c:v>
                </c:pt>
                <c:pt idx="72">
                  <c:v>386.0756548689514</c:v>
                </c:pt>
                <c:pt idx="73">
                  <c:v>393.16812973897248</c:v>
                </c:pt>
                <c:pt idx="74">
                  <c:v>400.25783072357098</c:v>
                </c:pt>
                <c:pt idx="75">
                  <c:v>407.34481392391939</c:v>
                </c:pt>
                <c:pt idx="76">
                  <c:v>414.42913332839385</c:v>
                </c:pt>
                <c:pt idx="77">
                  <c:v>421.51084092769702</c:v>
                </c:pt>
                <c:pt idx="78">
                  <c:v>428.58998682183602</c:v>
                </c:pt>
                <c:pt idx="79">
                  <c:v>435.66661931966229</c:v>
                </c:pt>
                <c:pt idx="80">
                  <c:v>442.74078503160263</c:v>
                </c:pt>
                <c:pt idx="81">
                  <c:v>3.3837175350986671E-12</c:v>
                </c:pt>
                <c:pt idx="82">
                  <c:v>3.3837175350986671E-12</c:v>
                </c:pt>
                <c:pt idx="83">
                  <c:v>3.3837175350986671E-12</c:v>
                </c:pt>
                <c:pt idx="84">
                  <c:v>3.3837175350986671E-12</c:v>
                </c:pt>
                <c:pt idx="85">
                  <c:v>3.3837175350986671E-12</c:v>
                </c:pt>
                <c:pt idx="86">
                  <c:v>3.3837175350986671E-12</c:v>
                </c:pt>
                <c:pt idx="87">
                  <c:v>3.3837175350986671E-12</c:v>
                </c:pt>
                <c:pt idx="88">
                  <c:v>3.3837175350986671E-12</c:v>
                </c:pt>
                <c:pt idx="89">
                  <c:v>3.3837175350986671E-12</c:v>
                </c:pt>
                <c:pt idx="90">
                  <c:v>3.3837175350986671E-12</c:v>
                </c:pt>
                <c:pt idx="91">
                  <c:v>3.3837175350986671E-12</c:v>
                </c:pt>
                <c:pt idx="92">
                  <c:v>3.3837175350986671E-12</c:v>
                </c:pt>
                <c:pt idx="93">
                  <c:v>3.3837175350986671E-12</c:v>
                </c:pt>
                <c:pt idx="94">
                  <c:v>3.3837175350986671E-12</c:v>
                </c:pt>
                <c:pt idx="95">
                  <c:v>3.3837175350986671E-12</c:v>
                </c:pt>
                <c:pt idx="96">
                  <c:v>3.3837175350986671E-12</c:v>
                </c:pt>
                <c:pt idx="97">
                  <c:v>3.3837175350986671E-12</c:v>
                </c:pt>
                <c:pt idx="98">
                  <c:v>3.3837175350986671E-12</c:v>
                </c:pt>
                <c:pt idx="99">
                  <c:v>3.3837175350986671E-12</c:v>
                </c:pt>
                <c:pt idx="100">
                  <c:v>3.3837175350986671E-12</c:v>
                </c:pt>
                <c:pt idx="101">
                  <c:v>3.3837175350986671E-12</c:v>
                </c:pt>
                <c:pt idx="102">
                  <c:v>3.3837175350986671E-12</c:v>
                </c:pt>
                <c:pt idx="103">
                  <c:v>3.3837175350986671E-12</c:v>
                </c:pt>
                <c:pt idx="104">
                  <c:v>3.3837175350986671E-12</c:v>
                </c:pt>
                <c:pt idx="105">
                  <c:v>3.3837175350986671E-12</c:v>
                </c:pt>
                <c:pt idx="106">
                  <c:v>3.3837175350986671E-12</c:v>
                </c:pt>
                <c:pt idx="107">
                  <c:v>3.3837175350986671E-12</c:v>
                </c:pt>
                <c:pt idx="108">
                  <c:v>3.3837175350986671E-12</c:v>
                </c:pt>
                <c:pt idx="109">
                  <c:v>3.3837175350986671E-12</c:v>
                </c:pt>
                <c:pt idx="110">
                  <c:v>3.3837175350986671E-12</c:v>
                </c:pt>
                <c:pt idx="111">
                  <c:v>3.3837175350986671E-12</c:v>
                </c:pt>
                <c:pt idx="112">
                  <c:v>3.3837175350986671E-12</c:v>
                </c:pt>
                <c:pt idx="113">
                  <c:v>3.3837175350986671E-12</c:v>
                </c:pt>
                <c:pt idx="114">
                  <c:v>3.3837175350986671E-12</c:v>
                </c:pt>
                <c:pt idx="115">
                  <c:v>3.3837175350986671E-12</c:v>
                </c:pt>
                <c:pt idx="116">
                  <c:v>3.3837175350986671E-12</c:v>
                </c:pt>
                <c:pt idx="117">
                  <c:v>3.3837175350986671E-12</c:v>
                </c:pt>
                <c:pt idx="118">
                  <c:v>3.3837175350986671E-12</c:v>
                </c:pt>
                <c:pt idx="119">
                  <c:v>3.3837175350986671E-12</c:v>
                </c:pt>
                <c:pt idx="120">
                  <c:v>3.3837175350986671E-12</c:v>
                </c:pt>
                <c:pt idx="121">
                  <c:v>3.3837175350986671E-12</c:v>
                </c:pt>
                <c:pt idx="122">
                  <c:v>3.3837175350986671E-12</c:v>
                </c:pt>
                <c:pt idx="123">
                  <c:v>3.3837175350986671E-12</c:v>
                </c:pt>
                <c:pt idx="124">
                  <c:v>3.3837175350986671E-12</c:v>
                </c:pt>
                <c:pt idx="125">
                  <c:v>3.3837175350986671E-12</c:v>
                </c:pt>
                <c:pt idx="126">
                  <c:v>3.3837175350986671E-12</c:v>
                </c:pt>
                <c:pt idx="127">
                  <c:v>3.3837175350986671E-12</c:v>
                </c:pt>
                <c:pt idx="128">
                  <c:v>3.3837175350986671E-12</c:v>
                </c:pt>
                <c:pt idx="129">
                  <c:v>3.3837175350986671E-12</c:v>
                </c:pt>
                <c:pt idx="130">
                  <c:v>3.3837175350986671E-12</c:v>
                </c:pt>
                <c:pt idx="131">
                  <c:v>3.3837175350986671E-12</c:v>
                </c:pt>
                <c:pt idx="132">
                  <c:v>3.3837175350986671E-12</c:v>
                </c:pt>
                <c:pt idx="133">
                  <c:v>3.3837175350986671E-12</c:v>
                </c:pt>
                <c:pt idx="134">
                  <c:v>3.3837175350986671E-12</c:v>
                </c:pt>
                <c:pt idx="135">
                  <c:v>3.3837175350986671E-12</c:v>
                </c:pt>
                <c:pt idx="136">
                  <c:v>3.3837175350986671E-12</c:v>
                </c:pt>
                <c:pt idx="137">
                  <c:v>3.3837175350986671E-12</c:v>
                </c:pt>
                <c:pt idx="138">
                  <c:v>3.3837175350986671E-12</c:v>
                </c:pt>
                <c:pt idx="139">
                  <c:v>3.3837175350986671E-12</c:v>
                </c:pt>
                <c:pt idx="140">
                  <c:v>3.3837175350986671E-12</c:v>
                </c:pt>
                <c:pt idx="141">
                  <c:v>3.3837175350986671E-12</c:v>
                </c:pt>
                <c:pt idx="142">
                  <c:v>3.3837175350986671E-12</c:v>
                </c:pt>
                <c:pt idx="143">
                  <c:v>3.3837175350986671E-12</c:v>
                </c:pt>
                <c:pt idx="144">
                  <c:v>3.3837175350986671E-12</c:v>
                </c:pt>
                <c:pt idx="145">
                  <c:v>3.3837175350986671E-12</c:v>
                </c:pt>
                <c:pt idx="146">
                  <c:v>3.3837175350986671E-12</c:v>
                </c:pt>
                <c:pt idx="147">
                  <c:v>3.3837175350986671E-12</c:v>
                </c:pt>
                <c:pt idx="148">
                  <c:v>3.3837175350986671E-12</c:v>
                </c:pt>
                <c:pt idx="149">
                  <c:v>3.3837175350986671E-12</c:v>
                </c:pt>
                <c:pt idx="150">
                  <c:v>3.3837175350986671E-12</c:v>
                </c:pt>
                <c:pt idx="151">
                  <c:v>3.3837175350986671E-12</c:v>
                </c:pt>
                <c:pt idx="152">
                  <c:v>3.3837175350986671E-12</c:v>
                </c:pt>
                <c:pt idx="153">
                  <c:v>3.3837175350986671E-12</c:v>
                </c:pt>
                <c:pt idx="154">
                  <c:v>3.3837175350986671E-12</c:v>
                </c:pt>
                <c:pt idx="155">
                  <c:v>3.3837175350986671E-12</c:v>
                </c:pt>
                <c:pt idx="156">
                  <c:v>3.3837175350986671E-12</c:v>
                </c:pt>
                <c:pt idx="157">
                  <c:v>3.3837175350986671E-12</c:v>
                </c:pt>
                <c:pt idx="158">
                  <c:v>3.3837175350986671E-12</c:v>
                </c:pt>
                <c:pt idx="159">
                  <c:v>3.3837175350986671E-12</c:v>
                </c:pt>
                <c:pt idx="160">
                  <c:v>3.3837175350986671E-12</c:v>
                </c:pt>
                <c:pt idx="161">
                  <c:v>3.3837175350986671E-12</c:v>
                </c:pt>
                <c:pt idx="162">
                  <c:v>3.3837175350986671E-12</c:v>
                </c:pt>
                <c:pt idx="163">
                  <c:v>3.3837175350986671E-12</c:v>
                </c:pt>
                <c:pt idx="164">
                  <c:v>3.3837175350986671E-12</c:v>
                </c:pt>
                <c:pt idx="165">
                  <c:v>3.3837175350986671E-12</c:v>
                </c:pt>
                <c:pt idx="166">
                  <c:v>3.3837175350986671E-12</c:v>
                </c:pt>
                <c:pt idx="167">
                  <c:v>3.3837175350986671E-12</c:v>
                </c:pt>
                <c:pt idx="168">
                  <c:v>3.3837175350986671E-12</c:v>
                </c:pt>
                <c:pt idx="169">
                  <c:v>3.3837175350986671E-12</c:v>
                </c:pt>
                <c:pt idx="170">
                  <c:v>3.3837175350986671E-12</c:v>
                </c:pt>
                <c:pt idx="171">
                  <c:v>3.3837175350986671E-12</c:v>
                </c:pt>
                <c:pt idx="172">
                  <c:v>3.3837175350986671E-12</c:v>
                </c:pt>
                <c:pt idx="173">
                  <c:v>3.3837175350986671E-12</c:v>
                </c:pt>
                <c:pt idx="174">
                  <c:v>3.3837175350986671E-12</c:v>
                </c:pt>
                <c:pt idx="175">
                  <c:v>3.3837175350986671E-12</c:v>
                </c:pt>
                <c:pt idx="176">
                  <c:v>3.3837175350986671E-12</c:v>
                </c:pt>
                <c:pt idx="177">
                  <c:v>3.3837175350986671E-12</c:v>
                </c:pt>
                <c:pt idx="178">
                  <c:v>3.3837175350986671E-12</c:v>
                </c:pt>
                <c:pt idx="179">
                  <c:v>3.3837175350986671E-12</c:v>
                </c:pt>
                <c:pt idx="180">
                  <c:v>3.3837175350986671E-12</c:v>
                </c:pt>
                <c:pt idx="181">
                  <c:v>3.3837175350986671E-12</c:v>
                </c:pt>
                <c:pt idx="182">
                  <c:v>3.3837175350986671E-12</c:v>
                </c:pt>
                <c:pt idx="183">
                  <c:v>3.3837175350986671E-12</c:v>
                </c:pt>
                <c:pt idx="184">
                  <c:v>3.3837175350986671E-12</c:v>
                </c:pt>
                <c:pt idx="185">
                  <c:v>3.3837175350986671E-12</c:v>
                </c:pt>
                <c:pt idx="186">
                  <c:v>3.3837175350986671E-12</c:v>
                </c:pt>
                <c:pt idx="187">
                  <c:v>3.3837175350986671E-12</c:v>
                </c:pt>
                <c:pt idx="188">
                  <c:v>3.3837175350986671E-12</c:v>
                </c:pt>
                <c:pt idx="189">
                  <c:v>3.3837175350986671E-12</c:v>
                </c:pt>
                <c:pt idx="190">
                  <c:v>3.3837175350986671E-12</c:v>
                </c:pt>
                <c:pt idx="191">
                  <c:v>3.3837175350986671E-12</c:v>
                </c:pt>
                <c:pt idx="192">
                  <c:v>3.3837175350986671E-12</c:v>
                </c:pt>
                <c:pt idx="193">
                  <c:v>3.3837175350986671E-12</c:v>
                </c:pt>
                <c:pt idx="194">
                  <c:v>3.3837175350986671E-12</c:v>
                </c:pt>
                <c:pt idx="195">
                  <c:v>3.3837175350986671E-12</c:v>
                </c:pt>
                <c:pt idx="196">
                  <c:v>3.3837175350986671E-12</c:v>
                </c:pt>
                <c:pt idx="197">
                  <c:v>3.3837175350986671E-12</c:v>
                </c:pt>
                <c:pt idx="198">
                  <c:v>3.3837175350986671E-12</c:v>
                </c:pt>
                <c:pt idx="199">
                  <c:v>3.3837175350986671E-12</c:v>
                </c:pt>
                <c:pt idx="200">
                  <c:v>3.3837175350986671E-12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6.7012266474292561</c:v>
                </c:pt>
                <c:pt idx="2">
                  <c:v>13.100360091769332</c:v>
                </c:pt>
                <c:pt idx="3">
                  <c:v>19.401932595641792</c:v>
                </c:pt>
                <c:pt idx="4">
                  <c:v>25.643366265817331</c:v>
                </c:pt>
                <c:pt idx="5">
                  <c:v>31.841622027862211</c:v>
                </c:pt>
                <c:pt idx="6">
                  <c:v>38.006375101857856</c:v>
                </c:pt>
                <c:pt idx="7">
                  <c:v>44.143862728092891</c:v>
                </c:pt>
                <c:pt idx="8">
                  <c:v>50.258429390674486</c:v>
                </c:pt>
                <c:pt idx="9">
                  <c:v>56.353268340687663</c:v>
                </c:pt>
                <c:pt idx="10">
                  <c:v>62.430821588422752</c:v>
                </c:pt>
                <c:pt idx="11">
                  <c:v>68.493014479590201</c:v>
                </c:pt>
                <c:pt idx="12">
                  <c:v>74.541402218590207</c:v>
                </c:pt>
                <c:pt idx="13">
                  <c:v>80.577266028370119</c:v>
                </c:pt>
                <c:pt idx="14">
                  <c:v>86.601678823468816</c:v>
                </c:pt>
                <c:pt idx="15">
                  <c:v>92.615551559719918</c:v>
                </c:pt>
                <c:pt idx="16">
                  <c:v>98.619666860582356</c:v>
                </c:pt>
                <c:pt idx="17">
                  <c:v>104.61470399233006</c:v>
                </c:pt>
                <c:pt idx="18">
                  <c:v>110.60125779317569</c:v>
                </c:pt>
                <c:pt idx="19">
                  <c:v>116.57985327532657</c:v>
                </c:pt>
                <c:pt idx="20">
                  <c:v>122.55095706522599</c:v>
                </c:pt>
                <c:pt idx="21">
                  <c:v>128.51498649072371</c:v>
                </c:pt>
                <c:pt idx="22">
                  <c:v>134.47231688831482</c:v>
                </c:pt>
                <c:pt idx="23">
                  <c:v>140.42328754423383</c:v>
                </c:pt>
                <c:pt idx="24">
                  <c:v>146.36820657315965</c:v>
                </c:pt>
                <c:pt idx="25">
                  <c:v>152.30735496089207</c:v>
                </c:pt>
                <c:pt idx="26">
                  <c:v>158.24098994199105</c:v>
                </c:pt>
                <c:pt idx="27">
                  <c:v>164.16934784316467</c:v>
                </c:pt>
                <c:pt idx="28">
                  <c:v>170.09264649357141</c:v>
                </c:pt>
                <c:pt idx="29">
                  <c:v>176.01108728111834</c:v>
                </c:pt>
                <c:pt idx="30">
                  <c:v>181.92485691716328</c:v>
                </c:pt>
                <c:pt idx="31">
                  <c:v>187.83412895931338</c:v>
                </c:pt>
                <c:pt idx="32">
                  <c:v>193.73906513221425</c:v>
                </c:pt>
                <c:pt idx="33">
                  <c:v>199.63981647860271</c:v>
                </c:pt>
                <c:pt idx="34">
                  <c:v>205.53652436691712</c:v>
                </c:pt>
                <c:pt idx="35">
                  <c:v>211.42932137703534</c:v>
                </c:pt>
                <c:pt idx="36">
                  <c:v>217.31833208193919</c:v>
                </c:pt>
                <c:pt idx="37">
                  <c:v>223.20367374008651</c:v>
                </c:pt>
                <c:pt idx="38">
                  <c:v>229.08545691082665</c:v>
                </c:pt>
                <c:pt idx="39">
                  <c:v>234.96378600321347</c:v>
                </c:pt>
                <c:pt idx="40">
                  <c:v>240.8387597669454</c:v>
                </c:pt>
                <c:pt idx="41">
                  <c:v>179.31935321215676</c:v>
                </c:pt>
                <c:pt idx="42">
                  <c:v>191.33757043506856</c:v>
                </c:pt>
                <c:pt idx="43">
                  <c:v>203.33821610742942</c:v>
                </c:pt>
                <c:pt idx="44">
                  <c:v>215.32247405361412</c:v>
                </c:pt>
                <c:pt idx="45">
                  <c:v>227.29138543375416</c:v>
                </c:pt>
                <c:pt idx="46">
                  <c:v>239.24587270695574</c:v>
                </c:pt>
                <c:pt idx="47">
                  <c:v>251.18675854768705</c:v>
                </c:pt>
                <c:pt idx="48">
                  <c:v>263.11478097261084</c:v>
                </c:pt>
                <c:pt idx="49">
                  <c:v>275.03060557796812</c:v>
                </c:pt>
                <c:pt idx="50">
                  <c:v>286.93483554330078</c:v>
                </c:pt>
                <c:pt idx="51">
                  <c:v>237.73240617183436</c:v>
                </c:pt>
                <c:pt idx="52">
                  <c:v>250.55024224220472</c:v>
                </c:pt>
                <c:pt idx="53">
                  <c:v>263.3532148966292</c:v>
                </c:pt>
                <c:pt idx="54">
                  <c:v>276.14214878251744</c:v>
                </c:pt>
                <c:pt idx="55">
                  <c:v>288.91778588930123</c:v>
                </c:pt>
                <c:pt idx="56">
                  <c:v>301.68079720041504</c:v>
                </c:pt>
                <c:pt idx="57">
                  <c:v>314.43179226896012</c:v>
                </c:pt>
                <c:pt idx="58">
                  <c:v>327.1713271579618</c:v>
                </c:pt>
                <c:pt idx="59">
                  <c:v>339.89991107863034</c:v>
                </c:pt>
                <c:pt idx="60">
                  <c:v>352.61801198187936</c:v>
                </c:pt>
                <c:pt idx="61">
                  <c:v>315.6191814146444</c:v>
                </c:pt>
                <c:pt idx="62">
                  <c:v>330.01840353433437</c:v>
                </c:pt>
                <c:pt idx="63">
                  <c:v>344.40376847243942</c:v>
                </c:pt>
                <c:pt idx="64">
                  <c:v>358.77593654868457</c:v>
                </c:pt>
                <c:pt idx="65">
                  <c:v>373.13551085943897</c:v>
                </c:pt>
                <c:pt idx="66">
                  <c:v>387.48304429428185</c:v>
                </c:pt>
                <c:pt idx="67">
                  <c:v>401.81904545892212</c:v>
                </c:pt>
                <c:pt idx="68">
                  <c:v>416.14398370865251</c:v>
                </c:pt>
                <c:pt idx="69">
                  <c:v>430.45829345255555</c:v>
                </c:pt>
                <c:pt idx="70">
                  <c:v>444.76237785533249</c:v>
                </c:pt>
                <c:pt idx="71">
                  <c:v>420.39217677567558</c:v>
                </c:pt>
                <c:pt idx="72">
                  <c:v>437.69018338682162</c:v>
                </c:pt>
                <c:pt idx="73">
                  <c:v>454.97352940578475</c:v>
                </c:pt>
                <c:pt idx="74">
                  <c:v>472.24284989772531</c:v>
                </c:pt>
                <c:pt idx="75">
                  <c:v>489.49872971371423</c:v>
                </c:pt>
                <c:pt idx="76">
                  <c:v>506.74170912772075</c:v>
                </c:pt>
                <c:pt idx="77">
                  <c:v>523.97228866665114</c:v>
                </c:pt>
                <c:pt idx="78">
                  <c:v>541.19093327221731</c:v>
                </c:pt>
                <c:pt idx="79">
                  <c:v>558.39807590580369</c:v>
                </c:pt>
                <c:pt idx="80">
                  <c:v>575.59412068608583</c:v>
                </c:pt>
                <c:pt idx="81">
                  <c:v>561.52544355316797</c:v>
                </c:pt>
                <c:pt idx="82">
                  <c:v>582.62575594754583</c:v>
                </c:pt>
                <c:pt idx="83">
                  <c:v>603.71014314896422</c:v>
                </c:pt>
                <c:pt idx="84">
                  <c:v>624.77923907367449</c:v>
                </c:pt>
                <c:pt idx="85">
                  <c:v>645.83363144000441</c:v>
                </c:pt>
                <c:pt idx="86">
                  <c:v>666.87386656172839</c:v>
                </c:pt>
                <c:pt idx="87">
                  <c:v>687.90045350556591</c:v>
                </c:pt>
                <c:pt idx="88">
                  <c:v>708.91386771439068</c:v>
                </c:pt>
                <c:pt idx="89">
                  <c:v>729.91455417892757</c:v>
                </c:pt>
                <c:pt idx="90">
                  <c:v>750.90293022581852</c:v>
                </c:pt>
                <c:pt idx="91">
                  <c:v>751.05835473990373</c:v>
                </c:pt>
                <c:pt idx="92">
                  <c:v>777.62645970613573</c:v>
                </c:pt>
                <c:pt idx="93">
                  <c:v>804.17618924269766</c:v>
                </c:pt>
                <c:pt idx="94">
                  <c:v>830.70823443498955</c:v>
                </c:pt>
                <c:pt idx="95">
                  <c:v>857.22323869383774</c:v>
                </c:pt>
                <c:pt idx="96">
                  <c:v>883.72180244616675</c:v>
                </c:pt>
                <c:pt idx="97">
                  <c:v>910.20448723463699</c:v>
                </c:pt>
                <c:pt idx="98">
                  <c:v>936.67181931607627</c:v>
                </c:pt>
                <c:pt idx="99">
                  <c:v>963.12429283267693</c:v>
                </c:pt>
                <c:pt idx="100">
                  <c:v>989.56237261724812</c:v>
                </c:pt>
                <c:pt idx="101">
                  <c:v>1005.9438563615032</c:v>
                </c:pt>
                <c:pt idx="102">
                  <c:v>1040.080892488696</c:v>
                </c:pt>
                <c:pt idx="103">
                  <c:v>1074.1959039751603</c:v>
                </c:pt>
                <c:pt idx="104">
                  <c:v>1108.2896871957905</c:v>
                </c:pt>
                <c:pt idx="105">
                  <c:v>1142.3629856410046</c:v>
                </c:pt>
                <c:pt idx="106">
                  <c:v>1176.4164949313861</c:v>
                </c:pt>
                <c:pt idx="107">
                  <c:v>1210.4508672227037</c:v>
                </c:pt>
                <c:pt idx="108">
                  <c:v>1244.4667150908033</c:v>
                </c:pt>
                <c:pt idx="109">
                  <c:v>1278.4646149705729</c:v>
                </c:pt>
                <c:pt idx="110">
                  <c:v>1312.4451102108931</c:v>
                </c:pt>
                <c:pt idx="111">
                  <c:v>1303.9900241461421</c:v>
                </c:pt>
                <c:pt idx="112">
                  <c:v>1303.9900241461421</c:v>
                </c:pt>
                <c:pt idx="113">
                  <c:v>1303.9900241461421</c:v>
                </c:pt>
                <c:pt idx="114">
                  <c:v>1303.9900241461421</c:v>
                </c:pt>
                <c:pt idx="115">
                  <c:v>1303.9900241461421</c:v>
                </c:pt>
                <c:pt idx="116">
                  <c:v>1303.9900241461421</c:v>
                </c:pt>
                <c:pt idx="117">
                  <c:v>1303.9900241461421</c:v>
                </c:pt>
                <c:pt idx="118">
                  <c:v>1303.9900241461421</c:v>
                </c:pt>
                <c:pt idx="119">
                  <c:v>1303.9900241461421</c:v>
                </c:pt>
                <c:pt idx="120">
                  <c:v>1303.9900241461421</c:v>
                </c:pt>
                <c:pt idx="121">
                  <c:v>1303.9900241461421</c:v>
                </c:pt>
                <c:pt idx="122">
                  <c:v>1303.9900241461421</c:v>
                </c:pt>
                <c:pt idx="123">
                  <c:v>1303.9900241461421</c:v>
                </c:pt>
                <c:pt idx="124">
                  <c:v>1303.9900241461421</c:v>
                </c:pt>
                <c:pt idx="125">
                  <c:v>1303.9900241461421</c:v>
                </c:pt>
                <c:pt idx="126">
                  <c:v>1303.9900241461421</c:v>
                </c:pt>
                <c:pt idx="127">
                  <c:v>1303.9900241461421</c:v>
                </c:pt>
                <c:pt idx="128">
                  <c:v>1303.9900241461421</c:v>
                </c:pt>
                <c:pt idx="129">
                  <c:v>1303.9900241461421</c:v>
                </c:pt>
                <c:pt idx="130">
                  <c:v>1303.9900241461421</c:v>
                </c:pt>
                <c:pt idx="131">
                  <c:v>1303.9900241461421</c:v>
                </c:pt>
                <c:pt idx="132">
                  <c:v>1303.9900241461421</c:v>
                </c:pt>
                <c:pt idx="133">
                  <c:v>1303.9900241461421</c:v>
                </c:pt>
                <c:pt idx="134">
                  <c:v>1303.9900241461421</c:v>
                </c:pt>
                <c:pt idx="135">
                  <c:v>1303.9900241461421</c:v>
                </c:pt>
                <c:pt idx="136">
                  <c:v>1303.9900241461421</c:v>
                </c:pt>
                <c:pt idx="137">
                  <c:v>1303.9900241461421</c:v>
                </c:pt>
                <c:pt idx="138">
                  <c:v>1303.9900241461421</c:v>
                </c:pt>
                <c:pt idx="139">
                  <c:v>1303.9900241461421</c:v>
                </c:pt>
                <c:pt idx="140">
                  <c:v>1303.9900241461421</c:v>
                </c:pt>
                <c:pt idx="141">
                  <c:v>1303.9900241461421</c:v>
                </c:pt>
                <c:pt idx="142">
                  <c:v>1303.9900241461421</c:v>
                </c:pt>
                <c:pt idx="143">
                  <c:v>1303.9900241461421</c:v>
                </c:pt>
                <c:pt idx="144">
                  <c:v>1303.9900241461421</c:v>
                </c:pt>
                <c:pt idx="145">
                  <c:v>1303.9900241461421</c:v>
                </c:pt>
                <c:pt idx="146">
                  <c:v>1303.9900241461421</c:v>
                </c:pt>
                <c:pt idx="147">
                  <c:v>1303.9900241461421</c:v>
                </c:pt>
                <c:pt idx="148">
                  <c:v>1303.9900241461421</c:v>
                </c:pt>
                <c:pt idx="149">
                  <c:v>1303.9900241461421</c:v>
                </c:pt>
                <c:pt idx="150">
                  <c:v>1303.9900241461421</c:v>
                </c:pt>
                <c:pt idx="151">
                  <c:v>1303.9900241461421</c:v>
                </c:pt>
                <c:pt idx="152">
                  <c:v>1303.9900241461421</c:v>
                </c:pt>
                <c:pt idx="153">
                  <c:v>1303.9900241461421</c:v>
                </c:pt>
                <c:pt idx="154">
                  <c:v>1303.9900241461421</c:v>
                </c:pt>
                <c:pt idx="155">
                  <c:v>1303.9900241461421</c:v>
                </c:pt>
                <c:pt idx="156">
                  <c:v>1303.9900241461421</c:v>
                </c:pt>
                <c:pt idx="157">
                  <c:v>1303.9900241461421</c:v>
                </c:pt>
                <c:pt idx="158">
                  <c:v>1303.9900241461421</c:v>
                </c:pt>
                <c:pt idx="159">
                  <c:v>1303.9900241461421</c:v>
                </c:pt>
                <c:pt idx="160">
                  <c:v>1303.9900241461421</c:v>
                </c:pt>
                <c:pt idx="161">
                  <c:v>1303.9900241461421</c:v>
                </c:pt>
                <c:pt idx="162">
                  <c:v>1303.9900241461421</c:v>
                </c:pt>
                <c:pt idx="163">
                  <c:v>1303.9900241461421</c:v>
                </c:pt>
                <c:pt idx="164">
                  <c:v>1303.9900241461421</c:v>
                </c:pt>
                <c:pt idx="165">
                  <c:v>1303.9900241461421</c:v>
                </c:pt>
                <c:pt idx="166">
                  <c:v>1303.9900241461421</c:v>
                </c:pt>
                <c:pt idx="167">
                  <c:v>1303.9900241461421</c:v>
                </c:pt>
                <c:pt idx="168">
                  <c:v>1303.9900241461421</c:v>
                </c:pt>
                <c:pt idx="169">
                  <c:v>1303.9900241461421</c:v>
                </c:pt>
                <c:pt idx="170">
                  <c:v>1303.9900241461421</c:v>
                </c:pt>
                <c:pt idx="171">
                  <c:v>1303.9900241461421</c:v>
                </c:pt>
                <c:pt idx="172">
                  <c:v>1303.9900241461421</c:v>
                </c:pt>
                <c:pt idx="173">
                  <c:v>1303.9900241461421</c:v>
                </c:pt>
                <c:pt idx="174">
                  <c:v>1303.9900241461421</c:v>
                </c:pt>
                <c:pt idx="175">
                  <c:v>1303.9900241461421</c:v>
                </c:pt>
                <c:pt idx="176">
                  <c:v>1303.9900241461421</c:v>
                </c:pt>
                <c:pt idx="177">
                  <c:v>1303.9900241461421</c:v>
                </c:pt>
                <c:pt idx="178">
                  <c:v>1303.9900241461421</c:v>
                </c:pt>
                <c:pt idx="179">
                  <c:v>1303.9900241461421</c:v>
                </c:pt>
                <c:pt idx="180">
                  <c:v>1303.9900241461421</c:v>
                </c:pt>
                <c:pt idx="181">
                  <c:v>1303.9900241461421</c:v>
                </c:pt>
                <c:pt idx="182">
                  <c:v>1303.9900241461421</c:v>
                </c:pt>
                <c:pt idx="183">
                  <c:v>1303.9900241461421</c:v>
                </c:pt>
                <c:pt idx="184">
                  <c:v>1303.9900241461421</c:v>
                </c:pt>
                <c:pt idx="185">
                  <c:v>1303.9900241461421</c:v>
                </c:pt>
                <c:pt idx="186">
                  <c:v>1303.9900241461421</c:v>
                </c:pt>
                <c:pt idx="187">
                  <c:v>1303.9900241461421</c:v>
                </c:pt>
                <c:pt idx="188">
                  <c:v>1303.9900241461421</c:v>
                </c:pt>
                <c:pt idx="189">
                  <c:v>1303.9900241461421</c:v>
                </c:pt>
                <c:pt idx="190">
                  <c:v>1303.9900241461421</c:v>
                </c:pt>
                <c:pt idx="191">
                  <c:v>1303.9900241461421</c:v>
                </c:pt>
                <c:pt idx="192">
                  <c:v>1303.9900241461421</c:v>
                </c:pt>
                <c:pt idx="193">
                  <c:v>1303.9900241461421</c:v>
                </c:pt>
                <c:pt idx="194">
                  <c:v>1303.9900241461421</c:v>
                </c:pt>
                <c:pt idx="195">
                  <c:v>1303.9900241461421</c:v>
                </c:pt>
                <c:pt idx="196">
                  <c:v>1303.9900241461421</c:v>
                </c:pt>
                <c:pt idx="197">
                  <c:v>1303.9900241461421</c:v>
                </c:pt>
                <c:pt idx="198">
                  <c:v>1303.9900241461421</c:v>
                </c:pt>
                <c:pt idx="199">
                  <c:v>1303.9900241461421</c:v>
                </c:pt>
                <c:pt idx="200">
                  <c:v>1303.9900241461421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4.6487717088567306</c:v>
                </c:pt>
                <c:pt idx="2">
                  <c:v>9.081363826761077</c:v>
                </c:pt>
                <c:pt idx="3">
                  <c:v>13.444140788324439</c:v>
                </c:pt>
                <c:pt idx="4">
                  <c:v>17.763882063099725</c:v>
                </c:pt>
                <c:pt idx="5">
                  <c:v>22.052724984577377</c:v>
                </c:pt>
                <c:pt idx="6">
                  <c:v>26.317593194528158</c:v>
                </c:pt>
                <c:pt idx="7">
                  <c:v>30.562950097095165</c:v>
                </c:pt>
                <c:pt idx="8">
                  <c:v>34.791904629479184</c:v>
                </c:pt>
                <c:pt idx="9">
                  <c:v>39.006741900071624</c:v>
                </c:pt>
                <c:pt idx="10">
                  <c:v>43.209209425136542</c:v>
                </c:pt>
                <c:pt idx="11">
                  <c:v>47.400684992866069</c:v>
                </c:pt>
                <c:pt idx="12">
                  <c:v>51.582281516254049</c:v>
                </c:pt>
                <c:pt idx="13">
                  <c:v>55.754915845629625</c:v>
                </c:pt>
                <c:pt idx="14">
                  <c:v>59.919355764656153</c:v>
                </c:pt>
                <c:pt idx="15">
                  <c:v>64.076253158438831</c:v>
                </c:pt>
                <c:pt idx="16">
                  <c:v>68.226168076715652</c:v>
                </c:pt>
                <c:pt idx="17">
                  <c:v>72.369586606243033</c:v>
                </c:pt>
                <c:pt idx="18">
                  <c:v>76.506934416583192</c:v>
                </c:pt>
                <c:pt idx="19">
                  <c:v>80.638587209417167</c:v>
                </c:pt>
                <c:pt idx="20">
                  <c:v>84.764878905245652</c:v>
                </c:pt>
                <c:pt idx="21">
                  <c:v>88.886108146219229</c:v>
                </c:pt>
                <c:pt idx="22">
                  <c:v>93.00254352523956</c:v>
                </c:pt>
                <c:pt idx="23">
                  <c:v>97.11442783743945</c:v>
                </c:pt>
                <c:pt idx="24">
                  <c:v>101.22198157141189</c:v>
                </c:pt>
                <c:pt idx="25">
                  <c:v>105.32540580217147</c:v>
                </c:pt>
                <c:pt idx="26">
                  <c:v>109.42488460821255</c:v>
                </c:pt>
                <c:pt idx="27">
                  <c:v>113.52058710625317</c:v>
                </c:pt>
                <c:pt idx="28">
                  <c:v>117.61266917606139</c:v>
                </c:pt>
                <c:pt idx="29">
                  <c:v>121.70127493195322</c:v>
                </c:pt>
                <c:pt idx="30">
                  <c:v>125.78653798562384</c:v>
                </c:pt>
                <c:pt idx="31">
                  <c:v>129.86858253587059</c:v>
                </c:pt>
                <c:pt idx="32">
                  <c:v>133.94752431375733</c:v>
                </c:pt>
                <c:pt idx="33">
                  <c:v>138.02347140631372</c:v>
                </c:pt>
                <c:pt idx="34">
                  <c:v>142.09652497758751</c:v>
                </c:pt>
                <c:pt idx="35">
                  <c:v>146.16677990248306</c:v>
                </c:pt>
                <c:pt idx="36">
                  <c:v>150.23432532612506</c:v>
                </c:pt>
                <c:pt idx="37">
                  <c:v>154.29924515932376</c:v>
                </c:pt>
                <c:pt idx="38">
                  <c:v>158.36161851896989</c:v>
                </c:pt>
                <c:pt idx="39">
                  <c:v>162.42152012076801</c:v>
                </c:pt>
                <c:pt idx="40">
                  <c:v>166.47902063055651</c:v>
                </c:pt>
                <c:pt idx="41">
                  <c:v>120.44671786770267</c:v>
                </c:pt>
                <c:pt idx="42">
                  <c:v>127.64607895771688</c:v>
                </c:pt>
                <c:pt idx="43">
                  <c:v>134.83560588351023</c:v>
                </c:pt>
                <c:pt idx="44">
                  <c:v>142.01589791538456</c:v>
                </c:pt>
                <c:pt idx="45">
                  <c:v>149.18748865055136</c:v>
                </c:pt>
                <c:pt idx="46">
                  <c:v>156.3508560928309</c:v>
                </c:pt>
                <c:pt idx="47">
                  <c:v>163.506430784109</c:v>
                </c:pt>
                <c:pt idx="48">
                  <c:v>170.65460243474342</c:v>
                </c:pt>
                <c:pt idx="49">
                  <c:v>177.7957253826381</c:v>
                </c:pt>
                <c:pt idx="50">
                  <c:v>184.93012312766436</c:v>
                </c:pt>
                <c:pt idx="51">
                  <c:v>145.88477140729762</c:v>
                </c:pt>
                <c:pt idx="52">
                  <c:v>153.4542760522265</c:v>
                </c:pt>
                <c:pt idx="53">
                  <c:v>161.0148988976209</c:v>
                </c:pt>
                <c:pt idx="54">
                  <c:v>168.56711647960483</c:v>
                </c:pt>
                <c:pt idx="55">
                  <c:v>176.11135907210755</c:v>
                </c:pt>
                <c:pt idx="56">
                  <c:v>183.64801701193312</c:v>
                </c:pt>
                <c:pt idx="57">
                  <c:v>191.1774459292634</c:v>
                </c:pt>
                <c:pt idx="58">
                  <c:v>198.69997110958766</c:v>
                </c:pt>
                <c:pt idx="59">
                  <c:v>206.21589115942029</c:v>
                </c:pt>
                <c:pt idx="60">
                  <c:v>213.72548110879916</c:v>
                </c:pt>
                <c:pt idx="61">
                  <c:v>175.87070451967409</c:v>
                </c:pt>
                <c:pt idx="62">
                  <c:v>184.44935776392717</c:v>
                </c:pt>
                <c:pt idx="63">
                  <c:v>193.01868986788008</c:v>
                </c:pt>
                <c:pt idx="64">
                  <c:v>201.57917352179132</c:v>
                </c:pt>
                <c:pt idx="65">
                  <c:v>210.13123793503917</c:v>
                </c:pt>
                <c:pt idx="66">
                  <c:v>218.67527448180306</c:v>
                </c:pt>
                <c:pt idx="67">
                  <c:v>227.21164141696735</c:v>
                </c:pt>
                <c:pt idx="68">
                  <c:v>235.74066784528785</c:v>
                </c:pt>
                <c:pt idx="69">
                  <c:v>244.26265708537414</c:v>
                </c:pt>
                <c:pt idx="70">
                  <c:v>252.77788953910454</c:v>
                </c:pt>
                <c:pt idx="71">
                  <c:v>212.36782098787796</c:v>
                </c:pt>
                <c:pt idx="72">
                  <c:v>221.38858002812572</c:v>
                </c:pt>
                <c:pt idx="73">
                  <c:v>230.40090486291277</c:v>
                </c:pt>
                <c:pt idx="74">
                  <c:v>239.40517225820398</c:v>
                </c:pt>
                <c:pt idx="75">
                  <c:v>248.40172829405643</c:v>
                </c:pt>
                <c:pt idx="76">
                  <c:v>257.39089190912694</c:v>
                </c:pt>
                <c:pt idx="77">
                  <c:v>266.37295792360243</c:v>
                </c:pt>
                <c:pt idx="78">
                  <c:v>275.34819963267495</c:v>
                </c:pt>
                <c:pt idx="79">
                  <c:v>284.31687104387373</c:v>
                </c:pt>
                <c:pt idx="80">
                  <c:v>293.27920881709287</c:v>
                </c:pt>
                <c:pt idx="81">
                  <c:v>256.5956811218345</c:v>
                </c:pt>
                <c:pt idx="82">
                  <c:v>265.97566761299265</c:v>
                </c:pt>
                <c:pt idx="83">
                  <c:v>275.34819963267495</c:v>
                </c:pt>
                <c:pt idx="84">
                  <c:v>284.71356690603369</c:v>
                </c:pt>
                <c:pt idx="85">
                  <c:v>294.07203852588191</c:v>
                </c:pt>
                <c:pt idx="86">
                  <c:v>303.42386504615678</c:v>
                </c:pt>
                <c:pt idx="87">
                  <c:v>312.76928030361535</c:v>
                </c:pt>
                <c:pt idx="88">
                  <c:v>322.10850301027796</c:v>
                </c:pt>
                <c:pt idx="89">
                  <c:v>331.44173815141806</c:v>
                </c:pt>
                <c:pt idx="90">
                  <c:v>340.76917821776755</c:v>
                </c:pt>
                <c:pt idx="91">
                  <c:v>311.26493387308602</c:v>
                </c:pt>
                <c:pt idx="92">
                  <c:v>321.31727845573067</c:v>
                </c:pt>
                <c:pt idx="93">
                  <c:v>331.36266754921377</c:v>
                </c:pt>
                <c:pt idx="94">
                  <c:v>341.40134185507873</c:v>
                </c:pt>
                <c:pt idx="95">
                  <c:v>351.43352675652278</c:v>
                </c:pt>
                <c:pt idx="96">
                  <c:v>361.45943371216896</c:v>
                </c:pt>
                <c:pt idx="97">
                  <c:v>371.47926148706119</c:v>
                </c:pt>
                <c:pt idx="98">
                  <c:v>381.49319724386106</c:v>
                </c:pt>
                <c:pt idx="99">
                  <c:v>391.5014175134545</c:v>
                </c:pt>
                <c:pt idx="100">
                  <c:v>401.504089061098</c:v>
                </c:pt>
                <c:pt idx="101">
                  <c:v>377.07831821014685</c:v>
                </c:pt>
                <c:pt idx="102">
                  <c:v>388.11343694174485</c:v>
                </c:pt>
                <c:pt idx="103">
                  <c:v>399.14174530493943</c:v>
                </c:pt>
                <c:pt idx="104">
                  <c:v>410.16345804120152</c:v>
                </c:pt>
                <c:pt idx="105">
                  <c:v>421.17877740683298</c:v>
                </c:pt>
                <c:pt idx="106">
                  <c:v>432.18789421338261</c:v>
                </c:pt>
                <c:pt idx="107">
                  <c:v>443.19098875651349</c:v>
                </c:pt>
                <c:pt idx="108">
                  <c:v>454.18823164780906</c:v>
                </c:pt>
                <c:pt idx="109">
                  <c:v>465.17978456181322</c:v>
                </c:pt>
                <c:pt idx="110">
                  <c:v>476.16580090878392</c:v>
                </c:pt>
                <c:pt idx="111">
                  <c:v>444.76237785533249</c:v>
                </c:pt>
                <c:pt idx="112">
                  <c:v>444.76237785533249</c:v>
                </c:pt>
                <c:pt idx="113">
                  <c:v>444.76237785533249</c:v>
                </c:pt>
                <c:pt idx="114">
                  <c:v>444.76237785533249</c:v>
                </c:pt>
                <c:pt idx="115">
                  <c:v>444.76237785533249</c:v>
                </c:pt>
                <c:pt idx="116">
                  <c:v>444.76237785533249</c:v>
                </c:pt>
                <c:pt idx="117">
                  <c:v>444.76237785533249</c:v>
                </c:pt>
                <c:pt idx="118">
                  <c:v>444.76237785533249</c:v>
                </c:pt>
                <c:pt idx="119">
                  <c:v>444.76237785533249</c:v>
                </c:pt>
                <c:pt idx="120">
                  <c:v>444.76237785533249</c:v>
                </c:pt>
                <c:pt idx="121">
                  <c:v>444.76237785533249</c:v>
                </c:pt>
                <c:pt idx="122">
                  <c:v>444.76237785533249</c:v>
                </c:pt>
                <c:pt idx="123">
                  <c:v>444.76237785533249</c:v>
                </c:pt>
                <c:pt idx="124">
                  <c:v>444.76237785533249</c:v>
                </c:pt>
                <c:pt idx="125">
                  <c:v>444.76237785533249</c:v>
                </c:pt>
                <c:pt idx="126">
                  <c:v>444.76237785533249</c:v>
                </c:pt>
                <c:pt idx="127">
                  <c:v>444.76237785533249</c:v>
                </c:pt>
                <c:pt idx="128">
                  <c:v>444.76237785533249</c:v>
                </c:pt>
                <c:pt idx="129">
                  <c:v>444.76237785533249</c:v>
                </c:pt>
                <c:pt idx="130">
                  <c:v>444.76237785533249</c:v>
                </c:pt>
                <c:pt idx="131">
                  <c:v>444.76237785533249</c:v>
                </c:pt>
                <c:pt idx="132">
                  <c:v>444.76237785533249</c:v>
                </c:pt>
                <c:pt idx="133">
                  <c:v>444.76237785533249</c:v>
                </c:pt>
                <c:pt idx="134">
                  <c:v>444.76237785533249</c:v>
                </c:pt>
                <c:pt idx="135">
                  <c:v>444.76237785533249</c:v>
                </c:pt>
                <c:pt idx="136">
                  <c:v>444.76237785533249</c:v>
                </c:pt>
                <c:pt idx="137">
                  <c:v>444.76237785533249</c:v>
                </c:pt>
                <c:pt idx="138">
                  <c:v>444.76237785533249</c:v>
                </c:pt>
                <c:pt idx="139">
                  <c:v>444.76237785533249</c:v>
                </c:pt>
                <c:pt idx="140">
                  <c:v>444.76237785533249</c:v>
                </c:pt>
                <c:pt idx="141">
                  <c:v>444.76237785533249</c:v>
                </c:pt>
                <c:pt idx="142">
                  <c:v>444.76237785533249</c:v>
                </c:pt>
                <c:pt idx="143">
                  <c:v>444.76237785533249</c:v>
                </c:pt>
                <c:pt idx="144">
                  <c:v>444.76237785533249</c:v>
                </c:pt>
                <c:pt idx="145">
                  <c:v>444.76237785533249</c:v>
                </c:pt>
                <c:pt idx="146">
                  <c:v>444.76237785533249</c:v>
                </c:pt>
                <c:pt idx="147">
                  <c:v>444.76237785533249</c:v>
                </c:pt>
                <c:pt idx="148">
                  <c:v>444.76237785533249</c:v>
                </c:pt>
                <c:pt idx="149">
                  <c:v>444.76237785533249</c:v>
                </c:pt>
                <c:pt idx="150">
                  <c:v>444.76237785533249</c:v>
                </c:pt>
                <c:pt idx="151">
                  <c:v>444.76237785533249</c:v>
                </c:pt>
                <c:pt idx="152">
                  <c:v>444.76237785533249</c:v>
                </c:pt>
                <c:pt idx="153">
                  <c:v>444.76237785533249</c:v>
                </c:pt>
                <c:pt idx="154">
                  <c:v>444.76237785533249</c:v>
                </c:pt>
                <c:pt idx="155">
                  <c:v>444.76237785533249</c:v>
                </c:pt>
                <c:pt idx="156">
                  <c:v>444.76237785533249</c:v>
                </c:pt>
                <c:pt idx="157">
                  <c:v>444.76237785533249</c:v>
                </c:pt>
                <c:pt idx="158">
                  <c:v>444.76237785533249</c:v>
                </c:pt>
                <c:pt idx="159">
                  <c:v>444.76237785533249</c:v>
                </c:pt>
                <c:pt idx="160">
                  <c:v>444.76237785533249</c:v>
                </c:pt>
                <c:pt idx="161">
                  <c:v>444.76237785533249</c:v>
                </c:pt>
                <c:pt idx="162">
                  <c:v>444.76237785533249</c:v>
                </c:pt>
                <c:pt idx="163">
                  <c:v>444.76237785533249</c:v>
                </c:pt>
                <c:pt idx="164">
                  <c:v>444.76237785533249</c:v>
                </c:pt>
                <c:pt idx="165">
                  <c:v>444.76237785533249</c:v>
                </c:pt>
                <c:pt idx="166">
                  <c:v>444.76237785533249</c:v>
                </c:pt>
                <c:pt idx="167">
                  <c:v>444.76237785533249</c:v>
                </c:pt>
                <c:pt idx="168">
                  <c:v>444.76237785533249</c:v>
                </c:pt>
                <c:pt idx="169">
                  <c:v>444.76237785533249</c:v>
                </c:pt>
                <c:pt idx="170">
                  <c:v>444.76237785533249</c:v>
                </c:pt>
                <c:pt idx="171">
                  <c:v>444.76237785533249</c:v>
                </c:pt>
                <c:pt idx="172">
                  <c:v>444.76237785533249</c:v>
                </c:pt>
                <c:pt idx="173">
                  <c:v>444.76237785533249</c:v>
                </c:pt>
                <c:pt idx="174">
                  <c:v>444.76237785533249</c:v>
                </c:pt>
                <c:pt idx="175">
                  <c:v>444.76237785533249</c:v>
                </c:pt>
                <c:pt idx="176">
                  <c:v>444.76237785533249</c:v>
                </c:pt>
                <c:pt idx="177">
                  <c:v>444.76237785533249</c:v>
                </c:pt>
                <c:pt idx="178">
                  <c:v>444.76237785533249</c:v>
                </c:pt>
                <c:pt idx="179">
                  <c:v>444.76237785533249</c:v>
                </c:pt>
                <c:pt idx="180">
                  <c:v>444.76237785533249</c:v>
                </c:pt>
                <c:pt idx="181">
                  <c:v>444.76237785533249</c:v>
                </c:pt>
                <c:pt idx="182">
                  <c:v>444.76237785533249</c:v>
                </c:pt>
                <c:pt idx="183">
                  <c:v>444.76237785533249</c:v>
                </c:pt>
                <c:pt idx="184">
                  <c:v>444.76237785533249</c:v>
                </c:pt>
                <c:pt idx="185">
                  <c:v>444.76237785533249</c:v>
                </c:pt>
                <c:pt idx="186">
                  <c:v>444.76237785533249</c:v>
                </c:pt>
                <c:pt idx="187">
                  <c:v>444.76237785533249</c:v>
                </c:pt>
                <c:pt idx="188">
                  <c:v>444.76237785533249</c:v>
                </c:pt>
                <c:pt idx="189">
                  <c:v>444.76237785533249</c:v>
                </c:pt>
                <c:pt idx="190">
                  <c:v>444.76237785533249</c:v>
                </c:pt>
                <c:pt idx="191">
                  <c:v>444.76237785533249</c:v>
                </c:pt>
                <c:pt idx="192">
                  <c:v>444.76237785533249</c:v>
                </c:pt>
                <c:pt idx="193">
                  <c:v>444.76237785533249</c:v>
                </c:pt>
                <c:pt idx="194">
                  <c:v>444.76237785533249</c:v>
                </c:pt>
                <c:pt idx="195">
                  <c:v>444.76237785533249</c:v>
                </c:pt>
                <c:pt idx="196">
                  <c:v>444.76237785533249</c:v>
                </c:pt>
                <c:pt idx="197">
                  <c:v>444.76237785533249</c:v>
                </c:pt>
                <c:pt idx="198">
                  <c:v>444.76237785533249</c:v>
                </c:pt>
                <c:pt idx="199">
                  <c:v>444.76237785533249</c:v>
                </c:pt>
                <c:pt idx="200">
                  <c:v>444.76237785533249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1.9411817270446112</c:v>
                </c:pt>
                <c:pt idx="2">
                  <c:v>2.4297641653807944</c:v>
                </c:pt>
                <c:pt idx="3">
                  <c:v>3.0418043526627723</c:v>
                </c:pt>
                <c:pt idx="4">
                  <c:v>3.8086140137352733</c:v>
                </c:pt>
                <c:pt idx="5">
                  <c:v>4.7694737635358386</c:v>
                </c:pt>
                <c:pt idx="6">
                  <c:v>5.9736677222174537</c:v>
                </c:pt>
                <c:pt idx="7">
                  <c:v>7.4830391464966226</c:v>
                </c:pt>
                <c:pt idx="8">
                  <c:v>9.375200859104206</c:v>
                </c:pt>
                <c:pt idx="9">
                  <c:v>11.747568694482132</c:v>
                </c:pt>
                <c:pt idx="10">
                  <c:v>14.722429499116059</c:v>
                </c:pt>
                <c:pt idx="11">
                  <c:v>18.453309725680967</c:v>
                </c:pt>
                <c:pt idx="12">
                  <c:v>23.132979232814776</c:v>
                </c:pt>
                <c:pt idx="13">
                  <c:v>29.003511187168854</c:v>
                </c:pt>
                <c:pt idx="14">
                  <c:v>36.368927545143769</c:v>
                </c:pt>
                <c:pt idx="15">
                  <c:v>45.611096240380732</c:v>
                </c:pt>
                <c:pt idx="16">
                  <c:v>57.209718188365294</c:v>
                </c:pt>
                <c:pt idx="17">
                  <c:v>71.76745869558242</c:v>
                </c:pt>
                <c:pt idx="18">
                  <c:v>90.041550356942707</c:v>
                </c:pt>
                <c:pt idx="19">
                  <c:v>112.98353756349984</c:v>
                </c:pt>
                <c:pt idx="20">
                  <c:v>141.78926461478019</c:v>
                </c:pt>
                <c:pt idx="21">
                  <c:v>123.90752725067647</c:v>
                </c:pt>
                <c:pt idx="22">
                  <c:v>143.87396520954266</c:v>
                </c:pt>
                <c:pt idx="23">
                  <c:v>163.77399413433875</c:v>
                </c:pt>
                <c:pt idx="24">
                  <c:v>183.61682804539444</c:v>
                </c:pt>
                <c:pt idx="25">
                  <c:v>203.40952119107328</c:v>
                </c:pt>
                <c:pt idx="26">
                  <c:v>223.15764021827397</c:v>
                </c:pt>
                <c:pt idx="27">
                  <c:v>242.86568478783872</c:v>
                </c:pt>
                <c:pt idx="28">
                  <c:v>262.53736401160751</c:v>
                </c:pt>
                <c:pt idx="29">
                  <c:v>282.17578546861114</c:v>
                </c:pt>
                <c:pt idx="30">
                  <c:v>301.78358873635585</c:v>
                </c:pt>
                <c:pt idx="31">
                  <c:v>233.98245141380619</c:v>
                </c:pt>
                <c:pt idx="32">
                  <c:v>257.39776916516081</c:v>
                </c:pt>
                <c:pt idx="33">
                  <c:v>280.76492347284267</c:v>
                </c:pt>
                <c:pt idx="34">
                  <c:v>304.08848473578604</c:v>
                </c:pt>
                <c:pt idx="35">
                  <c:v>327.3722648494786</c:v>
                </c:pt>
                <c:pt idx="36">
                  <c:v>350.61948923031804</c:v>
                </c:pt>
                <c:pt idx="37">
                  <c:v>373.83292076812228</c:v>
                </c:pt>
                <c:pt idx="38">
                  <c:v>397.01495135221603</c:v>
                </c:pt>
                <c:pt idx="39">
                  <c:v>420.16767089021386</c:v>
                </c:pt>
                <c:pt idx="40">
                  <c:v>443.29292031429776</c:v>
                </c:pt>
                <c:pt idx="41">
                  <c:v>346.40691666299762</c:v>
                </c:pt>
                <c:pt idx="42">
                  <c:v>370.51869100778345</c:v>
                </c:pt>
                <c:pt idx="43">
                  <c:v>394.59625328405656</c:v>
                </c:pt>
                <c:pt idx="44">
                  <c:v>418.64198281510261</c:v>
                </c:pt>
                <c:pt idx="45">
                  <c:v>442.65796346687102</c:v>
                </c:pt>
                <c:pt idx="46">
                  <c:v>466.64603470301768</c:v>
                </c:pt>
                <c:pt idx="47">
                  <c:v>490.60783159413654</c:v>
                </c:pt>
                <c:pt idx="48">
                  <c:v>514.54481660428598</c:v>
                </c:pt>
                <c:pt idx="49">
                  <c:v>538.45830515610044</c:v>
                </c:pt>
                <c:pt idx="50">
                  <c:v>562.34948641975632</c:v>
                </c:pt>
                <c:pt idx="51">
                  <c:v>449.6414221106092</c:v>
                </c:pt>
                <c:pt idx="52">
                  <c:v>472.48036714392589</c:v>
                </c:pt>
                <c:pt idx="53">
                  <c:v>495.29581803158686</c:v>
                </c:pt>
                <c:pt idx="54">
                  <c:v>518.08900823898523</c:v>
                </c:pt>
                <c:pt idx="55">
                  <c:v>540.86105394398044</c:v>
                </c:pt>
                <c:pt idx="56">
                  <c:v>563.61296975757841</c:v>
                </c:pt>
                <c:pt idx="57">
                  <c:v>586.3456817754037</c:v>
                </c:pt>
                <c:pt idx="58">
                  <c:v>609.06003850108198</c:v>
                </c:pt>
                <c:pt idx="59">
                  <c:v>631.75682005648241</c:v>
                </c:pt>
                <c:pt idx="60">
                  <c:v>654.43674600057705</c:v>
                </c:pt>
                <c:pt idx="61">
                  <c:v>538.83770149584484</c:v>
                </c:pt>
                <c:pt idx="62">
                  <c:v>559.56961376197262</c:v>
                </c:pt>
                <c:pt idx="63">
                  <c:v>580.28545371418193</c:v>
                </c:pt>
                <c:pt idx="64">
                  <c:v>600.9858753500979</c:v>
                </c:pt>
                <c:pt idx="65">
                  <c:v>621.67148398309314</c:v>
                </c:pt>
                <c:pt idx="66">
                  <c:v>642.3428413983936</c:v>
                </c:pt>
                <c:pt idx="67">
                  <c:v>663.00047031146926</c:v>
                </c:pt>
                <c:pt idx="68">
                  <c:v>683.64485824233805</c:v>
                </c:pt>
                <c:pt idx="69">
                  <c:v>704.27646089797838</c:v>
                </c:pt>
                <c:pt idx="70">
                  <c:v>724.8957051381575</c:v>
                </c:pt>
                <c:pt idx="71">
                  <c:v>613.47465478619222</c:v>
                </c:pt>
                <c:pt idx="72">
                  <c:v>631.75682005648218</c:v>
                </c:pt>
                <c:pt idx="73">
                  <c:v>650.02804840865338</c:v>
                </c:pt>
                <c:pt idx="74">
                  <c:v>668.28869028503095</c:v>
                </c:pt>
                <c:pt idx="75">
                  <c:v>686.53907543225387</c:v>
                </c:pt>
                <c:pt idx="76">
                  <c:v>704.77951465231456</c:v>
                </c:pt>
                <c:pt idx="77">
                  <c:v>723.01030136305792</c:v>
                </c:pt>
                <c:pt idx="78">
                  <c:v>741.23171299324815</c:v>
                </c:pt>
                <c:pt idx="79">
                  <c:v>759.4440122334571</c:v>
                </c:pt>
                <c:pt idx="80">
                  <c:v>777.64744816083942</c:v>
                </c:pt>
                <c:pt idx="81">
                  <c:v>675.21244034007634</c:v>
                </c:pt>
                <c:pt idx="82">
                  <c:v>690.94283930246672</c:v>
                </c:pt>
                <c:pt idx="83">
                  <c:v>706.66590086759163</c:v>
                </c:pt>
                <c:pt idx="84">
                  <c:v>722.38181116058729</c:v>
                </c:pt>
                <c:pt idx="85">
                  <c:v>738.09074755429128</c:v>
                </c:pt>
                <c:pt idx="86">
                  <c:v>753.79287926214727</c:v>
                </c:pt>
                <c:pt idx="87">
                  <c:v>769.48836787917628</c:v>
                </c:pt>
                <c:pt idx="88">
                  <c:v>785.17736787656031</c:v>
                </c:pt>
                <c:pt idx="89">
                  <c:v>800.86002705467661</c:v>
                </c:pt>
                <c:pt idx="90">
                  <c:v>816.53648695883328</c:v>
                </c:pt>
                <c:pt idx="91">
                  <c:v>712.32444295533423</c:v>
                </c:pt>
                <c:pt idx="92">
                  <c:v>712.32444295533423</c:v>
                </c:pt>
                <c:pt idx="93">
                  <c:v>712.32444295533423</c:v>
                </c:pt>
                <c:pt idx="94">
                  <c:v>712.32444295533423</c:v>
                </c:pt>
                <c:pt idx="95">
                  <c:v>712.32444295533423</c:v>
                </c:pt>
                <c:pt idx="96">
                  <c:v>712.32444295533423</c:v>
                </c:pt>
                <c:pt idx="97">
                  <c:v>712.32444295533423</c:v>
                </c:pt>
                <c:pt idx="98">
                  <c:v>712.32444295533423</c:v>
                </c:pt>
                <c:pt idx="99">
                  <c:v>712.32444295533423</c:v>
                </c:pt>
                <c:pt idx="100">
                  <c:v>712.32444295533423</c:v>
                </c:pt>
                <c:pt idx="101">
                  <c:v>712.32444295533423</c:v>
                </c:pt>
                <c:pt idx="102">
                  <c:v>712.32444295533423</c:v>
                </c:pt>
                <c:pt idx="103">
                  <c:v>712.32444295533423</c:v>
                </c:pt>
                <c:pt idx="104">
                  <c:v>712.32444295533423</c:v>
                </c:pt>
                <c:pt idx="105">
                  <c:v>712.32444295533423</c:v>
                </c:pt>
                <c:pt idx="106">
                  <c:v>712.32444295533423</c:v>
                </c:pt>
                <c:pt idx="107">
                  <c:v>712.32444295533423</c:v>
                </c:pt>
                <c:pt idx="108">
                  <c:v>712.32444295533423</c:v>
                </c:pt>
                <c:pt idx="109">
                  <c:v>712.32444295533423</c:v>
                </c:pt>
                <c:pt idx="110">
                  <c:v>712.32444295533423</c:v>
                </c:pt>
                <c:pt idx="111">
                  <c:v>712.32444295533423</c:v>
                </c:pt>
                <c:pt idx="112">
                  <c:v>712.32444295533423</c:v>
                </c:pt>
                <c:pt idx="113">
                  <c:v>712.32444295533423</c:v>
                </c:pt>
                <c:pt idx="114">
                  <c:v>712.32444295533423</c:v>
                </c:pt>
                <c:pt idx="115">
                  <c:v>712.32444295533423</c:v>
                </c:pt>
                <c:pt idx="116">
                  <c:v>712.32444295533423</c:v>
                </c:pt>
                <c:pt idx="117">
                  <c:v>712.32444295533423</c:v>
                </c:pt>
                <c:pt idx="118">
                  <c:v>712.32444295533423</c:v>
                </c:pt>
                <c:pt idx="119">
                  <c:v>712.32444295533423</c:v>
                </c:pt>
                <c:pt idx="120">
                  <c:v>712.32444295533423</c:v>
                </c:pt>
                <c:pt idx="121">
                  <c:v>712.32444295533423</c:v>
                </c:pt>
                <c:pt idx="122">
                  <c:v>712.32444295533423</c:v>
                </c:pt>
                <c:pt idx="123">
                  <c:v>712.32444295533423</c:v>
                </c:pt>
                <c:pt idx="124">
                  <c:v>712.32444295533423</c:v>
                </c:pt>
                <c:pt idx="125">
                  <c:v>712.32444295533423</c:v>
                </c:pt>
                <c:pt idx="126">
                  <c:v>712.32444295533423</c:v>
                </c:pt>
                <c:pt idx="127">
                  <c:v>712.32444295533423</c:v>
                </c:pt>
                <c:pt idx="128">
                  <c:v>712.32444295533423</c:v>
                </c:pt>
                <c:pt idx="129">
                  <c:v>712.32444295533423</c:v>
                </c:pt>
                <c:pt idx="130">
                  <c:v>712.32444295533423</c:v>
                </c:pt>
                <c:pt idx="131">
                  <c:v>712.32444295533423</c:v>
                </c:pt>
                <c:pt idx="132">
                  <c:v>712.32444295533423</c:v>
                </c:pt>
                <c:pt idx="133">
                  <c:v>712.32444295533423</c:v>
                </c:pt>
                <c:pt idx="134">
                  <c:v>712.32444295533423</c:v>
                </c:pt>
                <c:pt idx="135">
                  <c:v>712.32444295533423</c:v>
                </c:pt>
                <c:pt idx="136">
                  <c:v>712.32444295533423</c:v>
                </c:pt>
                <c:pt idx="137">
                  <c:v>712.32444295533423</c:v>
                </c:pt>
                <c:pt idx="138">
                  <c:v>712.32444295533423</c:v>
                </c:pt>
                <c:pt idx="139">
                  <c:v>712.32444295533423</c:v>
                </c:pt>
                <c:pt idx="140">
                  <c:v>712.32444295533423</c:v>
                </c:pt>
                <c:pt idx="141">
                  <c:v>712.32444295533423</c:v>
                </c:pt>
                <c:pt idx="142">
                  <c:v>712.32444295533423</c:v>
                </c:pt>
                <c:pt idx="143">
                  <c:v>712.32444295533423</c:v>
                </c:pt>
                <c:pt idx="144">
                  <c:v>712.32444295533423</c:v>
                </c:pt>
                <c:pt idx="145">
                  <c:v>712.32444295533423</c:v>
                </c:pt>
                <c:pt idx="146">
                  <c:v>712.32444295533423</c:v>
                </c:pt>
                <c:pt idx="147">
                  <c:v>712.32444295533423</c:v>
                </c:pt>
                <c:pt idx="148">
                  <c:v>712.32444295533423</c:v>
                </c:pt>
                <c:pt idx="149">
                  <c:v>712.32444295533423</c:v>
                </c:pt>
                <c:pt idx="150">
                  <c:v>712.32444295533423</c:v>
                </c:pt>
                <c:pt idx="151">
                  <c:v>712.32444295533423</c:v>
                </c:pt>
                <c:pt idx="152">
                  <c:v>712.32444295533423</c:v>
                </c:pt>
                <c:pt idx="153">
                  <c:v>712.32444295533423</c:v>
                </c:pt>
                <c:pt idx="154">
                  <c:v>712.32444295533423</c:v>
                </c:pt>
                <c:pt idx="155">
                  <c:v>712.32444295533423</c:v>
                </c:pt>
                <c:pt idx="156">
                  <c:v>712.32444295533423</c:v>
                </c:pt>
                <c:pt idx="157">
                  <c:v>712.32444295533423</c:v>
                </c:pt>
                <c:pt idx="158">
                  <c:v>712.32444295533423</c:v>
                </c:pt>
                <c:pt idx="159">
                  <c:v>712.32444295533423</c:v>
                </c:pt>
                <c:pt idx="160">
                  <c:v>712.32444295533423</c:v>
                </c:pt>
                <c:pt idx="161">
                  <c:v>712.32444295533423</c:v>
                </c:pt>
                <c:pt idx="162">
                  <c:v>712.32444295533423</c:v>
                </c:pt>
                <c:pt idx="163">
                  <c:v>712.32444295533423</c:v>
                </c:pt>
                <c:pt idx="164">
                  <c:v>712.32444295533423</c:v>
                </c:pt>
                <c:pt idx="165">
                  <c:v>712.32444295533423</c:v>
                </c:pt>
                <c:pt idx="166">
                  <c:v>712.32444295533423</c:v>
                </c:pt>
                <c:pt idx="167">
                  <c:v>712.32444295533423</c:v>
                </c:pt>
                <c:pt idx="168">
                  <c:v>712.32444295533423</c:v>
                </c:pt>
                <c:pt idx="169">
                  <c:v>712.32444295533423</c:v>
                </c:pt>
                <c:pt idx="170">
                  <c:v>712.32444295533423</c:v>
                </c:pt>
                <c:pt idx="171">
                  <c:v>712.32444295533423</c:v>
                </c:pt>
                <c:pt idx="172">
                  <c:v>712.32444295533423</c:v>
                </c:pt>
                <c:pt idx="173">
                  <c:v>712.32444295533423</c:v>
                </c:pt>
                <c:pt idx="174">
                  <c:v>712.32444295533423</c:v>
                </c:pt>
                <c:pt idx="175">
                  <c:v>712.32444295533423</c:v>
                </c:pt>
                <c:pt idx="176">
                  <c:v>712.32444295533423</c:v>
                </c:pt>
                <c:pt idx="177">
                  <c:v>712.32444295533423</c:v>
                </c:pt>
                <c:pt idx="178">
                  <c:v>712.32444295533423</c:v>
                </c:pt>
                <c:pt idx="179">
                  <c:v>712.32444295533423</c:v>
                </c:pt>
                <c:pt idx="180">
                  <c:v>712.32444295533423</c:v>
                </c:pt>
                <c:pt idx="181">
                  <c:v>712.32444295533423</c:v>
                </c:pt>
                <c:pt idx="182">
                  <c:v>712.32444295533423</c:v>
                </c:pt>
                <c:pt idx="183">
                  <c:v>712.32444295533423</c:v>
                </c:pt>
                <c:pt idx="184">
                  <c:v>712.32444295533423</c:v>
                </c:pt>
                <c:pt idx="185">
                  <c:v>712.32444295533423</c:v>
                </c:pt>
                <c:pt idx="186">
                  <c:v>712.32444295533423</c:v>
                </c:pt>
                <c:pt idx="187">
                  <c:v>712.32444295533423</c:v>
                </c:pt>
                <c:pt idx="188">
                  <c:v>712.32444295533423</c:v>
                </c:pt>
                <c:pt idx="189">
                  <c:v>712.32444295533423</c:v>
                </c:pt>
                <c:pt idx="190">
                  <c:v>712.32444295533423</c:v>
                </c:pt>
                <c:pt idx="191">
                  <c:v>712.32444295533423</c:v>
                </c:pt>
                <c:pt idx="192">
                  <c:v>712.32444295533423</c:v>
                </c:pt>
                <c:pt idx="193">
                  <c:v>712.32444295533423</c:v>
                </c:pt>
                <c:pt idx="194">
                  <c:v>712.32444295533423</c:v>
                </c:pt>
                <c:pt idx="195">
                  <c:v>712.32444295533423</c:v>
                </c:pt>
                <c:pt idx="196">
                  <c:v>712.32444295533423</c:v>
                </c:pt>
                <c:pt idx="197">
                  <c:v>712.32444295533423</c:v>
                </c:pt>
                <c:pt idx="198">
                  <c:v>712.32444295533423</c:v>
                </c:pt>
                <c:pt idx="199">
                  <c:v>712.32444295533423</c:v>
                </c:pt>
                <c:pt idx="200">
                  <c:v>712.32444295533423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1.9228171101479343</c:v>
                </c:pt>
                <c:pt idx="2">
                  <c:v>2.3839762212252493</c:v>
                </c:pt>
                <c:pt idx="3">
                  <c:v>2.9561699626966398</c:v>
                </c:pt>
                <c:pt idx="4">
                  <c:v>3.6662308682624953</c:v>
                </c:pt>
                <c:pt idx="5">
                  <c:v>4.5474981006760791</c:v>
                </c:pt>
                <c:pt idx="6">
                  <c:v>5.6414002822324134</c:v>
                </c:pt>
                <c:pt idx="7">
                  <c:v>6.9994245047079717</c:v>
                </c:pt>
                <c:pt idx="8">
                  <c:v>8.6855659931576685</c:v>
                </c:pt>
                <c:pt idx="9">
                  <c:v>10.779376066926231</c:v>
                </c:pt>
                <c:pt idx="10">
                  <c:v>13.379754904830248</c:v>
                </c:pt>
                <c:pt idx="11">
                  <c:v>16.609671582214194</c:v>
                </c:pt>
                <c:pt idx="12">
                  <c:v>20.622038654014851</c:v>
                </c:pt>
                <c:pt idx="13">
                  <c:v>25.607024390178637</c:v>
                </c:pt>
                <c:pt idx="14">
                  <c:v>31.801155346095459</c:v>
                </c:pt>
                <c:pt idx="15">
                  <c:v>39.498648660803447</c:v>
                </c:pt>
                <c:pt idx="16">
                  <c:v>49.065521546616061</c:v>
                </c:pt>
                <c:pt idx="17">
                  <c:v>60.957160137116858</c:v>
                </c:pt>
                <c:pt idx="18">
                  <c:v>75.740197770787589</c:v>
                </c:pt>
                <c:pt idx="19">
                  <c:v>94.119762105118596</c:v>
                </c:pt>
                <c:pt idx="20">
                  <c:v>116.97341140922269</c:v>
                </c:pt>
                <c:pt idx="21">
                  <c:v>108.1931416441323</c:v>
                </c:pt>
                <c:pt idx="22">
                  <c:v>125.6068855785234</c:v>
                </c:pt>
                <c:pt idx="23">
                  <c:v>142.96199841867738</c:v>
                </c:pt>
                <c:pt idx="24">
                  <c:v>160.26661002786599</c:v>
                </c:pt>
                <c:pt idx="25">
                  <c:v>177.52694566934088</c:v>
                </c:pt>
                <c:pt idx="26">
                  <c:v>194.74791846795674</c:v>
                </c:pt>
                <c:pt idx="27">
                  <c:v>211.93350024727374</c:v>
                </c:pt>
                <c:pt idx="28">
                  <c:v>229.08696530373251</c:v>
                </c:pt>
                <c:pt idx="29">
                  <c:v>246.21105711862251</c:v>
                </c:pt>
                <c:pt idx="30">
                  <c:v>263.30810614969687</c:v>
                </c:pt>
                <c:pt idx="31">
                  <c:v>206.25174818981284</c:v>
                </c:pt>
                <c:pt idx="32">
                  <c:v>226.50943532106294</c:v>
                </c:pt>
                <c:pt idx="33">
                  <c:v>246.72563774429935</c:v>
                </c:pt>
                <c:pt idx="34">
                  <c:v>266.90423231001682</c:v>
                </c:pt>
                <c:pt idx="35">
                  <c:v>287.04846149927101</c:v>
                </c:pt>
                <c:pt idx="36">
                  <c:v>307.16107541724091</c:v>
                </c:pt>
                <c:pt idx="37">
                  <c:v>327.24443459088332</c:v>
                </c:pt>
                <c:pt idx="38">
                  <c:v>347.30058618137667</c:v>
                </c:pt>
                <c:pt idx="39">
                  <c:v>367.33132165621686</c:v>
                </c:pt>
                <c:pt idx="40">
                  <c:v>387.33822121677048</c:v>
                </c:pt>
                <c:pt idx="41">
                  <c:v>307.1610754172408</c:v>
                </c:pt>
                <c:pt idx="42">
                  <c:v>327.88357486428237</c:v>
                </c:pt>
                <c:pt idx="43">
                  <c:v>348.57716937355349</c:v>
                </c:pt>
                <c:pt idx="44">
                  <c:v>369.24381536730135</c:v>
                </c:pt>
                <c:pt idx="45">
                  <c:v>389.88523246274627</c:v>
                </c:pt>
                <c:pt idx="46">
                  <c:v>410.50294341321847</c:v>
                </c:pt>
                <c:pt idx="47">
                  <c:v>431.09830560423705</c:v>
                </c:pt>
                <c:pt idx="48">
                  <c:v>451.67253621627088</c:v>
                </c:pt>
                <c:pt idx="49">
                  <c:v>472.22673256386997</c:v>
                </c:pt>
                <c:pt idx="50">
                  <c:v>492.76188870967644</c:v>
                </c:pt>
                <c:pt idx="51">
                  <c:v>399.56060449432636</c:v>
                </c:pt>
                <c:pt idx="52">
                  <c:v>419.40484180194272</c:v>
                </c:pt>
                <c:pt idx="53">
                  <c:v>439.22885835221342</c:v>
                </c:pt>
                <c:pt idx="54">
                  <c:v>459.03369461888457</c:v>
                </c:pt>
                <c:pt idx="55">
                  <c:v>478.82029402342147</c:v>
                </c:pt>
                <c:pt idx="56">
                  <c:v>498.58951570604586</c:v>
                </c:pt>
                <c:pt idx="57">
                  <c:v>518.34214516637292</c:v>
                </c:pt>
                <c:pt idx="58">
                  <c:v>538.07890319826015</c:v>
                </c:pt>
                <c:pt idx="59">
                  <c:v>557.80045344608595</c:v>
                </c:pt>
                <c:pt idx="60">
                  <c:v>577.50740883732692</c:v>
                </c:pt>
                <c:pt idx="61">
                  <c:v>481.4825295865167</c:v>
                </c:pt>
                <c:pt idx="62">
                  <c:v>499.34953422631764</c:v>
                </c:pt>
                <c:pt idx="63">
                  <c:v>517.20300843460734</c:v>
                </c:pt>
                <c:pt idx="64">
                  <c:v>535.04348473955304</c:v>
                </c:pt>
                <c:pt idx="65">
                  <c:v>552.87145728238113</c:v>
                </c:pt>
                <c:pt idx="66">
                  <c:v>570.6873857583937</c:v>
                </c:pt>
                <c:pt idx="67">
                  <c:v>588.49169884050696</c:v>
                </c:pt>
                <c:pt idx="68">
                  <c:v>606.2847971671714</c:v>
                </c:pt>
                <c:pt idx="69">
                  <c:v>624.06705596150925</c:v>
                </c:pt>
                <c:pt idx="70">
                  <c:v>641.8388273366063</c:v>
                </c:pt>
                <c:pt idx="71">
                  <c:v>549.07929537769098</c:v>
                </c:pt>
                <c:pt idx="72">
                  <c:v>564.87639384426382</c:v>
                </c:pt>
                <c:pt idx="73">
                  <c:v>580.66425649016571</c:v>
                </c:pt>
                <c:pt idx="74">
                  <c:v>596.44316965824521</c:v>
                </c:pt>
                <c:pt idx="75">
                  <c:v>612.21340331456997</c:v>
                </c:pt>
                <c:pt idx="76">
                  <c:v>627.97521239147818</c:v>
                </c:pt>
                <c:pt idx="77">
                  <c:v>643.72883798886176</c:v>
                </c:pt>
                <c:pt idx="78">
                  <c:v>659.47450845181413</c:v>
                </c:pt>
                <c:pt idx="79">
                  <c:v>675.21244034007702</c:v>
                </c:pt>
                <c:pt idx="80">
                  <c:v>690.94283930246741</c:v>
                </c:pt>
                <c:pt idx="81">
                  <c:v>606.2847971671714</c:v>
                </c:pt>
                <c:pt idx="82">
                  <c:v>619.90620335950791</c:v>
                </c:pt>
                <c:pt idx="83">
                  <c:v>633.52140991484214</c:v>
                </c:pt>
                <c:pt idx="84">
                  <c:v>647.13056877940483</c:v>
                </c:pt>
                <c:pt idx="85">
                  <c:v>660.73382499079878</c:v>
                </c:pt>
                <c:pt idx="86">
                  <c:v>674.33131713084038</c:v>
                </c:pt>
                <c:pt idx="87">
                  <c:v>687.92317774000242</c:v>
                </c:pt>
                <c:pt idx="88">
                  <c:v>701.50953369741865</c:v>
                </c:pt>
                <c:pt idx="89">
                  <c:v>715.09050656993907</c:v>
                </c:pt>
                <c:pt idx="90">
                  <c:v>728.66621293330627</c:v>
                </c:pt>
                <c:pt idx="91">
                  <c:v>640.57875641162809</c:v>
                </c:pt>
                <c:pt idx="92">
                  <c:v>640.57875641162809</c:v>
                </c:pt>
                <c:pt idx="93">
                  <c:v>640.57875641162809</c:v>
                </c:pt>
                <c:pt idx="94">
                  <c:v>640.57875641162809</c:v>
                </c:pt>
                <c:pt idx="95">
                  <c:v>640.57875641162809</c:v>
                </c:pt>
                <c:pt idx="96">
                  <c:v>640.57875641162809</c:v>
                </c:pt>
                <c:pt idx="97">
                  <c:v>640.57875641162809</c:v>
                </c:pt>
                <c:pt idx="98">
                  <c:v>640.57875641162809</c:v>
                </c:pt>
                <c:pt idx="99">
                  <c:v>640.57875641162809</c:v>
                </c:pt>
                <c:pt idx="100">
                  <c:v>640.57875641162809</c:v>
                </c:pt>
                <c:pt idx="101">
                  <c:v>640.57875641162809</c:v>
                </c:pt>
                <c:pt idx="102">
                  <c:v>640.57875641162809</c:v>
                </c:pt>
                <c:pt idx="103">
                  <c:v>640.57875641162809</c:v>
                </c:pt>
                <c:pt idx="104">
                  <c:v>640.57875641162809</c:v>
                </c:pt>
                <c:pt idx="105">
                  <c:v>640.57875641162809</c:v>
                </c:pt>
                <c:pt idx="106">
                  <c:v>640.57875641162809</c:v>
                </c:pt>
                <c:pt idx="107">
                  <c:v>640.57875641162809</c:v>
                </c:pt>
                <c:pt idx="108">
                  <c:v>640.57875641162809</c:v>
                </c:pt>
                <c:pt idx="109">
                  <c:v>640.57875641162809</c:v>
                </c:pt>
                <c:pt idx="110">
                  <c:v>640.57875641162809</c:v>
                </c:pt>
                <c:pt idx="111">
                  <c:v>640.57875641162809</c:v>
                </c:pt>
                <c:pt idx="112">
                  <c:v>640.57875641162809</c:v>
                </c:pt>
                <c:pt idx="113">
                  <c:v>640.57875641162809</c:v>
                </c:pt>
                <c:pt idx="114">
                  <c:v>640.57875641162809</c:v>
                </c:pt>
                <c:pt idx="115">
                  <c:v>640.57875641162809</c:v>
                </c:pt>
                <c:pt idx="116">
                  <c:v>640.57875641162809</c:v>
                </c:pt>
                <c:pt idx="117">
                  <c:v>640.57875641162809</c:v>
                </c:pt>
                <c:pt idx="118">
                  <c:v>640.57875641162809</c:v>
                </c:pt>
                <c:pt idx="119">
                  <c:v>640.57875641162809</c:v>
                </c:pt>
                <c:pt idx="120">
                  <c:v>640.57875641162809</c:v>
                </c:pt>
                <c:pt idx="121">
                  <c:v>640.57875641162809</c:v>
                </c:pt>
                <c:pt idx="122">
                  <c:v>640.57875641162809</c:v>
                </c:pt>
                <c:pt idx="123">
                  <c:v>640.57875641162809</c:v>
                </c:pt>
                <c:pt idx="124">
                  <c:v>640.57875641162809</c:v>
                </c:pt>
                <c:pt idx="125">
                  <c:v>640.57875641162809</c:v>
                </c:pt>
                <c:pt idx="126">
                  <c:v>640.57875641162809</c:v>
                </c:pt>
                <c:pt idx="127">
                  <c:v>640.57875641162809</c:v>
                </c:pt>
                <c:pt idx="128">
                  <c:v>640.57875641162809</c:v>
                </c:pt>
                <c:pt idx="129">
                  <c:v>640.57875641162809</c:v>
                </c:pt>
                <c:pt idx="130">
                  <c:v>640.57875641162809</c:v>
                </c:pt>
                <c:pt idx="131">
                  <c:v>640.57875641162809</c:v>
                </c:pt>
                <c:pt idx="132">
                  <c:v>640.57875641162809</c:v>
                </c:pt>
                <c:pt idx="133">
                  <c:v>640.57875641162809</c:v>
                </c:pt>
                <c:pt idx="134">
                  <c:v>640.57875641162809</c:v>
                </c:pt>
                <c:pt idx="135">
                  <c:v>640.57875641162809</c:v>
                </c:pt>
                <c:pt idx="136">
                  <c:v>640.57875641162809</c:v>
                </c:pt>
                <c:pt idx="137">
                  <c:v>640.57875641162809</c:v>
                </c:pt>
                <c:pt idx="138">
                  <c:v>640.57875641162809</c:v>
                </c:pt>
                <c:pt idx="139">
                  <c:v>640.57875641162809</c:v>
                </c:pt>
                <c:pt idx="140">
                  <c:v>640.57875641162809</c:v>
                </c:pt>
                <c:pt idx="141">
                  <c:v>640.57875641162809</c:v>
                </c:pt>
                <c:pt idx="142">
                  <c:v>640.57875641162809</c:v>
                </c:pt>
                <c:pt idx="143">
                  <c:v>640.57875641162809</c:v>
                </c:pt>
                <c:pt idx="144">
                  <c:v>640.57875641162809</c:v>
                </c:pt>
                <c:pt idx="145">
                  <c:v>640.57875641162809</c:v>
                </c:pt>
                <c:pt idx="146">
                  <c:v>640.57875641162809</c:v>
                </c:pt>
                <c:pt idx="147">
                  <c:v>640.57875641162809</c:v>
                </c:pt>
                <c:pt idx="148">
                  <c:v>640.57875641162809</c:v>
                </c:pt>
                <c:pt idx="149">
                  <c:v>640.57875641162809</c:v>
                </c:pt>
                <c:pt idx="150">
                  <c:v>640.57875641162809</c:v>
                </c:pt>
                <c:pt idx="151">
                  <c:v>640.57875641162809</c:v>
                </c:pt>
                <c:pt idx="152">
                  <c:v>640.57875641162809</c:v>
                </c:pt>
                <c:pt idx="153">
                  <c:v>640.57875641162809</c:v>
                </c:pt>
                <c:pt idx="154">
                  <c:v>640.57875641162809</c:v>
                </c:pt>
                <c:pt idx="155">
                  <c:v>640.57875641162809</c:v>
                </c:pt>
                <c:pt idx="156">
                  <c:v>640.57875641162809</c:v>
                </c:pt>
                <c:pt idx="157">
                  <c:v>640.57875641162809</c:v>
                </c:pt>
                <c:pt idx="158">
                  <c:v>640.57875641162809</c:v>
                </c:pt>
                <c:pt idx="159">
                  <c:v>640.57875641162809</c:v>
                </c:pt>
                <c:pt idx="160">
                  <c:v>640.57875641162809</c:v>
                </c:pt>
                <c:pt idx="161">
                  <c:v>640.57875641162809</c:v>
                </c:pt>
                <c:pt idx="162">
                  <c:v>640.57875641162809</c:v>
                </c:pt>
                <c:pt idx="163">
                  <c:v>640.57875641162809</c:v>
                </c:pt>
                <c:pt idx="164">
                  <c:v>640.57875641162809</c:v>
                </c:pt>
                <c:pt idx="165">
                  <c:v>640.57875641162809</c:v>
                </c:pt>
                <c:pt idx="166">
                  <c:v>640.57875641162809</c:v>
                </c:pt>
                <c:pt idx="167">
                  <c:v>640.57875641162809</c:v>
                </c:pt>
                <c:pt idx="168">
                  <c:v>640.57875641162809</c:v>
                </c:pt>
                <c:pt idx="169">
                  <c:v>640.57875641162809</c:v>
                </c:pt>
                <c:pt idx="170">
                  <c:v>640.57875641162809</c:v>
                </c:pt>
                <c:pt idx="171">
                  <c:v>640.57875641162809</c:v>
                </c:pt>
                <c:pt idx="172">
                  <c:v>640.57875641162809</c:v>
                </c:pt>
                <c:pt idx="173">
                  <c:v>640.57875641162809</c:v>
                </c:pt>
                <c:pt idx="174">
                  <c:v>640.57875641162809</c:v>
                </c:pt>
                <c:pt idx="175">
                  <c:v>640.57875641162809</c:v>
                </c:pt>
                <c:pt idx="176">
                  <c:v>640.57875641162809</c:v>
                </c:pt>
                <c:pt idx="177">
                  <c:v>640.57875641162809</c:v>
                </c:pt>
                <c:pt idx="178">
                  <c:v>640.57875641162809</c:v>
                </c:pt>
                <c:pt idx="179">
                  <c:v>640.57875641162809</c:v>
                </c:pt>
                <c:pt idx="180">
                  <c:v>640.57875641162809</c:v>
                </c:pt>
                <c:pt idx="181">
                  <c:v>640.57875641162809</c:v>
                </c:pt>
                <c:pt idx="182">
                  <c:v>640.57875641162809</c:v>
                </c:pt>
                <c:pt idx="183">
                  <c:v>640.57875641162809</c:v>
                </c:pt>
                <c:pt idx="184">
                  <c:v>640.57875641162809</c:v>
                </c:pt>
                <c:pt idx="185">
                  <c:v>640.57875641162809</c:v>
                </c:pt>
                <c:pt idx="186">
                  <c:v>640.57875641162809</c:v>
                </c:pt>
                <c:pt idx="187">
                  <c:v>640.57875641162809</c:v>
                </c:pt>
                <c:pt idx="188">
                  <c:v>640.57875641162809</c:v>
                </c:pt>
                <c:pt idx="189">
                  <c:v>640.57875641162809</c:v>
                </c:pt>
                <c:pt idx="190">
                  <c:v>640.57875641162809</c:v>
                </c:pt>
                <c:pt idx="191">
                  <c:v>640.57875641162809</c:v>
                </c:pt>
                <c:pt idx="192">
                  <c:v>640.57875641162809</c:v>
                </c:pt>
                <c:pt idx="193">
                  <c:v>640.57875641162809</c:v>
                </c:pt>
                <c:pt idx="194">
                  <c:v>640.57875641162809</c:v>
                </c:pt>
                <c:pt idx="195">
                  <c:v>640.57875641162809</c:v>
                </c:pt>
                <c:pt idx="196">
                  <c:v>640.57875641162809</c:v>
                </c:pt>
                <c:pt idx="197">
                  <c:v>640.57875641162809</c:v>
                </c:pt>
                <c:pt idx="198">
                  <c:v>640.57875641162809</c:v>
                </c:pt>
                <c:pt idx="199">
                  <c:v>640.57875641162809</c:v>
                </c:pt>
                <c:pt idx="200">
                  <c:v>640.57875641162809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2.5717272485907814</c:v>
                </c:pt>
                <c:pt idx="2">
                  <c:v>3.2402608019311159</c:v>
                </c:pt>
                <c:pt idx="3">
                  <c:v>4.0832624280532892</c:v>
                </c:pt>
                <c:pt idx="4">
                  <c:v>5.14643042029713</c:v>
                </c:pt>
                <c:pt idx="5">
                  <c:v>6.4874737480469413</c:v>
                </c:pt>
                <c:pt idx="6">
                  <c:v>8.1792787679743544</c:v>
                </c:pt>
                <c:pt idx="7">
                  <c:v>10.313913297230501</c:v>
                </c:pt>
                <c:pt idx="8">
                  <c:v>13.007690059316532</c:v>
                </c:pt>
                <c:pt idx="9">
                  <c:v>16.407570518045844</c:v>
                </c:pt>
                <c:pt idx="10">
                  <c:v>20.699264836034356</c:v>
                </c:pt>
                <c:pt idx="11">
                  <c:v>42.877836075412638</c:v>
                </c:pt>
                <c:pt idx="12">
                  <c:v>64.733806454200504</c:v>
                </c:pt>
                <c:pt idx="13">
                  <c:v>86.395962294999478</c:v>
                </c:pt>
                <c:pt idx="14">
                  <c:v>107.92051495671599</c:v>
                </c:pt>
                <c:pt idx="15">
                  <c:v>129.33897912798705</c:v>
                </c:pt>
                <c:pt idx="16">
                  <c:v>150.67146408356317</c:v>
                </c:pt>
                <c:pt idx="17">
                  <c:v>171.93188138002924</c:v>
                </c:pt>
                <c:pt idx="18">
                  <c:v>193.13040620890987</c:v>
                </c:pt>
                <c:pt idx="19">
                  <c:v>214.27479126445158</c:v>
                </c:pt>
                <c:pt idx="20">
                  <c:v>235.3711313482562</c:v>
                </c:pt>
                <c:pt idx="21">
                  <c:v>144.95568422614897</c:v>
                </c:pt>
                <c:pt idx="22">
                  <c:v>170.03319377205972</c:v>
                </c:pt>
                <c:pt idx="23">
                  <c:v>195.02347174102519</c:v>
                </c:pt>
                <c:pt idx="24">
                  <c:v>219.93927876011423</c:v>
                </c:pt>
                <c:pt idx="25">
                  <c:v>244.79024008779683</c:v>
                </c:pt>
                <c:pt idx="26">
                  <c:v>269.58386372150017</c:v>
                </c:pt>
                <c:pt idx="27">
                  <c:v>294.32616248385813</c:v>
                </c:pt>
                <c:pt idx="28">
                  <c:v>319.02205522459639</c:v>
                </c:pt>
                <c:pt idx="29">
                  <c:v>343.67563696746635</c:v>
                </c:pt>
                <c:pt idx="30">
                  <c:v>368.29036734139123</c:v>
                </c:pt>
                <c:pt idx="31">
                  <c:v>269.75466982033333</c:v>
                </c:pt>
                <c:pt idx="32">
                  <c:v>290.40473451571626</c:v>
                </c:pt>
                <c:pt idx="33">
                  <c:v>311.02199783983951</c:v>
                </c:pt>
                <c:pt idx="34">
                  <c:v>331.60893904924779</c:v>
                </c:pt>
                <c:pt idx="35">
                  <c:v>352.16770447084974</c:v>
                </c:pt>
                <c:pt idx="36">
                  <c:v>372.70016944091395</c:v>
                </c:pt>
                <c:pt idx="37">
                  <c:v>393.20798587349418</c:v>
                </c:pt>
                <c:pt idx="38">
                  <c:v>413.69261938302407</c:v>
                </c:pt>
                <c:pt idx="39">
                  <c:v>434.15537866888457</c:v>
                </c:pt>
                <c:pt idx="40">
                  <c:v>454.59743907080411</c:v>
                </c:pt>
                <c:pt idx="41">
                  <c:v>351.65830822367656</c:v>
                </c:pt>
                <c:pt idx="42">
                  <c:v>367.27255754339438</c:v>
                </c:pt>
                <c:pt idx="43">
                  <c:v>382.87232013864946</c:v>
                </c:pt>
                <c:pt idx="44">
                  <c:v>398.45826925810184</c:v>
                </c:pt>
                <c:pt idx="45">
                  <c:v>414.03102119238065</c:v>
                </c:pt>
                <c:pt idx="46">
                  <c:v>429.591142098538</c:v>
                </c:pt>
                <c:pt idx="47">
                  <c:v>445.1391537842141</c:v>
                </c:pt>
                <c:pt idx="48">
                  <c:v>460.67553864161073</c:v>
                </c:pt>
                <c:pt idx="49">
                  <c:v>476.20074388127472</c:v>
                </c:pt>
                <c:pt idx="50">
                  <c:v>491.71518518509475</c:v>
                </c:pt>
                <c:pt idx="51">
                  <c:v>430.6055065568043</c:v>
                </c:pt>
                <c:pt idx="52">
                  <c:v>442.09808097469619</c:v>
                </c:pt>
                <c:pt idx="53">
                  <c:v>453.58425425555083</c:v>
                </c:pt>
                <c:pt idx="54">
                  <c:v>465.06421135415462</c:v>
                </c:pt>
                <c:pt idx="55">
                  <c:v>476.53812734890556</c:v>
                </c:pt>
                <c:pt idx="56">
                  <c:v>488.00616819935334</c:v>
                </c:pt>
                <c:pt idx="57">
                  <c:v>499.46849142882706</c:v>
                </c:pt>
                <c:pt idx="58">
                  <c:v>510.92524674114156</c:v>
                </c:pt>
                <c:pt idx="59">
                  <c:v>522.37657657911507</c:v>
                </c:pt>
                <c:pt idx="60">
                  <c:v>533.82261663157112</c:v>
                </c:pt>
                <c:pt idx="61">
                  <c:v>491.5466064127836</c:v>
                </c:pt>
                <c:pt idx="62">
                  <c:v>499.80553357858707</c:v>
                </c:pt>
                <c:pt idx="63">
                  <c:v>508.06157199630115</c:v>
                </c:pt>
                <c:pt idx="64">
                  <c:v>516.3147752413438</c:v>
                </c:pt>
                <c:pt idx="65">
                  <c:v>524.5651950361904</c:v>
                </c:pt>
                <c:pt idx="66">
                  <c:v>532.8128813432246</c:v>
                </c:pt>
                <c:pt idx="67">
                  <c:v>541.05788245154292</c:v>
                </c:pt>
                <c:pt idx="68">
                  <c:v>549.30024505818926</c:v>
                </c:pt>
                <c:pt idx="69">
                  <c:v>557.54001434426425</c:v>
                </c:pt>
                <c:pt idx="70">
                  <c:v>565.7772340462966</c:v>
                </c:pt>
                <c:pt idx="71">
                  <c:v>528.60521663450174</c:v>
                </c:pt>
                <c:pt idx="72">
                  <c:v>535.16886787415797</c:v>
                </c:pt>
                <c:pt idx="73">
                  <c:v>541.73082666097946</c:v>
                </c:pt>
                <c:pt idx="74">
                  <c:v>548.29111639483494</c:v>
                </c:pt>
                <c:pt idx="75">
                  <c:v>554.84975986976053</c:v>
                </c:pt>
                <c:pt idx="76">
                  <c:v>561.40677929677668</c:v>
                </c:pt>
                <c:pt idx="77">
                  <c:v>567.96219632558564</c:v>
                </c:pt>
                <c:pt idx="78">
                  <c:v>574.51603206521338</c:v>
                </c:pt>
                <c:pt idx="79">
                  <c:v>581.06830710366069</c:v>
                </c:pt>
                <c:pt idx="80">
                  <c:v>587.61904152662237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57" t="s">
        <v>291</v>
      </c>
      <c r="C12" s="257"/>
      <c r="D12" s="257"/>
      <c r="E12" s="257"/>
      <c r="F12" s="257"/>
      <c r="G12" s="257"/>
      <c r="H12" s="257"/>
      <c r="I12" s="257"/>
      <c r="J12" s="257"/>
      <c r="K12" s="257"/>
      <c r="L12" s="257"/>
      <c r="M12" s="257"/>
    </row>
    <row r="13" spans="2:13" ht="15" customHeight="1" x14ac:dyDescent="0.25">
      <c r="B13" s="257"/>
      <c r="C13" s="257"/>
      <c r="D13" s="257"/>
      <c r="E13" s="257"/>
      <c r="F13" s="257"/>
      <c r="G13" s="257"/>
      <c r="H13" s="257"/>
      <c r="I13" s="257"/>
      <c r="J13" s="257"/>
      <c r="K13" s="257"/>
      <c r="L13" s="257"/>
      <c r="M13" s="257"/>
    </row>
    <row r="14" spans="2:13" ht="15" customHeight="1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</row>
    <row r="15" spans="2:13" ht="18.75" customHeight="1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</row>
    <row r="16" spans="2:13" ht="18.75" customHeight="1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</row>
    <row r="18" spans="2:13" ht="12" customHeight="1" x14ac:dyDescent="0.25">
      <c r="B18" s="257" t="s">
        <v>292</v>
      </c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</row>
    <row r="19" spans="2:13" ht="12" customHeight="1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</row>
    <row r="20" spans="2:13" ht="12" customHeight="1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</row>
    <row r="21" spans="2:13" ht="12" customHeight="1" x14ac:dyDescent="0.25"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</row>
    <row r="22" spans="2:13" ht="12" customHeight="1" x14ac:dyDescent="0.25">
      <c r="B22" s="257"/>
      <c r="C22" s="257"/>
      <c r="D22" s="257"/>
      <c r="E22" s="257"/>
      <c r="F22" s="257"/>
      <c r="G22" s="257"/>
      <c r="H22" s="257"/>
      <c r="I22" s="257"/>
      <c r="J22" s="257"/>
      <c r="K22" s="257"/>
      <c r="L22" s="257"/>
      <c r="M22" s="257"/>
    </row>
    <row r="23" spans="2:13" ht="12" customHeight="1" x14ac:dyDescent="0.25">
      <c r="B23" s="257"/>
      <c r="C23" s="257"/>
      <c r="D23" s="257"/>
      <c r="E23" s="257"/>
      <c r="F23" s="257"/>
      <c r="G23" s="257"/>
      <c r="H23" s="257"/>
      <c r="I23" s="257"/>
      <c r="J23" s="257"/>
      <c r="K23" s="257"/>
      <c r="L23" s="257"/>
      <c r="M23" s="257"/>
    </row>
    <row r="24" spans="2:13" ht="12" customHeight="1" x14ac:dyDescent="0.25">
      <c r="B24" s="257"/>
      <c r="C24" s="257"/>
      <c r="D24" s="257"/>
      <c r="E24" s="257"/>
      <c r="F24" s="257"/>
      <c r="G24" s="257"/>
      <c r="H24" s="257"/>
      <c r="I24" s="257"/>
      <c r="J24" s="257"/>
      <c r="K24" s="257"/>
      <c r="L24" s="257"/>
      <c r="M24" s="257"/>
    </row>
    <row r="25" spans="2:13" ht="12" customHeight="1" x14ac:dyDescent="0.25"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</row>
    <row r="26" spans="2:13" ht="12" customHeight="1" x14ac:dyDescent="0.25">
      <c r="B26" s="257"/>
      <c r="C26" s="257"/>
      <c r="D26" s="257"/>
      <c r="E26" s="257"/>
      <c r="F26" s="257"/>
      <c r="G26" s="257"/>
      <c r="H26" s="257"/>
      <c r="I26" s="257"/>
      <c r="J26" s="257"/>
      <c r="K26" s="257"/>
      <c r="L26" s="257"/>
      <c r="M26" s="257"/>
    </row>
    <row r="27" spans="2:13" ht="12" customHeight="1" x14ac:dyDescent="0.25">
      <c r="B27" s="257"/>
      <c r="C27" s="257"/>
      <c r="D27" s="257"/>
      <c r="E27" s="257"/>
      <c r="F27" s="257"/>
      <c r="G27" s="257"/>
      <c r="H27" s="257"/>
      <c r="I27" s="257"/>
      <c r="J27" s="257"/>
      <c r="K27" s="257"/>
      <c r="L27" s="257"/>
      <c r="M27" s="257"/>
    </row>
    <row r="28" spans="2:13" ht="12" customHeight="1" x14ac:dyDescent="0.25"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</row>
    <row r="29" spans="2:13" ht="12" customHeight="1" x14ac:dyDescent="0.25">
      <c r="B29" s="257"/>
      <c r="C29" s="257"/>
      <c r="D29" s="257"/>
      <c r="E29" s="257"/>
      <c r="F29" s="257"/>
      <c r="G29" s="257"/>
      <c r="H29" s="257"/>
      <c r="I29" s="257"/>
      <c r="J29" s="257"/>
      <c r="K29" s="257"/>
      <c r="L29" s="257"/>
      <c r="M29" s="257"/>
    </row>
    <row r="30" spans="2:13" ht="12" customHeight="1" x14ac:dyDescent="0.25"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</row>
    <row r="31" spans="2:13" ht="12" customHeight="1" x14ac:dyDescent="0.25"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80" zoomScaleNormal="80" workbookViewId="0">
      <selection activeCell="C6" sqref="C6"/>
    </sheetView>
  </sheetViews>
  <sheetFormatPr baseColWidth="10" defaultColWidth="11.42578125" defaultRowHeight="15" x14ac:dyDescent="0.25"/>
  <cols>
    <col min="1" max="1" width="13.7109375" style="23" customWidth="1"/>
    <col min="2" max="2" width="36.140625" style="23" customWidth="1"/>
    <col min="3" max="3" width="14.85546875" style="23" bestFit="1" customWidth="1"/>
    <col min="4" max="4" width="16.42578125" style="23" customWidth="1"/>
    <col min="5" max="5" width="23.28515625" style="23" customWidth="1"/>
    <col min="6" max="6" width="28.85546875" style="23" bestFit="1" customWidth="1"/>
    <col min="7" max="8" width="14.7109375" style="23" customWidth="1"/>
    <col min="9" max="9" width="17" style="23" customWidth="1"/>
    <col min="10" max="10" width="13.85546875" style="23" customWidth="1"/>
    <col min="11" max="16384" width="11.42578125" style="23"/>
  </cols>
  <sheetData>
    <row r="1" spans="1:38" x14ac:dyDescent="0.25">
      <c r="A1" s="4"/>
      <c r="B1" s="4"/>
      <c r="C1" s="262" t="s">
        <v>190</v>
      </c>
      <c r="D1" s="262"/>
      <c r="E1" s="262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.75" thickBot="1" x14ac:dyDescent="0.3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7" thickBot="1" x14ac:dyDescent="0.3">
      <c r="A3" s="4"/>
      <c r="B3" s="263" t="s">
        <v>192</v>
      </c>
      <c r="C3" s="264"/>
      <c r="D3" s="264"/>
      <c r="E3" s="264"/>
      <c r="F3" s="265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.25" x14ac:dyDescent="0.25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.25" x14ac:dyDescent="0.25">
      <c r="A5" s="268" t="s">
        <v>231</v>
      </c>
      <c r="B5" s="268"/>
      <c r="C5" s="24">
        <v>43.1</v>
      </c>
      <c r="D5" s="269" t="s">
        <v>229</v>
      </c>
      <c r="E5" s="270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2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.25" x14ac:dyDescent="0.25">
      <c r="A7" s="267" t="s">
        <v>226</v>
      </c>
      <c r="B7" s="267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2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25">
      <c r="A9" s="30" t="s">
        <v>165</v>
      </c>
      <c r="B9" s="31" t="s">
        <v>18</v>
      </c>
      <c r="C9" s="32">
        <v>0.23</v>
      </c>
      <c r="D9" s="33">
        <f t="shared" ref="D9:D18" si="0">C9*$C$5</f>
        <v>9.9130000000000003</v>
      </c>
      <c r="E9" s="34">
        <v>54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25">
      <c r="A10" s="30" t="s">
        <v>166</v>
      </c>
      <c r="B10" s="31" t="s">
        <v>18</v>
      </c>
      <c r="C10" s="32">
        <v>0.26</v>
      </c>
      <c r="D10" s="33">
        <f t="shared" si="0"/>
        <v>11.206000000000001</v>
      </c>
      <c r="E10" s="34">
        <v>70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25">
      <c r="A11" s="30" t="s">
        <v>167</v>
      </c>
      <c r="B11" s="31" t="s">
        <v>81</v>
      </c>
      <c r="C11" s="32">
        <v>0.12</v>
      </c>
      <c r="D11" s="33">
        <f t="shared" si="0"/>
        <v>5.1719999999999997</v>
      </c>
      <c r="E11" s="34">
        <v>80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25">
      <c r="A12" s="30" t="s">
        <v>168</v>
      </c>
      <c r="B12" s="31" t="s">
        <v>81</v>
      </c>
      <c r="C12" s="32">
        <v>0.14000000000000001</v>
      </c>
      <c r="D12" s="33">
        <f t="shared" si="0"/>
        <v>6.0340000000000007</v>
      </c>
      <c r="E12" s="34">
        <v>80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25">
      <c r="A13" s="30" t="s">
        <v>169</v>
      </c>
      <c r="B13" s="31" t="s">
        <v>47</v>
      </c>
      <c r="C13" s="32">
        <v>0.1</v>
      </c>
      <c r="D13" s="33">
        <f t="shared" si="0"/>
        <v>4.3100000000000005</v>
      </c>
      <c r="E13" s="34">
        <v>110</v>
      </c>
      <c r="F13" s="35" t="str">
        <f t="array" ref="F13">IF(E13="","",IF(INDEX(A:A,MAX(IF(ISNUMBER($A$140:$A$159),ROW($A$140:$A$159),"")))&lt;&gt;E13,"Corrigez : révolution incorrecte","OK"))</f>
        <v>OK</v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25">
      <c r="A14" s="30" t="s">
        <v>170</v>
      </c>
      <c r="B14" s="31" t="s">
        <v>47</v>
      </c>
      <c r="C14" s="32">
        <v>0.05</v>
      </c>
      <c r="D14" s="33">
        <f t="shared" si="0"/>
        <v>2.1550000000000002</v>
      </c>
      <c r="E14" s="34">
        <v>110</v>
      </c>
      <c r="F14" s="35" t="str">
        <f t="array" ref="F14">IF(E14="","",IF(INDEX(A:A,MAX(IF(ISNUMBER($A$166:$A$185),ROW($A$166:$A$185),"")))&lt;&gt;E14,"Corrigez : révolution incorrecte","OK"))</f>
        <v>OK</v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25">
      <c r="A15" s="30" t="s">
        <v>171</v>
      </c>
      <c r="B15" s="31" t="s">
        <v>35</v>
      </c>
      <c r="C15" s="32">
        <v>0.02</v>
      </c>
      <c r="D15" s="33">
        <f t="shared" si="0"/>
        <v>0.8620000000000001</v>
      </c>
      <c r="E15" s="34">
        <v>90</v>
      </c>
      <c r="F15" s="35" t="str">
        <f t="array" ref="F15">IF(E15="","",IF(INDEX(A:A,MAX(IF(ISNUMBER($A$192:$A$211),ROW($A$192:$A$211),"")))&lt;&gt;E15,"Corrigez : révolution incorrecte","OK"))</f>
        <v>OK</v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25">
      <c r="A16" s="30" t="s">
        <v>172</v>
      </c>
      <c r="B16" s="31" t="s">
        <v>35</v>
      </c>
      <c r="C16" s="32">
        <v>0.05</v>
      </c>
      <c r="D16" s="33">
        <f t="shared" si="0"/>
        <v>2.1550000000000002</v>
      </c>
      <c r="E16" s="34">
        <v>90</v>
      </c>
      <c r="F16" s="35" t="str">
        <f t="array" ref="F16">IF(E16="","",IF(INDEX(A:A,MAX(IF(ISNUMBER($A$218:$A$237),ROW($A$218:$A$237),"")))&lt;&gt;E16,"Corrigez : révolution incorrecte","OK"))</f>
        <v>OK</v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25">
      <c r="A17" s="30" t="s">
        <v>173</v>
      </c>
      <c r="B17" s="31" t="s">
        <v>23</v>
      </c>
      <c r="C17" s="32">
        <v>0.02</v>
      </c>
      <c r="D17" s="33">
        <f t="shared" si="0"/>
        <v>0.8620000000000001</v>
      </c>
      <c r="E17" s="34">
        <v>80</v>
      </c>
      <c r="F17" s="35" t="str">
        <f t="array" ref="F17">IF(E17="","",IF(INDEX(A:A,MAX(IF(ISNUMBER($A$244:$A$263),ROW($A$244:$A$263),"")))&lt;&gt;E17,"Corrigez : révolution incorrecte","OK"))</f>
        <v>OK</v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25">
      <c r="A18" s="30" t="s">
        <v>174</v>
      </c>
      <c r="B18" s="31" t="s">
        <v>23</v>
      </c>
      <c r="C18" s="32">
        <v>0.01</v>
      </c>
      <c r="D18" s="33">
        <f t="shared" si="0"/>
        <v>0.43100000000000005</v>
      </c>
      <c r="E18" s="34">
        <v>80</v>
      </c>
      <c r="F18" s="35" t="str">
        <f t="array" ref="F18">IF(E18="","",IF(INDEX(A:A,MAX(IF(ISNUMBER($A$270:$A$289),ROW($A$270:$A$289),"")))&lt;&gt;E18,"Corrigez : révolution incorrecte","OK"))</f>
        <v>OK</v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25">
      <c r="A19" s="78"/>
      <c r="B19" s="36" t="s">
        <v>175</v>
      </c>
      <c r="C19" s="37">
        <f>SUM(C9:C18)</f>
        <v>1</v>
      </c>
      <c r="D19" s="38">
        <f>SUM(D9:D18)</f>
        <v>43.100000000000009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25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2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35">
      <c r="A22" s="266" t="s">
        <v>232</v>
      </c>
      <c r="B22" s="266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2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25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25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25">
      <c r="A26" s="41" t="s">
        <v>222</v>
      </c>
      <c r="B26" s="42" t="s">
        <v>221</v>
      </c>
      <c r="C26" s="43">
        <v>0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25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2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2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25">
      <c r="A30" s="267" t="s">
        <v>227</v>
      </c>
      <c r="B30" s="267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2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25">
      <c r="A32" s="46" t="s">
        <v>165</v>
      </c>
      <c r="B32" s="47" t="str">
        <f>IF(B9="","",B9)</f>
        <v>Douglas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2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25">
      <c r="A34" s="4"/>
      <c r="B34" s="85" t="s">
        <v>185</v>
      </c>
      <c r="C34" s="258" t="s">
        <v>186</v>
      </c>
      <c r="D34" s="258"/>
      <c r="E34" s="259" t="s">
        <v>187</v>
      </c>
      <c r="F34" s="260"/>
      <c r="G34" s="260"/>
      <c r="H34" s="261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5" x14ac:dyDescent="0.2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25">
      <c r="A36" s="50">
        <v>17</v>
      </c>
      <c r="B36" s="60">
        <f>207.67/1.3</f>
        <v>159.74615384615385</v>
      </c>
      <c r="C36" s="60"/>
      <c r="D36" s="60"/>
      <c r="E36" s="51"/>
      <c r="F36" s="51"/>
      <c r="G36" s="51"/>
      <c r="H36" s="51"/>
      <c r="I36" s="49">
        <f>IFERROR(B36/A36,"")</f>
        <v>9.3968325791855207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25">
      <c r="A37" s="50">
        <v>18</v>
      </c>
      <c r="B37" s="60">
        <f>237.76/1.3</f>
        <v>182.89230769230767</v>
      </c>
      <c r="C37" s="60">
        <v>1</v>
      </c>
      <c r="D37" s="60">
        <f>90.07/1.3</f>
        <v>69.284615384615378</v>
      </c>
      <c r="E37" s="51"/>
      <c r="F37" s="51">
        <v>0.5</v>
      </c>
      <c r="G37" s="51">
        <v>0.5</v>
      </c>
      <c r="H37" s="51"/>
      <c r="I37" s="53">
        <f t="shared" ref="I37:I55" si="1">IF(A37&lt;&gt;0,(B37-(B36-D36))/(A37-A36),"")</f>
        <v>23.146153846153823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25">
      <c r="A38" s="50">
        <v>24</v>
      </c>
      <c r="B38" s="60">
        <f>308.83/1.3</f>
        <v>237.56153846153845</v>
      </c>
      <c r="C38" s="60">
        <v>2</v>
      </c>
      <c r="D38" s="60">
        <f>55.46/1.3</f>
        <v>42.661538461538463</v>
      </c>
      <c r="E38" s="51">
        <v>0.2</v>
      </c>
      <c r="F38" s="51">
        <v>0.4</v>
      </c>
      <c r="G38" s="51">
        <v>0.4</v>
      </c>
      <c r="H38" s="51"/>
      <c r="I38" s="53">
        <f t="shared" si="1"/>
        <v>20.658974358974358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25">
      <c r="A39" s="50">
        <v>30</v>
      </c>
      <c r="B39" s="60">
        <f>431.43/1.3</f>
        <v>331.86923076923074</v>
      </c>
      <c r="C39" s="60">
        <v>3</v>
      </c>
      <c r="D39" s="60">
        <f>85.37/1.3</f>
        <v>65.669230769230765</v>
      </c>
      <c r="E39" s="51"/>
      <c r="F39" s="51"/>
      <c r="G39" s="51"/>
      <c r="H39" s="51"/>
      <c r="I39" s="49">
        <f t="shared" si="1"/>
        <v>22.828205128205127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25">
      <c r="A40" s="50">
        <v>36</v>
      </c>
      <c r="B40" s="60">
        <f>524.56/1.3</f>
        <v>403.50769230769225</v>
      </c>
      <c r="C40" s="60">
        <v>4</v>
      </c>
      <c r="D40" s="60">
        <f>90.09/1.3</f>
        <v>69.3</v>
      </c>
      <c r="E40" s="51"/>
      <c r="F40" s="51"/>
      <c r="G40" s="51"/>
      <c r="H40" s="51"/>
      <c r="I40" s="49">
        <f t="shared" si="1"/>
        <v>22.884615384615376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25">
      <c r="A41" s="50">
        <v>42</v>
      </c>
      <c r="B41" s="60">
        <f>609.34/1.3</f>
        <v>468.72307692307692</v>
      </c>
      <c r="C41" s="60">
        <v>5</v>
      </c>
      <c r="D41" s="60">
        <f>95.41/1.3</f>
        <v>73.392307692307682</v>
      </c>
      <c r="E41" s="51"/>
      <c r="F41" s="51"/>
      <c r="G41" s="51"/>
      <c r="H41" s="51"/>
      <c r="I41" s="53">
        <f t="shared" si="1"/>
        <v>22.419230769230779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25">
      <c r="A42" s="50">
        <v>48</v>
      </c>
      <c r="B42" s="60">
        <f>682.61/1.3</f>
        <v>525.0846153846154</v>
      </c>
      <c r="C42" s="60">
        <v>6</v>
      </c>
      <c r="D42" s="60">
        <f>105.73/1.3</f>
        <v>81.330769230769235</v>
      </c>
      <c r="E42" s="51"/>
      <c r="F42" s="51"/>
      <c r="G42" s="51"/>
      <c r="H42" s="51"/>
      <c r="I42" s="53">
        <f t="shared" si="1"/>
        <v>21.625641025641027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25">
      <c r="A43" s="50">
        <v>54</v>
      </c>
      <c r="B43" s="60">
        <f>736.84/1.3</f>
        <v>566.79999999999995</v>
      </c>
      <c r="C43" s="60">
        <v>7</v>
      </c>
      <c r="D43" s="60">
        <f>736.84/1.3</f>
        <v>566.79999999999995</v>
      </c>
      <c r="E43" s="51"/>
      <c r="F43" s="51"/>
      <c r="G43" s="51"/>
      <c r="H43" s="51"/>
      <c r="I43" s="49">
        <f t="shared" si="1"/>
        <v>20.507692307692299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2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2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2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2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2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2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2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2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2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2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2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2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2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2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25">
      <c r="A58" s="46" t="s">
        <v>166</v>
      </c>
      <c r="B58" s="52" t="str">
        <f>IF(B10="","",B10)</f>
        <v>Douglas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2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25">
      <c r="A60" s="4"/>
      <c r="B60" s="85" t="s">
        <v>185</v>
      </c>
      <c r="C60" s="258" t="s">
        <v>186</v>
      </c>
      <c r="D60" s="258"/>
      <c r="E60" s="259" t="s">
        <v>187</v>
      </c>
      <c r="F60" s="260"/>
      <c r="G60" s="260"/>
      <c r="H60" s="261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5" x14ac:dyDescent="0.2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25">
      <c r="A62" s="50">
        <v>19</v>
      </c>
      <c r="B62" s="60">
        <f>192.63/1.3</f>
        <v>148.17692307692306</v>
      </c>
      <c r="C62" s="60"/>
      <c r="D62" s="60"/>
      <c r="E62" s="51"/>
      <c r="F62" s="51"/>
      <c r="G62" s="51"/>
      <c r="H62" s="51"/>
      <c r="I62" s="53">
        <f>IFERROR(B62/A62,"")</f>
        <v>7.7987854251012134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25">
      <c r="A63" s="50">
        <v>21</v>
      </c>
      <c r="B63" s="60">
        <f>234.08/1.3</f>
        <v>180.06153846153848</v>
      </c>
      <c r="C63" s="60">
        <v>1</v>
      </c>
      <c r="D63" s="60">
        <f>79.52/1.3</f>
        <v>61.169230769230765</v>
      </c>
      <c r="E63" s="51"/>
      <c r="F63" s="51">
        <v>0.5</v>
      </c>
      <c r="G63" s="51">
        <v>0.5</v>
      </c>
      <c r="H63" s="51"/>
      <c r="I63" s="49">
        <f>IF(A63&lt;&gt;0,(B63-(B62-D62))/(A63-A62),"")</f>
        <v>15.942307692307708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5">
      <c r="A64" s="50">
        <v>28</v>
      </c>
      <c r="B64" s="60">
        <f>306.42/1.3</f>
        <v>235.7076923076923</v>
      </c>
      <c r="C64" s="60">
        <v>2</v>
      </c>
      <c r="D64" s="60">
        <f>73.99/1.3</f>
        <v>56.91538461538461</v>
      </c>
      <c r="E64" s="51">
        <v>0.1</v>
      </c>
      <c r="F64" s="51">
        <v>0.45</v>
      </c>
      <c r="G64" s="51">
        <v>0.45</v>
      </c>
      <c r="H64" s="51"/>
      <c r="I64" s="49">
        <f>IF(A64&lt;&gt;0,(B64-(B63-D63))/(A64-A63),"")</f>
        <v>16.687912087912085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25">
      <c r="A65" s="50">
        <v>35</v>
      </c>
      <c r="B65" s="60">
        <f>397.14/1.3</f>
        <v>305.49230769230769</v>
      </c>
      <c r="C65" s="60">
        <v>3</v>
      </c>
      <c r="D65" s="60">
        <f>91.65/1.3</f>
        <v>70.5</v>
      </c>
      <c r="E65" s="51"/>
      <c r="F65" s="51"/>
      <c r="G65" s="51"/>
      <c r="H65" s="51"/>
      <c r="I65" s="49">
        <f>IF(A65&lt;&gt;0,(B65-(B64-D64))/(A65-A64),"")</f>
        <v>18.099999999999998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25">
      <c r="A66" s="50">
        <v>42</v>
      </c>
      <c r="B66" s="60">
        <f>471.38/1.3</f>
        <v>362.59999999999997</v>
      </c>
      <c r="C66" s="60">
        <v>4</v>
      </c>
      <c r="D66" s="60">
        <f>104.87/1.3</f>
        <v>80.669230769230765</v>
      </c>
      <c r="E66" s="51"/>
      <c r="F66" s="51"/>
      <c r="G66" s="51"/>
      <c r="H66" s="51"/>
      <c r="I66" s="49">
        <f t="shared" ref="I66:I81" si="2">IF(A66&lt;&gt;0,(B66-(B65-D65))/(A66-A65),"")</f>
        <v>18.229670329670324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25">
      <c r="A67" s="50">
        <v>49</v>
      </c>
      <c r="B67" s="60">
        <f>525.94/1.3</f>
        <v>404.56923076923078</v>
      </c>
      <c r="C67" s="60">
        <v>5</v>
      </c>
      <c r="D67" s="60">
        <f>117.59/1.3</f>
        <v>90.453846153846158</v>
      </c>
      <c r="E67" s="51"/>
      <c r="F67" s="51"/>
      <c r="G67" s="51"/>
      <c r="H67" s="51"/>
      <c r="I67" s="49">
        <f t="shared" si="2"/>
        <v>17.519780219780223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25">
      <c r="A68" s="50">
        <v>56</v>
      </c>
      <c r="B68" s="60">
        <f>556.02/1.3</f>
        <v>427.7076923076923</v>
      </c>
      <c r="C68" s="60">
        <v>6</v>
      </c>
      <c r="D68" s="60">
        <f>98.63/1.3</f>
        <v>75.869230769230768</v>
      </c>
      <c r="E68" s="51"/>
      <c r="F68" s="51"/>
      <c r="G68" s="51"/>
      <c r="H68" s="51"/>
      <c r="I68" s="49">
        <f t="shared" si="2"/>
        <v>16.227472527472521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25">
      <c r="A69" s="50">
        <v>63</v>
      </c>
      <c r="B69" s="50">
        <f>592.43/1.3</f>
        <v>455.71538461538455</v>
      </c>
      <c r="C69" s="50">
        <v>7</v>
      </c>
      <c r="D69" s="50">
        <f>103.64/1.3</f>
        <v>79.723076923076917</v>
      </c>
      <c r="E69" s="51"/>
      <c r="F69" s="51"/>
      <c r="G69" s="51"/>
      <c r="H69" s="51"/>
      <c r="I69" s="49">
        <f t="shared" si="2"/>
        <v>14.839560439560435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25">
      <c r="A70" s="50">
        <v>70</v>
      </c>
      <c r="B70" s="50">
        <f>609.79/1.3</f>
        <v>469.06923076923073</v>
      </c>
      <c r="C70" s="50">
        <v>8</v>
      </c>
      <c r="D70" s="50">
        <f>609.79/1.3</f>
        <v>469.06923076923073</v>
      </c>
      <c r="E70" s="51"/>
      <c r="F70" s="51"/>
      <c r="G70" s="51"/>
      <c r="H70" s="51"/>
      <c r="I70" s="49">
        <f t="shared" si="2"/>
        <v>13.296703296703299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2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2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2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2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2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2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2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2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2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2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25">
      <c r="A84" s="46" t="s">
        <v>167</v>
      </c>
      <c r="B84" s="52" t="str">
        <f>IF(B11="","",B11)</f>
        <v>Mélèze hybride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2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25">
      <c r="A86" s="4"/>
      <c r="B86" s="85" t="s">
        <v>185</v>
      </c>
      <c r="C86" s="258" t="s">
        <v>186</v>
      </c>
      <c r="D86" s="258"/>
      <c r="E86" s="259" t="s">
        <v>187</v>
      </c>
      <c r="F86" s="260"/>
      <c r="G86" s="260"/>
      <c r="H86" s="261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5" x14ac:dyDescent="0.2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25">
      <c r="A88" s="50">
        <v>10</v>
      </c>
      <c r="B88" s="60">
        <v>36</v>
      </c>
      <c r="C88" s="60"/>
      <c r="D88" s="60"/>
      <c r="E88" s="51"/>
      <c r="F88" s="51"/>
      <c r="G88" s="51"/>
      <c r="H88" s="87"/>
      <c r="I88" s="53">
        <f>IFERROR(B88/A88,"")</f>
        <v>3.6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25">
      <c r="A89" s="50">
        <v>20</v>
      </c>
      <c r="B89" s="60">
        <v>177</v>
      </c>
      <c r="C89" s="60">
        <v>1</v>
      </c>
      <c r="D89" s="60">
        <f>39+42</f>
        <v>81</v>
      </c>
      <c r="E89" s="51"/>
      <c r="F89" s="51">
        <v>0.5</v>
      </c>
      <c r="G89" s="51">
        <v>0.5</v>
      </c>
      <c r="H89" s="87"/>
      <c r="I89" s="53">
        <f t="shared" ref="I89:I107" si="3">IF(A89&lt;&gt;0,(B89-(B88-D88))/(A89-A88),"")</f>
        <v>14.1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25">
      <c r="A90" s="50">
        <v>30</v>
      </c>
      <c r="B90" s="60">
        <v>260</v>
      </c>
      <c r="C90" s="60">
        <v>2</v>
      </c>
      <c r="D90" s="60">
        <f>42+42</f>
        <v>84</v>
      </c>
      <c r="E90" s="87">
        <v>0.2</v>
      </c>
      <c r="F90" s="87">
        <v>0.4</v>
      </c>
      <c r="G90" s="87">
        <v>0.4</v>
      </c>
      <c r="H90" s="87"/>
      <c r="I90" s="53">
        <f t="shared" si="3"/>
        <v>16.399999999999999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25">
      <c r="A91" s="50">
        <v>40</v>
      </c>
      <c r="B91" s="60">
        <v>314</v>
      </c>
      <c r="C91" s="60">
        <v>3</v>
      </c>
      <c r="D91" s="60">
        <f>42+38</f>
        <v>80</v>
      </c>
      <c r="E91" s="87"/>
      <c r="F91" s="87"/>
      <c r="G91" s="87"/>
      <c r="H91" s="87"/>
      <c r="I91" s="53">
        <f t="shared" si="3"/>
        <v>13.8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25">
      <c r="A92" s="50">
        <v>50</v>
      </c>
      <c r="B92" s="60">
        <v>349</v>
      </c>
      <c r="C92" s="60">
        <v>4</v>
      </c>
      <c r="D92" s="60">
        <f>34+31</f>
        <v>65</v>
      </c>
      <c r="E92" s="87"/>
      <c r="F92" s="87"/>
      <c r="G92" s="87"/>
      <c r="H92" s="87"/>
      <c r="I92" s="53">
        <f t="shared" si="3"/>
        <v>11.5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25">
      <c r="A93" s="50">
        <v>60</v>
      </c>
      <c r="B93" s="60">
        <v>382</v>
      </c>
      <c r="C93" s="60">
        <v>5</v>
      </c>
      <c r="D93" s="60">
        <f>29+27</f>
        <v>56</v>
      </c>
      <c r="E93" s="87"/>
      <c r="F93" s="87"/>
      <c r="G93" s="87"/>
      <c r="H93" s="87"/>
      <c r="I93" s="53">
        <f t="shared" si="3"/>
        <v>9.8000000000000007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5">
      <c r="A94" s="50">
        <v>70</v>
      </c>
      <c r="B94" s="60">
        <v>411</v>
      </c>
      <c r="C94" s="60">
        <v>6</v>
      </c>
      <c r="D94" s="60">
        <f>26+26</f>
        <v>52</v>
      </c>
      <c r="E94" s="87"/>
      <c r="F94" s="87"/>
      <c r="G94" s="87"/>
      <c r="H94" s="87"/>
      <c r="I94" s="53">
        <f t="shared" si="3"/>
        <v>8.5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5">
      <c r="A95" s="60">
        <v>80</v>
      </c>
      <c r="B95" s="60">
        <f>381+26+26</f>
        <v>433</v>
      </c>
      <c r="C95" s="60">
        <v>7</v>
      </c>
      <c r="D95" s="60">
        <f>B95</f>
        <v>433</v>
      </c>
      <c r="E95" s="87"/>
      <c r="F95" s="87"/>
      <c r="G95" s="87"/>
      <c r="H95" s="87"/>
      <c r="I95" s="53">
        <f t="shared" si="3"/>
        <v>7.4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2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2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2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2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2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2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2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2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2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2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2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2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2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25">
      <c r="A110" s="46" t="s">
        <v>168</v>
      </c>
      <c r="B110" s="52" t="str">
        <f>IF(B12="","",B12)</f>
        <v>Mélèze hybride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2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25">
      <c r="A112" s="4"/>
      <c r="B112" s="85" t="s">
        <v>185</v>
      </c>
      <c r="C112" s="258" t="s">
        <v>186</v>
      </c>
      <c r="D112" s="258"/>
      <c r="E112" s="259" t="s">
        <v>187</v>
      </c>
      <c r="F112" s="260"/>
      <c r="G112" s="260"/>
      <c r="H112" s="261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5" x14ac:dyDescent="0.2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25">
      <c r="A114" s="50">
        <v>10</v>
      </c>
      <c r="B114" s="60">
        <v>23</v>
      </c>
      <c r="C114" s="50"/>
      <c r="D114" s="60"/>
      <c r="E114" s="51"/>
      <c r="F114" s="51"/>
      <c r="G114" s="51"/>
      <c r="H114" s="51"/>
      <c r="I114" s="53">
        <f>IFERROR(B114/A114,"")</f>
        <v>2.2999999999999998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25">
      <c r="A115" s="50">
        <v>20</v>
      </c>
      <c r="B115" s="60">
        <v>137</v>
      </c>
      <c r="C115" s="50">
        <v>1</v>
      </c>
      <c r="D115" s="60">
        <f>22+35</f>
        <v>57</v>
      </c>
      <c r="E115" s="51"/>
      <c r="F115" s="51">
        <v>0.5</v>
      </c>
      <c r="G115" s="51">
        <v>0.5</v>
      </c>
      <c r="H115" s="51"/>
      <c r="I115" s="53">
        <f t="shared" ref="I115:I133" si="4">IF(A115&lt;&gt;0,(B115-(B114-D114))/(A115-A114),"")</f>
        <v>11.4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25">
      <c r="A116" s="50">
        <v>30</v>
      </c>
      <c r="B116" s="60">
        <v>220</v>
      </c>
      <c r="C116" s="50">
        <v>2</v>
      </c>
      <c r="D116" s="60">
        <f>35+35</f>
        <v>70</v>
      </c>
      <c r="E116" s="51">
        <v>0.1</v>
      </c>
      <c r="F116" s="51">
        <v>0.45</v>
      </c>
      <c r="G116" s="51">
        <v>0.45</v>
      </c>
      <c r="H116" s="51"/>
      <c r="I116" s="53">
        <f t="shared" si="4"/>
        <v>14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25">
      <c r="A117" s="50">
        <v>40</v>
      </c>
      <c r="B117" s="60">
        <v>271</v>
      </c>
      <c r="C117" s="50">
        <v>3</v>
      </c>
      <c r="D117" s="60">
        <f>35+33</f>
        <v>68</v>
      </c>
      <c r="E117" s="51"/>
      <c r="F117" s="51"/>
      <c r="G117" s="51"/>
      <c r="H117" s="51"/>
      <c r="I117" s="53">
        <f t="shared" si="4"/>
        <v>12.1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25">
      <c r="A118" s="50">
        <v>50</v>
      </c>
      <c r="B118" s="60">
        <v>302</v>
      </c>
      <c r="C118" s="50">
        <v>4</v>
      </c>
      <c r="D118" s="60">
        <f>29+26</f>
        <v>55</v>
      </c>
      <c r="E118" s="51"/>
      <c r="F118" s="51"/>
      <c r="G118" s="51"/>
      <c r="H118" s="51"/>
      <c r="I118" s="53">
        <f t="shared" si="4"/>
        <v>9.9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25">
      <c r="A119" s="50">
        <v>60</v>
      </c>
      <c r="B119" s="60">
        <v>329</v>
      </c>
      <c r="C119" s="50">
        <v>5</v>
      </c>
      <c r="D119" s="60">
        <f>24+22</f>
        <v>46</v>
      </c>
      <c r="E119" s="51"/>
      <c r="F119" s="51"/>
      <c r="G119" s="51"/>
      <c r="H119" s="51"/>
      <c r="I119" s="53">
        <f t="shared" si="4"/>
        <v>8.1999999999999993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25">
      <c r="A120" s="60">
        <v>70</v>
      </c>
      <c r="B120" s="60">
        <v>354</v>
      </c>
      <c r="C120" s="60">
        <v>6</v>
      </c>
      <c r="D120" s="60">
        <f>21+21</f>
        <v>42</v>
      </c>
      <c r="E120" s="87"/>
      <c r="F120" s="87"/>
      <c r="G120" s="87"/>
      <c r="H120" s="87"/>
      <c r="I120" s="53">
        <f t="shared" si="4"/>
        <v>7.1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25">
      <c r="A121" s="60">
        <v>80</v>
      </c>
      <c r="B121" s="60">
        <v>373</v>
      </c>
      <c r="C121" s="60">
        <v>7</v>
      </c>
      <c r="D121" s="60">
        <f>B121</f>
        <v>373</v>
      </c>
      <c r="E121" s="87"/>
      <c r="F121" s="87"/>
      <c r="G121" s="87"/>
      <c r="H121" s="87"/>
      <c r="I121" s="53">
        <f t="shared" si="4"/>
        <v>6.1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25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2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2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2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2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2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2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2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2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2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2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2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2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2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25">
      <c r="A136" s="46" t="s">
        <v>169</v>
      </c>
      <c r="B136" s="52" t="str">
        <f>IF(B13="","",B13)</f>
        <v>Sapin méditerranéen</v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2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25">
      <c r="A138" s="4"/>
      <c r="B138" s="85" t="s">
        <v>185</v>
      </c>
      <c r="C138" s="258" t="s">
        <v>186</v>
      </c>
      <c r="D138" s="258"/>
      <c r="E138" s="259" t="s">
        <v>187</v>
      </c>
      <c r="F138" s="260"/>
      <c r="G138" s="260"/>
      <c r="H138" s="261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5" x14ac:dyDescent="0.2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25">
      <c r="A140" s="50">
        <v>40</v>
      </c>
      <c r="B140" s="60">
        <f>(203+92)/1.3</f>
        <v>226.92307692307691</v>
      </c>
      <c r="C140" s="50">
        <v>1</v>
      </c>
      <c r="D140" s="60">
        <f>92/1.3</f>
        <v>70.769230769230774</v>
      </c>
      <c r="E140" s="51"/>
      <c r="F140" s="51"/>
      <c r="G140" s="51"/>
      <c r="H140" s="51"/>
      <c r="I140" s="57">
        <f>IFERROR(B140/A140,"")</f>
        <v>5.6730769230769225</v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25">
      <c r="A141" s="50">
        <v>50</v>
      </c>
      <c r="B141" s="60">
        <f>(275+78)/1.3</f>
        <v>271.53846153846155</v>
      </c>
      <c r="C141" s="50">
        <v>2</v>
      </c>
      <c r="D141" s="60">
        <f>78/1.3</f>
        <v>60</v>
      </c>
      <c r="E141" s="51"/>
      <c r="F141" s="51"/>
      <c r="G141" s="51"/>
      <c r="H141" s="51"/>
      <c r="I141" s="57">
        <f t="shared" ref="I141:I159" si="5">IF(A141&lt;&gt;0,(B141-(B140-D140))/(A141-A140),"")</f>
        <v>11.538461538461542</v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25">
      <c r="A142" s="50">
        <v>60</v>
      </c>
      <c r="B142" s="60">
        <f>(371+65)/1.3</f>
        <v>335.38461538461536</v>
      </c>
      <c r="C142" s="50">
        <v>3</v>
      </c>
      <c r="D142" s="60">
        <f>65/1.3</f>
        <v>50</v>
      </c>
      <c r="E142" s="51"/>
      <c r="F142" s="51"/>
      <c r="G142" s="51"/>
      <c r="H142" s="51"/>
      <c r="I142" s="57">
        <f t="shared" si="5"/>
        <v>12.384615384615381</v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25">
      <c r="A143" s="50">
        <v>70</v>
      </c>
      <c r="B143" s="60">
        <f>(500+53)/1.3</f>
        <v>425.38461538461536</v>
      </c>
      <c r="C143" s="50">
        <v>4</v>
      </c>
      <c r="D143" s="60">
        <f>53/1.3</f>
        <v>40.769230769230766</v>
      </c>
      <c r="E143" s="51"/>
      <c r="F143" s="51"/>
      <c r="G143" s="51"/>
      <c r="H143" s="51"/>
      <c r="I143" s="57">
        <f t="shared" si="5"/>
        <v>14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25">
      <c r="A144" s="50">
        <v>80</v>
      </c>
      <c r="B144" s="60">
        <f>(675+45)/1.3</f>
        <v>553.84615384615381</v>
      </c>
      <c r="C144" s="50">
        <v>5</v>
      </c>
      <c r="D144" s="60">
        <f>45/1.3</f>
        <v>34.615384615384613</v>
      </c>
      <c r="E144" s="51"/>
      <c r="F144" s="51"/>
      <c r="G144" s="51"/>
      <c r="H144" s="51"/>
      <c r="I144" s="57">
        <f t="shared" si="5"/>
        <v>16.923076923076923</v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25">
      <c r="A145" s="50">
        <v>90</v>
      </c>
      <c r="B145" s="60">
        <f>(911+34)/1.3</f>
        <v>726.92307692307691</v>
      </c>
      <c r="C145" s="50">
        <v>6</v>
      </c>
      <c r="D145" s="60">
        <f>34/1.3</f>
        <v>26.153846153846153</v>
      </c>
      <c r="E145" s="51"/>
      <c r="F145" s="51"/>
      <c r="G145" s="51"/>
      <c r="H145" s="51"/>
      <c r="I145" s="57">
        <f t="shared" si="5"/>
        <v>20.769230769230774</v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25">
      <c r="A146" s="50">
        <v>100</v>
      </c>
      <c r="B146" s="60">
        <f>(1230+23)/1.3</f>
        <v>963.84615384615381</v>
      </c>
      <c r="C146" s="50">
        <v>7</v>
      </c>
      <c r="D146" s="60">
        <f>23/1.3</f>
        <v>17.692307692307693</v>
      </c>
      <c r="E146" s="51"/>
      <c r="F146" s="51"/>
      <c r="G146" s="51"/>
      <c r="H146" s="51"/>
      <c r="I146" s="57">
        <f t="shared" si="5"/>
        <v>26.30769230769231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25">
      <c r="A147" s="50">
        <v>110</v>
      </c>
      <c r="B147" s="60">
        <f>(1661+11)/1.3</f>
        <v>1286.1538461538462</v>
      </c>
      <c r="C147" s="50">
        <v>8</v>
      </c>
      <c r="D147" s="60">
        <f>11/1.3</f>
        <v>8.4615384615384617</v>
      </c>
      <c r="E147" s="51"/>
      <c r="F147" s="51"/>
      <c r="G147" s="51"/>
      <c r="H147" s="51"/>
      <c r="I147" s="57">
        <f>IF(A147&lt;&gt;0,(B147-(B146-D146))/(A147-A146),"")</f>
        <v>34.000000000000014</v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2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2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2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2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2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2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2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2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2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2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2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2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2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2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25">
      <c r="A162" s="46" t="s">
        <v>170</v>
      </c>
      <c r="B162" s="52" t="str">
        <f>IF(B14="","",B14)</f>
        <v>Sapin méditerranéen</v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2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25">
      <c r="A164" s="4"/>
      <c r="B164" s="85" t="s">
        <v>185</v>
      </c>
      <c r="C164" s="258" t="s">
        <v>186</v>
      </c>
      <c r="D164" s="258"/>
      <c r="E164" s="259" t="s">
        <v>187</v>
      </c>
      <c r="F164" s="260"/>
      <c r="G164" s="260"/>
      <c r="H164" s="261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5" x14ac:dyDescent="0.2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25">
      <c r="A166" s="50">
        <v>40</v>
      </c>
      <c r="B166" s="60">
        <f>(136+66)/1.3</f>
        <v>155.38461538461539</v>
      </c>
      <c r="C166" s="60">
        <v>1</v>
      </c>
      <c r="D166" s="60">
        <f>66/1.3</f>
        <v>50.769230769230766</v>
      </c>
      <c r="E166" s="51"/>
      <c r="F166" s="51"/>
      <c r="G166" s="51"/>
      <c r="H166" s="51"/>
      <c r="I166" s="49">
        <f>IFERROR(B166/A166,"")</f>
        <v>3.8846153846153846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25">
      <c r="A167" s="50">
        <v>50</v>
      </c>
      <c r="B167" s="60">
        <f>(167+58)/1.3</f>
        <v>173.07692307692307</v>
      </c>
      <c r="C167" s="60">
        <v>2</v>
      </c>
      <c r="D167" s="60">
        <f>58/1.3</f>
        <v>44.615384615384613</v>
      </c>
      <c r="E167" s="51"/>
      <c r="F167" s="51"/>
      <c r="G167" s="51"/>
      <c r="H167" s="51"/>
      <c r="I167" s="49">
        <f t="shared" ref="I167:I185" si="6">IF(A167&lt;&gt;0,(B167-(B166-D166))/(A167-A166),"")</f>
        <v>6.8461538461538449</v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25">
      <c r="A168" s="50">
        <v>60</v>
      </c>
      <c r="B168" s="60">
        <f>(203+58)/1.3</f>
        <v>200.76923076923077</v>
      </c>
      <c r="C168" s="60">
        <v>3</v>
      </c>
      <c r="D168" s="60">
        <f>58/1.3</f>
        <v>44.615384615384613</v>
      </c>
      <c r="E168" s="51"/>
      <c r="F168" s="51"/>
      <c r="G168" s="51"/>
      <c r="H168" s="51"/>
      <c r="I168" s="49">
        <f t="shared" si="6"/>
        <v>7.2307692307692317</v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25">
      <c r="A169" s="50">
        <v>70</v>
      </c>
      <c r="B169" s="60">
        <f>(248+62)/1.3</f>
        <v>238.46153846153845</v>
      </c>
      <c r="C169" s="60">
        <v>4</v>
      </c>
      <c r="D169" s="60">
        <f>62/1.3</f>
        <v>47.692307692307693</v>
      </c>
      <c r="E169" s="51"/>
      <c r="F169" s="51"/>
      <c r="G169" s="51"/>
      <c r="H169" s="51"/>
      <c r="I169" s="49">
        <f t="shared" si="6"/>
        <v>8.2307692307692299</v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25">
      <c r="A170" s="50">
        <v>80</v>
      </c>
      <c r="B170" s="60">
        <f>(303+58)/1.3</f>
        <v>277.69230769230768</v>
      </c>
      <c r="C170" s="60">
        <v>5</v>
      </c>
      <c r="D170" s="60">
        <f>58/1.3</f>
        <v>44.615384615384613</v>
      </c>
      <c r="E170" s="51"/>
      <c r="F170" s="51"/>
      <c r="G170" s="51"/>
      <c r="H170" s="51"/>
      <c r="I170" s="49">
        <f t="shared" si="6"/>
        <v>8.6923076923076898</v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25">
      <c r="A171" s="50">
        <v>90</v>
      </c>
      <c r="B171" s="60">
        <f>(371+50)/1.3</f>
        <v>323.84615384615381</v>
      </c>
      <c r="C171" s="60">
        <v>6</v>
      </c>
      <c r="D171" s="60">
        <f>50/1.3</f>
        <v>38.46153846153846</v>
      </c>
      <c r="E171" s="51"/>
      <c r="F171" s="51"/>
      <c r="G171" s="51"/>
      <c r="H171" s="51"/>
      <c r="I171" s="49">
        <f t="shared" si="6"/>
        <v>9.0769230769230749</v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25">
      <c r="A172" s="50">
        <v>100</v>
      </c>
      <c r="B172" s="60">
        <f>(453+45)/1.3</f>
        <v>383.07692307692304</v>
      </c>
      <c r="C172" s="60">
        <v>7</v>
      </c>
      <c r="D172" s="60">
        <f>45/1.3</f>
        <v>34.615384615384613</v>
      </c>
      <c r="E172" s="51"/>
      <c r="F172" s="51"/>
      <c r="G172" s="51"/>
      <c r="H172" s="51"/>
      <c r="I172" s="49">
        <f t="shared" si="6"/>
        <v>9.7692307692307683</v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25">
      <c r="A173" s="50">
        <v>110</v>
      </c>
      <c r="B173" s="50">
        <f>(553+40)/1.3</f>
        <v>456.15384615384613</v>
      </c>
      <c r="C173" s="50">
        <v>8</v>
      </c>
      <c r="D173" s="50">
        <f>40/1.3</f>
        <v>30.769230769230766</v>
      </c>
      <c r="E173" s="51"/>
      <c r="F173" s="51"/>
      <c r="G173" s="51"/>
      <c r="H173" s="51"/>
      <c r="I173" s="49">
        <f t="shared" si="6"/>
        <v>10.769230769230768</v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2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2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2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2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2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2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2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2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2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2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2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2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2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2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25">
      <c r="A188" s="46" t="s">
        <v>171</v>
      </c>
      <c r="B188" s="52" t="str">
        <f>IF(B15="","",B15)</f>
        <v>Pin laricio</v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2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25">
      <c r="A190" s="4"/>
      <c r="B190" s="85" t="s">
        <v>185</v>
      </c>
      <c r="C190" s="258" t="s">
        <v>186</v>
      </c>
      <c r="D190" s="258"/>
      <c r="E190" s="259" t="s">
        <v>187</v>
      </c>
      <c r="F190" s="260"/>
      <c r="G190" s="260"/>
      <c r="H190" s="261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5" x14ac:dyDescent="0.2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25">
      <c r="A192" s="50">
        <v>20</v>
      </c>
      <c r="B192" s="60">
        <f>77+29</f>
        <v>106</v>
      </c>
      <c r="C192" s="60">
        <v>1</v>
      </c>
      <c r="D192" s="60">
        <v>29</v>
      </c>
      <c r="E192" s="51"/>
      <c r="F192" s="51">
        <v>0.5</v>
      </c>
      <c r="G192" s="51">
        <v>0.5</v>
      </c>
      <c r="H192" s="51"/>
      <c r="I192" s="49">
        <f>IFERROR(B192/A192,"")</f>
        <v>5.3</v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25">
      <c r="A193" s="50">
        <v>30</v>
      </c>
      <c r="B193" s="60">
        <f>159+71</f>
        <v>230</v>
      </c>
      <c r="C193" s="60">
        <v>2</v>
      </c>
      <c r="D193" s="60">
        <v>71</v>
      </c>
      <c r="E193" s="51">
        <v>0.1</v>
      </c>
      <c r="F193" s="51">
        <v>0.45</v>
      </c>
      <c r="G193" s="51">
        <v>0.45</v>
      </c>
      <c r="H193" s="51"/>
      <c r="I193" s="49">
        <f t="shared" ref="I193:I211" si="7">IF(A193&lt;&gt;0,(B193-(B192-D192))/(A193-A192),"")</f>
        <v>15.3</v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25">
      <c r="A194" s="50">
        <v>40</v>
      </c>
      <c r="B194" s="60">
        <f>246+95</f>
        <v>341</v>
      </c>
      <c r="C194" s="60">
        <v>3</v>
      </c>
      <c r="D194" s="60">
        <v>95</v>
      </c>
      <c r="E194" s="51"/>
      <c r="F194" s="51"/>
      <c r="G194" s="51"/>
      <c r="H194" s="51"/>
      <c r="I194" s="49">
        <f t="shared" si="7"/>
        <v>18.2</v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25">
      <c r="A195" s="50">
        <v>50</v>
      </c>
      <c r="B195" s="60">
        <f>328+107</f>
        <v>435</v>
      </c>
      <c r="C195" s="60">
        <v>4</v>
      </c>
      <c r="D195" s="60">
        <v>107</v>
      </c>
      <c r="E195" s="51"/>
      <c r="F195" s="51"/>
      <c r="G195" s="51"/>
      <c r="H195" s="51"/>
      <c r="I195" s="49">
        <f t="shared" si="7"/>
        <v>18.899999999999999</v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25">
      <c r="A196" s="50">
        <v>60</v>
      </c>
      <c r="B196" s="60">
        <f>400+108</f>
        <v>508</v>
      </c>
      <c r="C196" s="60">
        <v>5</v>
      </c>
      <c r="D196" s="60">
        <v>108</v>
      </c>
      <c r="E196" s="51"/>
      <c r="F196" s="51"/>
      <c r="G196" s="51"/>
      <c r="H196" s="51"/>
      <c r="I196" s="49">
        <f t="shared" si="7"/>
        <v>18</v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25">
      <c r="A197" s="50">
        <v>70</v>
      </c>
      <c r="B197" s="60">
        <f>461+103</f>
        <v>564</v>
      </c>
      <c r="C197" s="60">
        <v>6</v>
      </c>
      <c r="D197" s="60">
        <v>103</v>
      </c>
      <c r="E197" s="51"/>
      <c r="F197" s="51"/>
      <c r="G197" s="51"/>
      <c r="H197" s="51"/>
      <c r="I197" s="49">
        <f t="shared" si="7"/>
        <v>16.399999999999999</v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25">
      <c r="A198" s="50">
        <v>80</v>
      </c>
      <c r="B198" s="60">
        <f>512+94</f>
        <v>606</v>
      </c>
      <c r="C198" s="60">
        <v>7</v>
      </c>
      <c r="D198" s="60">
        <v>94</v>
      </c>
      <c r="E198" s="51"/>
      <c r="F198" s="51"/>
      <c r="G198" s="51"/>
      <c r="H198" s="51"/>
      <c r="I198" s="49">
        <f t="shared" si="7"/>
        <v>14.5</v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25">
      <c r="A199" s="50">
        <v>90</v>
      </c>
      <c r="B199" s="50">
        <f>554+83</f>
        <v>637</v>
      </c>
      <c r="C199" s="50">
        <v>8</v>
      </c>
      <c r="D199" s="50">
        <v>83</v>
      </c>
      <c r="E199" s="51"/>
      <c r="F199" s="51"/>
      <c r="G199" s="51"/>
      <c r="H199" s="51"/>
      <c r="I199" s="49">
        <f t="shared" si="7"/>
        <v>12.5</v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2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2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2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2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2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2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2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2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2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2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2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2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2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2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25">
      <c r="A214" s="46" t="s">
        <v>172</v>
      </c>
      <c r="B214" s="52" t="str">
        <f>IF(B16="","",B16)</f>
        <v>Pin laricio</v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2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25">
      <c r="A216" s="4"/>
      <c r="B216" s="85" t="s">
        <v>185</v>
      </c>
      <c r="C216" s="258" t="s">
        <v>186</v>
      </c>
      <c r="D216" s="258"/>
      <c r="E216" s="259" t="s">
        <v>187</v>
      </c>
      <c r="F216" s="260"/>
      <c r="G216" s="260"/>
      <c r="H216" s="261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5" x14ac:dyDescent="0.2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25">
      <c r="A218" s="50">
        <v>20</v>
      </c>
      <c r="B218" s="60">
        <f>67+20</f>
        <v>87</v>
      </c>
      <c r="C218" s="50">
        <v>1</v>
      </c>
      <c r="D218" s="60">
        <v>20</v>
      </c>
      <c r="E218" s="63"/>
      <c r="F218" s="63">
        <v>0.5</v>
      </c>
      <c r="G218" s="63">
        <v>0.5</v>
      </c>
      <c r="H218" s="63"/>
      <c r="I218" s="53">
        <f>IFERROR(B218/A218,"")</f>
        <v>4.3499999999999996</v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25">
      <c r="A219" s="50">
        <v>30</v>
      </c>
      <c r="B219" s="60">
        <f>140+60</f>
        <v>200</v>
      </c>
      <c r="C219" s="50">
        <v>2</v>
      </c>
      <c r="D219" s="60">
        <v>60</v>
      </c>
      <c r="E219" s="63">
        <v>0.1</v>
      </c>
      <c r="F219" s="63">
        <v>0.45</v>
      </c>
      <c r="G219" s="63">
        <v>0.45</v>
      </c>
      <c r="H219" s="63"/>
      <c r="I219" s="53">
        <f t="shared" ref="I219:I237" si="8">IF(A219&lt;&gt;0,(B219-(B218-D218))/(A219-A218),"")</f>
        <v>13.3</v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25">
      <c r="A220" s="50">
        <v>40</v>
      </c>
      <c r="B220" s="60">
        <f>218+79</f>
        <v>297</v>
      </c>
      <c r="C220" s="50">
        <v>3</v>
      </c>
      <c r="D220" s="60">
        <v>79</v>
      </c>
      <c r="E220" s="63"/>
      <c r="F220" s="63"/>
      <c r="G220" s="63"/>
      <c r="H220" s="63"/>
      <c r="I220" s="53">
        <f t="shared" si="8"/>
        <v>15.7</v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25">
      <c r="A221" s="55">
        <v>50</v>
      </c>
      <c r="B221" s="55">
        <f>291+89</f>
        <v>380</v>
      </c>
      <c r="C221" s="55">
        <v>4</v>
      </c>
      <c r="D221" s="55">
        <v>89</v>
      </c>
      <c r="E221" s="63"/>
      <c r="F221" s="63"/>
      <c r="G221" s="63"/>
      <c r="H221" s="63"/>
      <c r="I221" s="53">
        <f t="shared" si="8"/>
        <v>16.2</v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25">
      <c r="A222" s="55">
        <v>60</v>
      </c>
      <c r="B222" s="55">
        <f>357+90</f>
        <v>447</v>
      </c>
      <c r="C222" s="55">
        <v>5</v>
      </c>
      <c r="D222" s="55">
        <v>90</v>
      </c>
      <c r="E222" s="63"/>
      <c r="F222" s="63"/>
      <c r="G222" s="63"/>
      <c r="H222" s="63"/>
      <c r="I222" s="53">
        <f t="shared" si="8"/>
        <v>15.6</v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25">
      <c r="A223" s="55">
        <v>70</v>
      </c>
      <c r="B223" s="55">
        <f>412+86</f>
        <v>498</v>
      </c>
      <c r="C223" s="55">
        <v>6</v>
      </c>
      <c r="D223" s="55">
        <v>86</v>
      </c>
      <c r="E223" s="63"/>
      <c r="F223" s="63"/>
      <c r="G223" s="63"/>
      <c r="H223" s="63"/>
      <c r="I223" s="53">
        <f t="shared" si="8"/>
        <v>14.1</v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25">
      <c r="A224" s="55">
        <v>80</v>
      </c>
      <c r="B224" s="55">
        <f>459+78</f>
        <v>537</v>
      </c>
      <c r="C224" s="55">
        <v>7</v>
      </c>
      <c r="D224" s="55">
        <v>78</v>
      </c>
      <c r="E224" s="63"/>
      <c r="F224" s="63"/>
      <c r="G224" s="63"/>
      <c r="H224" s="63"/>
      <c r="I224" s="53">
        <f t="shared" si="8"/>
        <v>12.5</v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25">
      <c r="A225" s="55">
        <v>90</v>
      </c>
      <c r="B225" s="55">
        <f>497+70</f>
        <v>567</v>
      </c>
      <c r="C225" s="55">
        <v>8</v>
      </c>
      <c r="D225" s="55">
        <v>70</v>
      </c>
      <c r="E225" s="63"/>
      <c r="F225" s="63"/>
      <c r="G225" s="63"/>
      <c r="H225" s="63"/>
      <c r="I225" s="53">
        <f t="shared" si="8"/>
        <v>10.8</v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2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2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2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2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2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2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2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2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2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2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2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2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2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2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25">
      <c r="A240" s="46" t="s">
        <v>173</v>
      </c>
      <c r="B240" s="52" t="str">
        <f>IF(B17="","",B17)</f>
        <v>Erable sycomore</v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2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25">
      <c r="A242" s="4"/>
      <c r="B242" s="85" t="s">
        <v>185</v>
      </c>
      <c r="C242" s="258" t="s">
        <v>186</v>
      </c>
      <c r="D242" s="258"/>
      <c r="E242" s="259" t="s">
        <v>187</v>
      </c>
      <c r="F242" s="260"/>
      <c r="G242" s="260"/>
      <c r="H242" s="261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5" x14ac:dyDescent="0.2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25">
      <c r="A244" s="50">
        <v>10</v>
      </c>
      <c r="B244" s="60">
        <v>11</v>
      </c>
      <c r="C244" s="60"/>
      <c r="D244" s="60"/>
      <c r="E244" s="51"/>
      <c r="F244" s="51">
        <v>0.25</v>
      </c>
      <c r="G244" s="51">
        <v>0.25</v>
      </c>
      <c r="H244" s="63">
        <v>0.5</v>
      </c>
      <c r="I244" s="53">
        <f>IFERROR(B244/A244,"")</f>
        <v>1.1000000000000001</v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25">
      <c r="A245" s="50">
        <v>20</v>
      </c>
      <c r="B245" s="60">
        <v>134</v>
      </c>
      <c r="C245" s="60">
        <v>1</v>
      </c>
      <c r="D245" s="60">
        <f>32+35</f>
        <v>67</v>
      </c>
      <c r="E245" s="63"/>
      <c r="F245" s="63">
        <v>0.25</v>
      </c>
      <c r="G245" s="63">
        <v>0.25</v>
      </c>
      <c r="H245" s="63">
        <v>0.5</v>
      </c>
      <c r="I245" s="53">
        <f>IF(A245&lt;&gt;0,(B245-(B244-D244))/(A245-A244),"")</f>
        <v>12.3</v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25">
      <c r="A246" s="50">
        <v>30</v>
      </c>
      <c r="B246" s="60">
        <v>212</v>
      </c>
      <c r="C246" s="60">
        <v>2</v>
      </c>
      <c r="D246" s="60">
        <f>35+35</f>
        <v>70</v>
      </c>
      <c r="E246" s="63">
        <v>0.1</v>
      </c>
      <c r="F246" s="63">
        <v>0.45</v>
      </c>
      <c r="G246" s="63">
        <v>0.45</v>
      </c>
      <c r="H246" s="63"/>
      <c r="I246" s="53">
        <f>IF(A246&lt;&gt;0,(B246-(B245-D245))/(A246-A245),"")</f>
        <v>14.5</v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25">
      <c r="A247" s="50">
        <v>40</v>
      </c>
      <c r="B247" s="60">
        <v>263</v>
      </c>
      <c r="C247" s="60">
        <v>3</v>
      </c>
      <c r="D247" s="60">
        <f>35+35</f>
        <v>70</v>
      </c>
      <c r="E247" s="63"/>
      <c r="F247" s="63"/>
      <c r="G247" s="63"/>
      <c r="H247" s="63"/>
      <c r="I247" s="53">
        <f t="shared" ref="I247:I263" si="9">IF(A247&lt;&gt;0,(B247-(B246-D246))/(A247-A246),"")</f>
        <v>12.1</v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25">
      <c r="A248" s="50">
        <v>50</v>
      </c>
      <c r="B248" s="60">
        <v>285</v>
      </c>
      <c r="C248" s="60">
        <v>4</v>
      </c>
      <c r="D248" s="60">
        <f>24+19</f>
        <v>43</v>
      </c>
      <c r="E248" s="63"/>
      <c r="F248" s="63"/>
      <c r="G248" s="63"/>
      <c r="H248" s="63"/>
      <c r="I248" s="53">
        <f t="shared" si="9"/>
        <v>9.1999999999999993</v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25">
      <c r="A249" s="50">
        <v>60</v>
      </c>
      <c r="B249" s="60">
        <v>310</v>
      </c>
      <c r="C249" s="60">
        <v>5</v>
      </c>
      <c r="D249" s="60">
        <f>16+14</f>
        <v>30</v>
      </c>
      <c r="E249" s="63"/>
      <c r="F249" s="63"/>
      <c r="G249" s="63"/>
      <c r="H249" s="63"/>
      <c r="I249" s="53">
        <f t="shared" si="9"/>
        <v>6.8</v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25">
      <c r="A250" s="50">
        <v>70</v>
      </c>
      <c r="B250" s="60">
        <v>329</v>
      </c>
      <c r="C250" s="60">
        <v>6</v>
      </c>
      <c r="D250" s="60">
        <f>13+13</f>
        <v>26</v>
      </c>
      <c r="E250" s="63"/>
      <c r="F250" s="63"/>
      <c r="G250" s="63"/>
      <c r="H250" s="63"/>
      <c r="I250" s="53">
        <f t="shared" si="9"/>
        <v>4.9000000000000004</v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25">
      <c r="A251" s="55">
        <v>80</v>
      </c>
      <c r="B251" s="55">
        <f>319+12+11</f>
        <v>342</v>
      </c>
      <c r="C251" s="55">
        <v>7</v>
      </c>
      <c r="D251" s="55">
        <f>B251</f>
        <v>342</v>
      </c>
      <c r="E251" s="63"/>
      <c r="F251" s="63"/>
      <c r="G251" s="63"/>
      <c r="H251" s="63"/>
      <c r="I251" s="53">
        <f t="shared" si="9"/>
        <v>3.9</v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2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2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2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2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2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2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2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2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2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2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2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2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2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2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25">
      <c r="A266" s="46" t="s">
        <v>174</v>
      </c>
      <c r="B266" s="52" t="str">
        <f>IF(B18="","",B18)</f>
        <v>Erable sycomore</v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2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25">
      <c r="A268" s="4"/>
      <c r="B268" s="85" t="s">
        <v>185</v>
      </c>
      <c r="C268" s="258" t="s">
        <v>186</v>
      </c>
      <c r="D268" s="258"/>
      <c r="E268" s="259" t="s">
        <v>187</v>
      </c>
      <c r="F268" s="260"/>
      <c r="G268" s="260"/>
      <c r="H268" s="261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5" x14ac:dyDescent="0.2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25">
      <c r="A270" s="50">
        <v>20</v>
      </c>
      <c r="B270" s="60">
        <v>95</v>
      </c>
      <c r="C270" s="50">
        <v>1</v>
      </c>
      <c r="D270" s="60">
        <f>15+28</f>
        <v>43</v>
      </c>
      <c r="E270" s="51"/>
      <c r="F270" s="51">
        <v>0.25</v>
      </c>
      <c r="G270" s="51">
        <v>0.25</v>
      </c>
      <c r="H270" s="51">
        <v>0.5</v>
      </c>
      <c r="I270" s="53">
        <f>IFERROR(B270/A270,"")</f>
        <v>4.75</v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25">
      <c r="A271" s="50">
        <v>30</v>
      </c>
      <c r="B271" s="60">
        <v>174</v>
      </c>
      <c r="C271" s="50">
        <v>2</v>
      </c>
      <c r="D271" s="60">
        <f>28+28</f>
        <v>56</v>
      </c>
      <c r="E271" s="51"/>
      <c r="F271" s="51">
        <v>0.25</v>
      </c>
      <c r="G271" s="51">
        <v>0.25</v>
      </c>
      <c r="H271" s="51">
        <v>0.5</v>
      </c>
      <c r="I271" s="53">
        <f>IF(A271&lt;&gt;0,(B271-(B270-D270))/(A271-A270),"")</f>
        <v>12.2</v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25">
      <c r="A272" s="50">
        <v>40</v>
      </c>
      <c r="B272" s="60">
        <v>220</v>
      </c>
      <c r="C272" s="50">
        <v>3</v>
      </c>
      <c r="D272" s="60">
        <f>28+28</f>
        <v>56</v>
      </c>
      <c r="E272" s="51"/>
      <c r="F272" s="51"/>
      <c r="G272" s="51"/>
      <c r="H272" s="51"/>
      <c r="I272" s="53">
        <f t="shared" ref="I272:I289" si="10">IF(A272&lt;&gt;0,(B272-(B271-D271))/(A272-A271),"")</f>
        <v>10.199999999999999</v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25">
      <c r="A273" s="50">
        <v>50</v>
      </c>
      <c r="B273" s="60">
        <v>241</v>
      </c>
      <c r="C273" s="50">
        <v>4</v>
      </c>
      <c r="D273" s="60">
        <f>22+17</f>
        <v>39</v>
      </c>
      <c r="E273" s="51"/>
      <c r="F273" s="51"/>
      <c r="G273" s="51"/>
      <c r="H273" s="51"/>
      <c r="I273" s="53">
        <f t="shared" si="10"/>
        <v>7.7</v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25">
      <c r="A274" s="50">
        <v>60</v>
      </c>
      <c r="B274" s="60">
        <v>258</v>
      </c>
      <c r="C274" s="50">
        <v>5</v>
      </c>
      <c r="D274" s="60">
        <f>13+12</f>
        <v>25</v>
      </c>
      <c r="E274" s="51"/>
      <c r="F274" s="51"/>
      <c r="G274" s="51"/>
      <c r="H274" s="51"/>
      <c r="I274" s="53">
        <f t="shared" si="10"/>
        <v>5.6</v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25">
      <c r="A275" s="50">
        <v>70</v>
      </c>
      <c r="B275" s="60">
        <v>274</v>
      </c>
      <c r="C275" s="50">
        <v>6</v>
      </c>
      <c r="D275" s="60">
        <f>11+10</f>
        <v>21</v>
      </c>
      <c r="E275" s="63"/>
      <c r="F275" s="63"/>
      <c r="G275" s="63"/>
      <c r="H275" s="63"/>
      <c r="I275" s="53">
        <f t="shared" si="10"/>
        <v>4.0999999999999996</v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25">
      <c r="A276" s="50">
        <v>80</v>
      </c>
      <c r="B276" s="60">
        <f>267+9+8</f>
        <v>284</v>
      </c>
      <c r="C276" s="50">
        <v>7</v>
      </c>
      <c r="D276" s="60">
        <f>B276</f>
        <v>284</v>
      </c>
      <c r="E276" s="63"/>
      <c r="F276" s="63"/>
      <c r="G276" s="63"/>
      <c r="H276" s="63"/>
      <c r="I276" s="53">
        <f t="shared" si="10"/>
        <v>3.1</v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2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2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2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2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2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2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2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2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2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2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2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2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2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2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2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2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2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2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2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2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2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2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2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2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2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2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2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2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2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2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2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2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2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2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2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2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2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2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2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2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2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2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2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2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2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2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2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2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2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2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2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2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2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2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2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2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2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2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2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2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2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2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2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2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2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2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2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2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2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2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2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2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2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2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2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2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2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2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2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2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2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2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2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2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2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2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2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2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2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2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2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2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2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2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2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2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2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2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2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2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2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2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2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2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2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2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2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2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2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2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2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2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2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2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2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2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2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2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2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2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2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2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2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2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2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2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2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2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2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2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2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2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2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2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2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2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2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2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2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2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2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2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2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2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2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2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2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2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2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2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2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G15" sqref="G15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7" thickBot="1" x14ac:dyDescent="0.45">
      <c r="A2" s="4"/>
      <c r="B2" s="272" t="s">
        <v>191</v>
      </c>
      <c r="C2" s="273"/>
      <c r="D2" s="273"/>
      <c r="E2" s="273"/>
      <c r="F2" s="273"/>
      <c r="G2" s="274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2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25">
      <c r="A4" s="4"/>
      <c r="B4" s="271"/>
      <c r="C4" s="271"/>
      <c r="D4" s="271"/>
      <c r="E4" s="271"/>
      <c r="F4" s="271"/>
      <c r="G4" s="271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25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2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25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25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25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25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2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2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25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25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25">
      <c r="A15" s="23"/>
      <c r="B15" s="26" t="s">
        <v>295</v>
      </c>
      <c r="C15" s="4"/>
      <c r="D15" s="23"/>
      <c r="E15" s="4"/>
      <c r="F15" s="4"/>
      <c r="G15" s="2" t="s">
        <v>149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25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25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25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2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2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2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2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2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2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2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2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2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2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2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2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2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2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2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2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2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2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2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2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2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2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2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2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2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2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2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2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2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2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2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2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2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2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2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2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2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2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2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2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2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2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25">
      <c r="C104" s="4"/>
      <c r="F104" s="4"/>
    </row>
    <row r="105" spans="3:35" x14ac:dyDescent="0.25">
      <c r="C105" s="4"/>
      <c r="F105" s="4"/>
    </row>
    <row r="106" spans="3:35" x14ac:dyDescent="0.25">
      <c r="C106" s="4"/>
      <c r="F106" s="4"/>
    </row>
    <row r="107" spans="3:35" x14ac:dyDescent="0.25">
      <c r="C107" s="4"/>
      <c r="F107" s="4"/>
    </row>
    <row r="108" spans="3:35" x14ac:dyDescent="0.25">
      <c r="C108" s="4"/>
      <c r="F108" s="4"/>
    </row>
    <row r="109" spans="3:35" x14ac:dyDescent="0.25">
      <c r="C109" s="4"/>
      <c r="F109" s="4"/>
    </row>
    <row r="110" spans="3:35" x14ac:dyDescent="0.25">
      <c r="C110" s="4"/>
      <c r="F110" s="4"/>
    </row>
    <row r="111" spans="3:35" x14ac:dyDescent="0.25">
      <c r="C111" s="4"/>
      <c r="F111" s="4"/>
    </row>
    <row r="112" spans="3:35" x14ac:dyDescent="0.25">
      <c r="C112" s="4"/>
      <c r="F112" s="4"/>
    </row>
    <row r="113" spans="3:6" x14ac:dyDescent="0.25">
      <c r="C113" s="4"/>
      <c r="F113" s="4"/>
    </row>
    <row r="114" spans="3:6" x14ac:dyDescent="0.25">
      <c r="C114" s="4"/>
      <c r="F114" s="4"/>
    </row>
    <row r="115" spans="3:6" x14ac:dyDescent="0.25">
      <c r="C115" s="4"/>
      <c r="F115" s="4"/>
    </row>
    <row r="116" spans="3:6" x14ac:dyDescent="0.25">
      <c r="C116" s="4"/>
      <c r="F116" s="4"/>
    </row>
    <row r="117" spans="3:6" x14ac:dyDescent="0.25">
      <c r="C117" s="4"/>
      <c r="F117" s="4"/>
    </row>
    <row r="118" spans="3:6" x14ac:dyDescent="0.25">
      <c r="C118" s="4"/>
      <c r="F118" s="4"/>
    </row>
    <row r="119" spans="3:6" x14ac:dyDescent="0.25">
      <c r="C119" s="4"/>
      <c r="F119" s="4"/>
    </row>
    <row r="120" spans="3:6" x14ac:dyDescent="0.25">
      <c r="C120" s="4"/>
      <c r="F120" s="4"/>
    </row>
    <row r="121" spans="3:6" x14ac:dyDescent="0.25">
      <c r="C121" s="4"/>
      <c r="F121" s="4"/>
    </row>
    <row r="122" spans="3:6" x14ac:dyDescent="0.25">
      <c r="C122" s="4"/>
      <c r="F122" s="4"/>
    </row>
    <row r="123" spans="3:6" x14ac:dyDescent="0.25">
      <c r="C123" s="4"/>
      <c r="F123" s="4"/>
    </row>
    <row r="124" spans="3:6" x14ac:dyDescent="0.25">
      <c r="C124" s="4"/>
      <c r="F124" s="4"/>
    </row>
    <row r="125" spans="3:6" x14ac:dyDescent="0.25">
      <c r="C125" s="4"/>
      <c r="F125" s="4"/>
    </row>
    <row r="126" spans="3:6" x14ac:dyDescent="0.25">
      <c r="C126" s="4"/>
      <c r="F126" s="4"/>
    </row>
    <row r="127" spans="3:6" x14ac:dyDescent="0.25">
      <c r="C127" s="4"/>
      <c r="F127" s="4"/>
    </row>
    <row r="128" spans="3:6" x14ac:dyDescent="0.25">
      <c r="C128" s="4"/>
      <c r="F128" s="4"/>
    </row>
    <row r="129" spans="3:6" x14ac:dyDescent="0.25">
      <c r="C129" s="4"/>
      <c r="F129" s="4"/>
    </row>
    <row r="130" spans="3:6" x14ac:dyDescent="0.25">
      <c r="C130" s="4"/>
      <c r="F130" s="4"/>
    </row>
    <row r="131" spans="3:6" x14ac:dyDescent="0.25">
      <c r="C131" s="4"/>
      <c r="F131" s="4"/>
    </row>
    <row r="132" spans="3:6" x14ac:dyDescent="0.25">
      <c r="F132" s="4"/>
    </row>
    <row r="133" spans="3:6" x14ac:dyDescent="0.25">
      <c r="F133" s="4"/>
    </row>
    <row r="134" spans="3:6" x14ac:dyDescent="0.25">
      <c r="F134" s="4"/>
    </row>
    <row r="135" spans="3:6" x14ac:dyDescent="0.25">
      <c r="F135" s="4"/>
    </row>
    <row r="136" spans="3:6" x14ac:dyDescent="0.25">
      <c r="F136" s="4"/>
    </row>
    <row r="137" spans="3:6" x14ac:dyDescent="0.25">
      <c r="F137" s="4"/>
    </row>
    <row r="138" spans="3:6" x14ac:dyDescent="0.25">
      <c r="F138" s="4"/>
    </row>
    <row r="139" spans="3:6" x14ac:dyDescent="0.25">
      <c r="F139" s="4"/>
    </row>
    <row r="140" spans="3:6" x14ac:dyDescent="0.25">
      <c r="F140" s="4"/>
    </row>
    <row r="141" spans="3:6" x14ac:dyDescent="0.25">
      <c r="F141" s="4"/>
    </row>
    <row r="142" spans="3:6" x14ac:dyDescent="0.25">
      <c r="F142" s="4"/>
    </row>
    <row r="143" spans="3:6" x14ac:dyDescent="0.25">
      <c r="F143" s="4"/>
    </row>
    <row r="144" spans="3:6" x14ac:dyDescent="0.25">
      <c r="F144" s="4"/>
    </row>
    <row r="145" spans="6:6" x14ac:dyDescent="0.25">
      <c r="F145" s="4"/>
    </row>
    <row r="146" spans="6:6" x14ac:dyDescent="0.25">
      <c r="F146" s="4"/>
    </row>
    <row r="147" spans="6:6" x14ac:dyDescent="0.25">
      <c r="F147" s="4"/>
    </row>
    <row r="148" spans="6:6" x14ac:dyDescent="0.25">
      <c r="F148" s="4"/>
    </row>
    <row r="149" spans="6:6" x14ac:dyDescent="0.25">
      <c r="F149" s="4"/>
    </row>
    <row r="150" spans="6:6" x14ac:dyDescent="0.25">
      <c r="F150" s="4"/>
    </row>
    <row r="151" spans="6:6" x14ac:dyDescent="0.25">
      <c r="F151" s="4"/>
    </row>
    <row r="152" spans="6:6" x14ac:dyDescent="0.25">
      <c r="F152" s="4"/>
    </row>
    <row r="153" spans="6:6" x14ac:dyDescent="0.25">
      <c r="F153" s="4"/>
    </row>
    <row r="154" spans="6:6" x14ac:dyDescent="0.25">
      <c r="F154" s="4"/>
    </row>
    <row r="155" spans="6:6" x14ac:dyDescent="0.25">
      <c r="F155" s="4"/>
    </row>
    <row r="156" spans="6:6" x14ac:dyDescent="0.25">
      <c r="F156" s="4"/>
    </row>
    <row r="157" spans="6:6" x14ac:dyDescent="0.25">
      <c r="F157" s="4"/>
    </row>
    <row r="158" spans="6:6" x14ac:dyDescent="0.25">
      <c r="F158" s="4"/>
    </row>
    <row r="159" spans="6:6" x14ac:dyDescent="0.25">
      <c r="F159" s="4"/>
    </row>
    <row r="160" spans="6:6" x14ac:dyDescent="0.25">
      <c r="F160" s="4"/>
    </row>
    <row r="161" spans="6:6" x14ac:dyDescent="0.25">
      <c r="F161" s="4"/>
    </row>
    <row r="162" spans="6:6" x14ac:dyDescent="0.25">
      <c r="F162" s="4"/>
    </row>
    <row r="163" spans="6:6" x14ac:dyDescent="0.2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4" bestFit="1" customWidth="1"/>
    <col min="2" max="4" width="11.42578125" style="4"/>
    <col min="5" max="5" width="9.5703125" style="4" customWidth="1"/>
    <col min="6" max="7" width="11.42578125" style="4"/>
    <col min="8" max="8" width="10.7109375" style="4" customWidth="1"/>
    <col min="9" max="9" width="9.42578125" style="4" customWidth="1"/>
    <col min="10" max="11" width="10.5703125" style="4" bestFit="1" customWidth="1"/>
    <col min="12" max="12" width="14" style="4" bestFit="1" customWidth="1"/>
    <col min="13" max="13" width="14" style="4" customWidth="1"/>
    <col min="14" max="23" width="11.42578125" style="4"/>
    <col min="24" max="24" width="11.7109375" style="4" bestFit="1" customWidth="1"/>
    <col min="25" max="25" width="14.5703125" style="4" bestFit="1" customWidth="1"/>
    <col min="26" max="26" width="12.42578125" style="4" bestFit="1" customWidth="1"/>
    <col min="27" max="27" width="9.7109375" style="4" bestFit="1" customWidth="1"/>
    <col min="28" max="28" width="11" style="4" bestFit="1" customWidth="1"/>
    <col min="29" max="29" width="9.42578125" style="4" bestFit="1" customWidth="1"/>
    <col min="30" max="31" width="9.42578125" style="4" customWidth="1"/>
    <col min="32" max="32" width="11.42578125" style="4"/>
    <col min="33" max="34" width="14" style="4" bestFit="1" customWidth="1"/>
    <col min="35" max="35" width="10.5703125" style="4" bestFit="1" customWidth="1"/>
    <col min="36" max="36" width="9.42578125" style="4" bestFit="1" customWidth="1"/>
    <col min="37" max="38" width="10.5703125" style="4" bestFit="1" customWidth="1"/>
    <col min="39" max="41" width="10.5703125" style="4" customWidth="1"/>
    <col min="42" max="42" width="9" style="4" bestFit="1" customWidth="1"/>
    <col min="43" max="43" width="10.5703125" style="4" bestFit="1" customWidth="1"/>
    <col min="44" max="44" width="9.28515625" style="4" bestFit="1" customWidth="1"/>
    <col min="45" max="45" width="11.7109375" style="4" bestFit="1" customWidth="1"/>
    <col min="46" max="46" width="8.42578125" style="4" bestFit="1" customWidth="1"/>
    <col min="47" max="47" width="9.42578125" style="4" bestFit="1" customWidth="1"/>
    <col min="48" max="48" width="9.7109375" style="4" bestFit="1" customWidth="1"/>
    <col min="49" max="49" width="11" style="4" bestFit="1" customWidth="1"/>
    <col min="50" max="50" width="9.42578125" style="4" bestFit="1" customWidth="1"/>
    <col min="51" max="52" width="9.42578125" style="4" customWidth="1"/>
    <col min="53" max="53" width="10.5703125" style="4" bestFit="1" customWidth="1"/>
    <col min="54" max="54" width="14.28515625" style="4" customWidth="1"/>
    <col min="55" max="55" width="14" style="4" customWidth="1"/>
    <col min="56" max="56" width="10.5703125" style="4" bestFit="1" customWidth="1"/>
    <col min="57" max="57" width="9.42578125" style="4" bestFit="1" customWidth="1"/>
    <col min="58" max="59" width="10.5703125" style="4" bestFit="1" customWidth="1"/>
    <col min="60" max="62" width="10.5703125" style="4" customWidth="1"/>
    <col min="63" max="63" width="9" style="4" bestFit="1" customWidth="1"/>
    <col min="64" max="64" width="10.5703125" style="4" bestFit="1" customWidth="1"/>
    <col min="65" max="65" width="9.28515625" style="4" bestFit="1" customWidth="1"/>
    <col min="66" max="66" width="11.7109375" style="4" bestFit="1" customWidth="1"/>
    <col min="67" max="67" width="8.42578125" style="4" bestFit="1" customWidth="1"/>
    <col min="68" max="68" width="9.42578125" style="4" bestFit="1" customWidth="1"/>
    <col min="69" max="69" width="9.7109375" style="4" bestFit="1" customWidth="1"/>
    <col min="70" max="70" width="11" style="4" bestFit="1" customWidth="1"/>
    <col min="71" max="71" width="9.42578125" style="4" bestFit="1" customWidth="1"/>
    <col min="72" max="73" width="9.42578125" style="4" customWidth="1"/>
    <col min="74" max="74" width="10.5703125" style="4" bestFit="1" customWidth="1"/>
    <col min="75" max="75" width="14" style="4" bestFit="1" customWidth="1"/>
    <col min="76" max="76" width="13.85546875" style="4" customWidth="1"/>
    <col min="77" max="77" width="10.5703125" style="4" bestFit="1" customWidth="1"/>
    <col min="78" max="78" width="9.42578125" style="4" bestFit="1" customWidth="1"/>
    <col min="79" max="80" width="10.5703125" style="4" bestFit="1" customWidth="1"/>
    <col min="81" max="83" width="10.5703125" style="4" customWidth="1"/>
    <col min="84" max="84" width="11.42578125" style="4"/>
    <col min="85" max="85" width="10.5703125" style="4" bestFit="1" customWidth="1"/>
    <col min="86" max="86" width="9.28515625" style="4" bestFit="1" customWidth="1"/>
    <col min="87" max="87" width="11.7109375" style="4" bestFit="1" customWidth="1"/>
    <col min="88" max="88" width="8.42578125" style="4" bestFit="1" customWidth="1"/>
    <col min="89" max="89" width="9.42578125" style="4" bestFit="1" customWidth="1"/>
    <col min="90" max="90" width="9.7109375" style="4" bestFit="1" customWidth="1"/>
    <col min="91" max="91" width="11" style="4" bestFit="1" customWidth="1"/>
    <col min="92" max="92" width="9.42578125" style="4" bestFit="1" customWidth="1"/>
    <col min="93" max="94" width="9.42578125" style="4" customWidth="1"/>
    <col min="95" max="95" width="11.42578125" style="4"/>
    <col min="96" max="97" width="14" style="4" customWidth="1"/>
    <col min="98" max="98" width="10.5703125" style="4" bestFit="1" customWidth="1"/>
    <col min="99" max="99" width="9.42578125" style="4" bestFit="1" customWidth="1"/>
    <col min="100" max="101" width="10.5703125" style="4" bestFit="1" customWidth="1"/>
    <col min="102" max="104" width="10.5703125" style="4" customWidth="1"/>
    <col min="105" max="105" width="9" style="4" bestFit="1" customWidth="1"/>
    <col min="106" max="106" width="10.5703125" style="4" bestFit="1" customWidth="1"/>
    <col min="107" max="107" width="9.28515625" style="4" bestFit="1" customWidth="1"/>
    <col min="108" max="108" width="11.7109375" style="4" bestFit="1" customWidth="1"/>
    <col min="109" max="109" width="8.42578125" style="4" bestFit="1" customWidth="1"/>
    <col min="110" max="110" width="9.42578125" style="4" bestFit="1" customWidth="1"/>
    <col min="111" max="111" width="9.7109375" style="4" bestFit="1" customWidth="1"/>
    <col min="112" max="112" width="11" style="4" bestFit="1" customWidth="1"/>
    <col min="113" max="113" width="9.42578125" style="4" bestFit="1" customWidth="1"/>
    <col min="114" max="115" width="9.42578125" style="4" customWidth="1"/>
    <col min="116" max="116" width="10.5703125" style="4" bestFit="1" customWidth="1"/>
    <col min="117" max="117" width="14.28515625" style="4" customWidth="1"/>
    <col min="118" max="118" width="14" style="4" bestFit="1" customWidth="1"/>
    <col min="119" max="119" width="10.5703125" style="4" bestFit="1" customWidth="1"/>
    <col min="120" max="120" width="9.42578125" style="4" bestFit="1" customWidth="1"/>
    <col min="121" max="122" width="10.5703125" style="4" bestFit="1" customWidth="1"/>
    <col min="123" max="125" width="10.5703125" style="4" customWidth="1"/>
    <col min="126" max="126" width="9" style="4" bestFit="1" customWidth="1"/>
    <col min="127" max="127" width="10.5703125" style="4" bestFit="1" customWidth="1"/>
    <col min="128" max="128" width="9.28515625" style="4" bestFit="1" customWidth="1"/>
    <col min="129" max="129" width="11.7109375" style="4" bestFit="1" customWidth="1"/>
    <col min="130" max="130" width="8.42578125" style="4" bestFit="1" customWidth="1"/>
    <col min="131" max="131" width="9.42578125" style="4" bestFit="1" customWidth="1"/>
    <col min="132" max="132" width="9.7109375" style="4" bestFit="1" customWidth="1"/>
    <col min="133" max="133" width="11" style="4" bestFit="1" customWidth="1"/>
    <col min="134" max="134" width="9.42578125" style="4" bestFit="1" customWidth="1"/>
    <col min="135" max="136" width="9.42578125" style="4" customWidth="1"/>
    <col min="137" max="137" width="10.5703125" style="4" bestFit="1" customWidth="1"/>
    <col min="138" max="139" width="14" style="4" customWidth="1"/>
    <col min="140" max="140" width="10.5703125" style="4" bestFit="1" customWidth="1"/>
    <col min="141" max="141" width="9.42578125" style="4" bestFit="1" customWidth="1"/>
    <col min="142" max="143" width="10.5703125" style="4" bestFit="1" customWidth="1"/>
    <col min="144" max="146" width="10.5703125" style="4" customWidth="1"/>
    <col min="147" max="147" width="9" style="4" bestFit="1" customWidth="1"/>
    <col min="148" max="148" width="10.5703125" style="4" bestFit="1" customWidth="1"/>
    <col min="149" max="149" width="9.28515625" style="4" bestFit="1" customWidth="1"/>
    <col min="150" max="150" width="11.7109375" style="4" bestFit="1" customWidth="1"/>
    <col min="151" max="151" width="8.42578125" style="4" bestFit="1" customWidth="1"/>
    <col min="152" max="152" width="9.42578125" style="4" bestFit="1" customWidth="1"/>
    <col min="153" max="153" width="9.7109375" style="4" bestFit="1" customWidth="1"/>
    <col min="154" max="154" width="11" style="4" bestFit="1" customWidth="1"/>
    <col min="155" max="155" width="9.42578125" style="4" bestFit="1" customWidth="1"/>
    <col min="156" max="157" width="9.42578125" style="4" customWidth="1"/>
    <col min="158" max="158" width="11.42578125" style="4"/>
    <col min="159" max="160" width="14" style="4" bestFit="1" customWidth="1"/>
    <col min="161" max="161" width="10.5703125" style="4" bestFit="1" customWidth="1"/>
    <col min="162" max="162" width="9.42578125" style="4" bestFit="1" customWidth="1"/>
    <col min="163" max="164" width="10.5703125" style="4" bestFit="1" customWidth="1"/>
    <col min="165" max="167" width="10.5703125" style="4" customWidth="1"/>
    <col min="168" max="168" width="9" style="4" bestFit="1" customWidth="1"/>
    <col min="169" max="169" width="10.5703125" style="4" bestFit="1" customWidth="1"/>
    <col min="170" max="170" width="9.28515625" style="4" bestFit="1" customWidth="1"/>
    <col min="171" max="171" width="11.7109375" style="4" bestFit="1" customWidth="1"/>
    <col min="172" max="172" width="8.140625" style="4" bestFit="1" customWidth="1"/>
    <col min="173" max="173" width="9.42578125" style="4" bestFit="1" customWidth="1"/>
    <col min="174" max="174" width="9.7109375" style="4" bestFit="1" customWidth="1"/>
    <col min="175" max="175" width="11" style="4" bestFit="1" customWidth="1"/>
    <col min="176" max="176" width="9.42578125" style="4" bestFit="1" customWidth="1"/>
    <col min="177" max="178" width="9.42578125" style="4" customWidth="1"/>
    <col min="179" max="179" width="10.5703125" style="4" bestFit="1" customWidth="1"/>
    <col min="180" max="181" width="14" style="4" bestFit="1" customWidth="1"/>
    <col min="182" max="182" width="10.5703125" style="4" bestFit="1" customWidth="1"/>
    <col min="183" max="183" width="9.42578125" style="4" bestFit="1" customWidth="1"/>
    <col min="184" max="185" width="10.5703125" style="4" bestFit="1" customWidth="1"/>
    <col min="186" max="188" width="10.5703125" style="4" customWidth="1"/>
    <col min="189" max="189" width="9" style="4" bestFit="1" customWidth="1"/>
    <col min="190" max="190" width="10.5703125" style="4" bestFit="1" customWidth="1"/>
    <col min="191" max="191" width="9.28515625" style="4" bestFit="1" customWidth="1"/>
    <col min="192" max="192" width="11.42578125" style="4"/>
    <col min="193" max="193" width="8.42578125" style="4" bestFit="1" customWidth="1"/>
    <col min="194" max="194" width="9.42578125" style="4" bestFit="1" customWidth="1"/>
    <col min="195" max="195" width="9.7109375" style="4" bestFit="1" customWidth="1"/>
    <col min="196" max="196" width="11" style="4" bestFit="1" customWidth="1"/>
    <col min="197" max="197" width="9.42578125" style="4" bestFit="1" customWidth="1"/>
    <col min="198" max="199" width="9.42578125" style="4" customWidth="1"/>
    <col min="200" max="200" width="10.5703125" style="4" bestFit="1" customWidth="1"/>
    <col min="201" max="201" width="14" style="4" customWidth="1"/>
    <col min="202" max="202" width="14.28515625" style="4" customWidth="1"/>
    <col min="203" max="203" width="10.5703125" style="4" bestFit="1" customWidth="1"/>
    <col min="204" max="204" width="9.42578125" style="4" bestFit="1" customWidth="1"/>
    <col min="205" max="206" width="10.5703125" style="4" bestFit="1" customWidth="1"/>
    <col min="207" max="209" width="10.5703125" style="4" customWidth="1"/>
    <col min="210" max="210" width="9" style="4" bestFit="1" customWidth="1"/>
    <col min="211" max="211" width="10.5703125" style="4" bestFit="1" customWidth="1"/>
    <col min="212" max="212" width="9.28515625" style="4" bestFit="1" customWidth="1"/>
    <col min="213" max="213" width="11.7109375" style="4" bestFit="1" customWidth="1"/>
    <col min="214" max="214" width="8.42578125" style="4" bestFit="1" customWidth="1"/>
    <col min="215" max="215" width="9.42578125" style="4" bestFit="1" customWidth="1"/>
    <col min="216" max="216" width="9.7109375" style="4" bestFit="1" customWidth="1"/>
    <col min="217" max="217" width="11" style="4" bestFit="1" customWidth="1"/>
    <col min="218" max="218" width="9.42578125" style="4" bestFit="1" customWidth="1"/>
    <col min="219" max="16384" width="11.42578125" style="4"/>
  </cols>
  <sheetData>
    <row r="1" spans="1:218" ht="27" thickBot="1" x14ac:dyDescent="0.45">
      <c r="B1" s="278" t="s">
        <v>176</v>
      </c>
      <c r="C1" s="279"/>
      <c r="D1" s="279"/>
      <c r="E1" s="279"/>
      <c r="F1" s="279"/>
      <c r="G1" s="279"/>
      <c r="H1" s="280"/>
      <c r="I1" s="275" t="str">
        <f>IF('Données projet'!$B$9="","",'Données projet'!$B$9)</f>
        <v>Douglas</v>
      </c>
      <c r="J1" s="276"/>
      <c r="K1" s="276"/>
      <c r="L1" s="276"/>
      <c r="M1" s="276"/>
      <c r="N1" s="276"/>
      <c r="O1" s="276"/>
      <c r="P1" s="276"/>
      <c r="Q1" s="276"/>
      <c r="R1" s="276"/>
      <c r="S1" s="276"/>
      <c r="T1" s="276"/>
      <c r="U1" s="276"/>
      <c r="V1" s="276"/>
      <c r="W1" s="276"/>
      <c r="X1" s="276"/>
      <c r="Y1" s="276"/>
      <c r="Z1" s="276"/>
      <c r="AA1" s="276"/>
      <c r="AB1" s="276"/>
      <c r="AC1" s="277"/>
      <c r="AD1" s="276" t="str">
        <f>IF('Données projet'!$B$10="","",'Données projet'!$B$10)</f>
        <v>Douglas</v>
      </c>
      <c r="AE1" s="276"/>
      <c r="AF1" s="276"/>
      <c r="AG1" s="276"/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  <c r="AT1" s="276"/>
      <c r="AU1" s="276"/>
      <c r="AV1" s="276"/>
      <c r="AW1" s="276"/>
      <c r="AX1" s="277"/>
      <c r="AY1" s="275" t="str">
        <f>IF('Données projet'!$B$11="","",'Données projet'!$B$11)</f>
        <v>Mélèze hybride</v>
      </c>
      <c r="AZ1" s="276"/>
      <c r="BA1" s="276"/>
      <c r="BB1" s="276"/>
      <c r="BC1" s="276"/>
      <c r="BD1" s="276"/>
      <c r="BE1" s="276"/>
      <c r="BF1" s="276"/>
      <c r="BG1" s="276"/>
      <c r="BH1" s="276"/>
      <c r="BI1" s="276"/>
      <c r="BJ1" s="276"/>
      <c r="BK1" s="276"/>
      <c r="BL1" s="276"/>
      <c r="BM1" s="276"/>
      <c r="BN1" s="276"/>
      <c r="BO1" s="276"/>
      <c r="BP1" s="276"/>
      <c r="BQ1" s="276"/>
      <c r="BR1" s="276"/>
      <c r="BS1" s="277"/>
      <c r="BT1" s="275" t="str">
        <f>IF('Données projet'!$B$12="","",'Données projet'!$B$12)</f>
        <v>Mélèze hybride</v>
      </c>
      <c r="BU1" s="276"/>
      <c r="BV1" s="276"/>
      <c r="BW1" s="276"/>
      <c r="BX1" s="276"/>
      <c r="BY1" s="276"/>
      <c r="BZ1" s="276"/>
      <c r="CA1" s="276"/>
      <c r="CB1" s="276"/>
      <c r="CC1" s="276"/>
      <c r="CD1" s="276"/>
      <c r="CE1" s="276"/>
      <c r="CF1" s="276"/>
      <c r="CG1" s="276"/>
      <c r="CH1" s="276"/>
      <c r="CI1" s="276"/>
      <c r="CJ1" s="276"/>
      <c r="CK1" s="276"/>
      <c r="CL1" s="276"/>
      <c r="CM1" s="276"/>
      <c r="CN1" s="277"/>
      <c r="CO1" s="275" t="str">
        <f>IF('Données projet'!$B$13="","",'Données projet'!$B$13)</f>
        <v>Sapin méditerranéen</v>
      </c>
      <c r="CP1" s="276"/>
      <c r="CQ1" s="276"/>
      <c r="CR1" s="276"/>
      <c r="CS1" s="276"/>
      <c r="CT1" s="276"/>
      <c r="CU1" s="276"/>
      <c r="CV1" s="276"/>
      <c r="CW1" s="276"/>
      <c r="CX1" s="276"/>
      <c r="CY1" s="276"/>
      <c r="CZ1" s="276"/>
      <c r="DA1" s="276"/>
      <c r="DB1" s="276"/>
      <c r="DC1" s="276"/>
      <c r="DD1" s="276"/>
      <c r="DE1" s="276"/>
      <c r="DF1" s="276"/>
      <c r="DG1" s="276"/>
      <c r="DH1" s="276"/>
      <c r="DI1" s="277"/>
      <c r="DJ1" s="275" t="str">
        <f>IF('Données projet'!$B$14="","",'Données projet'!$B$14)</f>
        <v>Sapin méditerranéen</v>
      </c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276"/>
      <c r="DW1" s="276"/>
      <c r="DX1" s="276"/>
      <c r="DY1" s="276"/>
      <c r="DZ1" s="276"/>
      <c r="EA1" s="276"/>
      <c r="EB1" s="276"/>
      <c r="EC1" s="276"/>
      <c r="ED1" s="277"/>
      <c r="EE1" s="275" t="str">
        <f>IF('Données projet'!$B$15="","",'Données projet'!$B$15)</f>
        <v>Pin laricio</v>
      </c>
      <c r="EF1" s="276"/>
      <c r="EG1" s="276"/>
      <c r="EH1" s="276"/>
      <c r="EI1" s="276"/>
      <c r="EJ1" s="276"/>
      <c r="EK1" s="276"/>
      <c r="EL1" s="276"/>
      <c r="EM1" s="276"/>
      <c r="EN1" s="276"/>
      <c r="EO1" s="276"/>
      <c r="EP1" s="276"/>
      <c r="EQ1" s="276"/>
      <c r="ER1" s="276"/>
      <c r="ES1" s="276"/>
      <c r="ET1" s="276"/>
      <c r="EU1" s="276"/>
      <c r="EV1" s="276"/>
      <c r="EW1" s="276"/>
      <c r="EX1" s="276"/>
      <c r="EY1" s="277"/>
      <c r="EZ1" s="275" t="str">
        <f>IF('Données projet'!$B$16="","",'Données projet'!$B$16)</f>
        <v>Pin laricio</v>
      </c>
      <c r="FA1" s="276"/>
      <c r="FB1" s="276"/>
      <c r="FC1" s="276"/>
      <c r="FD1" s="276"/>
      <c r="FE1" s="276"/>
      <c r="FF1" s="276"/>
      <c r="FG1" s="276"/>
      <c r="FH1" s="276"/>
      <c r="FI1" s="276"/>
      <c r="FJ1" s="276"/>
      <c r="FK1" s="276"/>
      <c r="FL1" s="276"/>
      <c r="FM1" s="276"/>
      <c r="FN1" s="276"/>
      <c r="FO1" s="276"/>
      <c r="FP1" s="276"/>
      <c r="FQ1" s="276"/>
      <c r="FR1" s="276"/>
      <c r="FS1" s="276"/>
      <c r="FT1" s="277"/>
      <c r="FU1" s="275" t="str">
        <f>IF('Données projet'!$B$17="","",'Données projet'!$B$17)</f>
        <v>Erable sycomore</v>
      </c>
      <c r="FV1" s="276"/>
      <c r="FW1" s="276"/>
      <c r="FX1" s="276"/>
      <c r="FY1" s="276"/>
      <c r="FZ1" s="276"/>
      <c r="GA1" s="276"/>
      <c r="GB1" s="276"/>
      <c r="GC1" s="276"/>
      <c r="GD1" s="276"/>
      <c r="GE1" s="276"/>
      <c r="GF1" s="276"/>
      <c r="GG1" s="276"/>
      <c r="GH1" s="276"/>
      <c r="GI1" s="276"/>
      <c r="GJ1" s="276"/>
      <c r="GK1" s="276"/>
      <c r="GL1" s="276"/>
      <c r="GM1" s="276"/>
      <c r="GN1" s="276"/>
      <c r="GO1" s="277"/>
      <c r="GP1" s="275" t="str">
        <f>IF('Données projet'!$B$18="","",'Données projet'!$B$18)</f>
        <v>Erable sycomore</v>
      </c>
      <c r="GQ1" s="276"/>
      <c r="GR1" s="276"/>
      <c r="GS1" s="276"/>
      <c r="GT1" s="276"/>
      <c r="GU1" s="276"/>
      <c r="GV1" s="276"/>
      <c r="GW1" s="276"/>
      <c r="GX1" s="276"/>
      <c r="GY1" s="276"/>
      <c r="GZ1" s="276"/>
      <c r="HA1" s="276"/>
      <c r="HB1" s="276"/>
      <c r="HC1" s="276"/>
      <c r="HD1" s="276"/>
      <c r="HE1" s="276"/>
      <c r="HF1" s="276"/>
      <c r="HG1" s="276"/>
      <c r="HH1" s="276"/>
      <c r="HI1" s="276"/>
      <c r="HJ1" s="277"/>
    </row>
    <row r="2" spans="1:218" ht="75.75" thickBot="1" x14ac:dyDescent="0.3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2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255.5374979188561</v>
      </c>
      <c r="T3" s="59">
        <f>IF('Données projet'!E9&gt;30,$R$33-$H$33,LOOKUP('Données projet'!$E$9,$A$3:$A$203,R3:R203)-LOOKUP('Données projet'!$E$9,$A$3:$A$203,$H$3:$H$203))</f>
        <v>343.10418468620901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224.7049802939942</v>
      </c>
      <c r="AO3" s="59">
        <f>IF('Données projet'!E10&gt;30,$AM$33-$H$33,LOOKUP('Données projet'!$E$10,$A$3:$A$203,AM3:AM203)-LOOKUP('Données projet'!$E$10,$A$3:$A$203,$H$3:$H$203))</f>
        <v>203.48513862195352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293.33333333333331</v>
      </c>
      <c r="BI3" s="59">
        <f ca="1">AVERAGE(OFFSET($BH$3,0,0,'Données projet'!$E$11+1,1))-AVERAGE(OFFSET($H$3,0,0,'Données projet'!$E$11+1,1))</f>
        <v>210.04871822652808</v>
      </c>
      <c r="BJ3" s="59">
        <f>IF('Données projet'!E11&gt;30,$BH$33-$H$33,LOOKUP('Données projet'!$E$11,$A$3:$A$203,BH3:BH203)-LOOKUP('Données projet'!$E$11,$A$3:$A$203,$H$3:$H$203))</f>
        <v>250.17540614049324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293.33333333333331</v>
      </c>
      <c r="CD3" s="59">
        <f ca="1">AVERAGE(OFFSET($CC$3,0,0,'Données projet'!$E$12+1,1))-AVERAGE(OFFSET($H$3,0,0,'Données projet'!$E$12+1,1))</f>
        <v>168.72306536277267</v>
      </c>
      <c r="CE3" s="59">
        <f>IF('Données projet'!E12&gt;30,$CC$33-$H$33,LOOKUP('Données projet'!$E$12,$A$3:$A$203,CC3:CC203)-LOOKUP('Données projet'!$E$12,$A$3:$A$203,$H$3:$H$203))</f>
        <v>203.35476578922339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>
        <f>CT3*VLOOKUP('Données projet'!$B$13,Paramètres!$A$1:$I$89,3,0)*VLOOKUP('Données projet'!$B$13,Paramètres!$A$1:$I$89,5,0)</f>
        <v>0</v>
      </c>
      <c r="CV3" s="12">
        <v>0</v>
      </c>
      <c r="CW3" s="14">
        <f>(CU3+CV3)*0.475*44/12</f>
        <v>0</v>
      </c>
      <c r="CX3" s="59">
        <f>CW3+(CO3+CP3)*44/12</f>
        <v>293.33333333333331</v>
      </c>
      <c r="CY3" s="59">
        <f ca="1">AVERAGE(OFFSET($CX$3,0,0,'Données projet'!$E$13+1,1))-AVERAGE(OFFSET($H$3,0,0,'Données projet'!$E$13+1,1))</f>
        <v>304.15237106473313</v>
      </c>
      <c r="CZ3" s="59">
        <f>IF('Données projet'!E13&gt;30,$CX$33-$H$33,LOOKUP('Données projet'!$E$13,$A$3:$A$203,CX3:CX203)-LOOKUP('Données projet'!$E$13,$A$3:$A$203,$H$3:$H$203))</f>
        <v>120.85458928724336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>
        <f>DO3*VLOOKUP('Données projet'!$B$14,Paramètres!$A$1:$I$89,3,0)*VLOOKUP('Données projet'!$B$14,Paramètres!$A$1:$I$89,5,0)</f>
        <v>0</v>
      </c>
      <c r="DQ3" s="12">
        <v>0</v>
      </c>
      <c r="DR3" s="14">
        <f>(DP3+DQ3)*0.475*44/12</f>
        <v>0</v>
      </c>
      <c r="DS3" s="59">
        <f>DR3+(DJ3+DK3)*44/12</f>
        <v>293.33333333333331</v>
      </c>
      <c r="DT3" s="59">
        <f ca="1">AVERAGE(OFFSET($DS$3,0,0,'Données projet'!$E$14+1,1))-AVERAGE(OFFSET($H$3,0,0,'Données projet'!$E$14+1,1))</f>
        <v>91.053246648097399</v>
      </c>
      <c r="DU3" s="59">
        <f>IF('Données projet'!E14&gt;30,$DS$33-$H$33,LOOKUP('Données projet'!$E$14,$A$3:$A$203,DS3:DS203)-LOOKUP('Données projet'!$E$14,$A$3:$A$203,$H$3:$H$203))</f>
        <v>64.716270355703955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>
        <f>EJ3*VLOOKUP('Données projet'!$B$15,Paramètres!$A$1:$I$89,3,0)*VLOOKUP('Données projet'!$B$15,Paramètres!$A$1:$I$89,5,0)</f>
        <v>0</v>
      </c>
      <c r="EL3" s="12">
        <v>0</v>
      </c>
      <c r="EM3" s="14">
        <f>(EK3+EL3)*0.475*44/12</f>
        <v>0</v>
      </c>
      <c r="EN3" s="59">
        <f>EM3+(EE3+EF3)*44/12</f>
        <v>293.33333333333331</v>
      </c>
      <c r="EO3" s="59">
        <f ca="1">AVERAGE(OFFSET($EN$3,0,0,'Données projet'!$E$15+1,1))-AVERAGE(OFFSET($H$3,0,0,'Données projet'!$E$15+1,1))</f>
        <v>316.58509520829671</v>
      </c>
      <c r="EP3" s="59">
        <f>IF('Données projet'!E15&gt;30,$EN$33-$H$33,LOOKUP('Données projet'!$E$15,$A$3:$A$203,EN3:EN203)-LOOKUP('Données projet'!$E$15,$A$3:$A$203,$H$3:$H$203))</f>
        <v>240.71332110643596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>
        <f>FE3*VLOOKUP('Données projet'!$B$16,Paramètres!$A$1:$I$89,3,0)*VLOOKUP('Données projet'!$B$16,Paramètres!$A$1:$I$89,5,0)</f>
        <v>0</v>
      </c>
      <c r="FG3" s="12">
        <v>0</v>
      </c>
      <c r="FH3" s="14">
        <f>(FF3+FG3)*0.475*44/12</f>
        <v>0</v>
      </c>
      <c r="FI3" s="59">
        <f>FH3+(EZ3+FA3)*44/12</f>
        <v>293.33333333333331</v>
      </c>
      <c r="FJ3" s="59">
        <f ca="1">AVERAGE(OFFSET($FI$3,0,0,'Données projet'!$E$16+1,1))-AVERAGE(OFFSET($H$3,0,0,'Données projet'!$E$16+1,1))</f>
        <v>270.30888762640245</v>
      </c>
      <c r="FK3" s="59">
        <f>IF('Données projet'!E16&gt;30,$FI$33-$H$33,LOOKUP('Données projet'!$E$16,$A$3:$A$203,FI3:FI203)-LOOKUP('Données projet'!$E$16,$A$3:$A$203,$H$3:$H$203))</f>
        <v>202.23783851977691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>
        <f>FZ3*VLOOKUP('Données projet'!$B$17,Paramètres!$A$1:$I$89,3,0)*VLOOKUP('Données projet'!$B$17,Paramètres!$A$1:$I$89,5,0)</f>
        <v>0</v>
      </c>
      <c r="GB3" s="12">
        <v>0</v>
      </c>
      <c r="GC3" s="14">
        <f>(GA3+GB3)*0.475*44/12</f>
        <v>0</v>
      </c>
      <c r="GD3" s="59">
        <f>GC3+(FU3+FV3)*44/12</f>
        <v>293.33333333333331</v>
      </c>
      <c r="GE3" s="59">
        <f ca="1">AVERAGE(OFFSET($GD$3,0,0,'Données projet'!$E$17+1,1))-AVERAGE(OFFSET($H$3,0,0,'Données projet'!$E$17+1,1))</f>
        <v>260.20517190557814</v>
      </c>
      <c r="GF3" s="59">
        <f>IF('Données projet'!E17&gt;30,$GD$33-$H$33,LOOKUP('Données projet'!$E$17,$A$3:$A$203,GD3:GD203)-LOOKUP('Données projet'!$E$17,$A$3:$A$203,$H$3:$H$203))</f>
        <v>307.22009971147133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>
        <f>GU3*VLOOKUP('Données projet'!$B$18,Paramètres!$A$1:$I$89,3,0)*VLOOKUP('Données projet'!$B$18,Paramètres!$A$1:$I$89,5,0)</f>
        <v>0</v>
      </c>
      <c r="GW3" s="12">
        <v>0</v>
      </c>
      <c r="GX3" s="14">
        <f>(GV3+GW3)*0.475*44/12</f>
        <v>0</v>
      </c>
      <c r="GY3" s="59">
        <f>GX3+(GP3+GQ3)*44/12</f>
        <v>293.33333333333331</v>
      </c>
      <c r="GZ3" s="59">
        <f ca="1">AVERAGE(OFFSET($GY$3,0,0,'Données projet'!$E$18+1,1))-AVERAGE(OFFSET($H$3,0,0,'Données projet'!$E$18+1,1))</f>
        <v>199.58763537752952</v>
      </c>
      <c r="HA3" s="59">
        <f>IF('Données projet'!E18&gt;30,$GY$33-$H$33,LOOKUP('Données projet'!$E$18,$A$3:$A$203,GY3:GY203)-LOOKUP('Données projet'!$E$18,$A$3:$A$203,$H$3:$H$203))</f>
        <v>242.62852778451929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2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0.88919999999999999</v>
      </c>
      <c r="D4" s="11">
        <f>IFERROR(EXP(-1.0587+0.8836*LN(C4)+0.284),0)</f>
        <v>0.41542055579923082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10.07075516757301</v>
      </c>
      <c r="H4" s="67">
        <f t="shared" ref="H4:H67" si="1">(B4+E4+F4)*44/12+(C4+D4)*0.475*44/12</f>
        <v>295.60554746801699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9.3968325791855207</v>
      </c>
      <c r="N4" s="13">
        <f>IF('Données projet'!$A$36&gt;35,N3+M4-V3,IF(A4&lt;'Données projet'!$A$36,$K$205^A4,IF(A4='Données projet'!$A$36,'Données projet'!$B$36,N3+M4-V3)))</f>
        <v>1.3477630745024085</v>
      </c>
      <c r="O4" s="13">
        <f>N4*VLOOKUP('Données projet'!$B$9,Paramètres!$A$1:$I$89,3,0)*VLOOKUP('Données projet'!$B$9,Paramètres!$A$1:$I$89,5,0)</f>
        <v>0.75339955864684627</v>
      </c>
      <c r="P4" s="13">
        <f>EXP(-1.0587+0.8836*LN(O4)+0.284)</f>
        <v>0.3588324201756754</v>
      </c>
      <c r="Q4" s="20">
        <f t="shared" ref="Q4:Q34" si="2">(O4+P4)*0.475*44/12</f>
        <v>1.9371373631158919</v>
      </c>
      <c r="R4" s="59">
        <f t="shared" si="0"/>
        <v>295.27047069644919</v>
      </c>
      <c r="S4" s="59">
        <f ca="1">AVERAGE(OFFSET($R$3,0,0,'Données projet'!$E$9+1,1))-AVERAGE(OFFSET($H$3,0,0,'Données projet'!$E$9+1,1))</f>
        <v>255.5374979188561</v>
      </c>
      <c r="T4" s="59">
        <f>$T$3</f>
        <v>343.10418468620901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7.7987854251012134</v>
      </c>
      <c r="AI4" s="13">
        <f>IF('Données projet'!$A$62&gt;35,AI3+AH4-AQ3,IF(A4&lt;'Données projet'!$A$62,$AF$205^A4,IF(A4='Données projet'!$A$62,'Données projet'!$B$62,AI3+AH4-AQ3)))</f>
        <v>1.3009230512021859</v>
      </c>
      <c r="AJ4" s="13">
        <f>AI4*VLOOKUP('Données projet'!$B$10,Paramètres!$A$1:$I$89,3,0)*VLOOKUP('Données projet'!$B$10,Paramètres!$A$1:$I$89,5,0)</f>
        <v>0.72721598562202194</v>
      </c>
      <c r="AK4" s="13">
        <f>EXP(-1.0587+0.8836*LN(AJ4)+0.284)</f>
        <v>0.3477906162348457</v>
      </c>
      <c r="AL4" s="20">
        <f t="shared" ref="AL4:AL67" si="4">(AJ4+AK4)*0.475*44/12</f>
        <v>1.8723031649007107</v>
      </c>
      <c r="AM4" s="59">
        <f t="shared" ref="AM4:AM67" si="5">AL4+(AD4+AE4)*44/12</f>
        <v>295.20563649823401</v>
      </c>
      <c r="AN4" s="59">
        <f ca="1">AVERAGE(OFFSET($AM$3,0,0,'Données projet'!$E$10+1,1))-AVERAGE(OFFSET($H$3,0,0,'Données projet'!$E$10+1,1))</f>
        <v>224.7049802939942</v>
      </c>
      <c r="AO4" s="59">
        <f>$AO$3</f>
        <v>203.48513862195352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3.6</v>
      </c>
      <c r="BD4" s="12">
        <f>IF('Données projet'!$A$88&gt;35,BD3+BC4-BL3,IF(A4&lt;'Données projet'!$A$88,$BA$205^A4,IF(A4='Données projet'!$A$88,'Données projet'!$B$88,BD3+BC4-BL3)))</f>
        <v>1.4309690811052556</v>
      </c>
      <c r="BE4" s="13">
        <f>BD4*VLOOKUP('Données projet'!$B$11,Paramètres!$A$1:$I$89,3,0)*VLOOKUP('Données projet'!$B$11,Paramètres!$A$1:$I$89,5,0)</f>
        <v>0.78130911828346949</v>
      </c>
      <c r="BF4" s="13">
        <f>EXP(-1.0587+0.8836*LN(BE4)+0.284)</f>
        <v>0.37055303350010543</v>
      </c>
      <c r="BG4" s="20">
        <f t="shared" ref="BG4:BG67" si="7">(BE4+BF4)*0.475*44/12</f>
        <v>2.0061599143563931</v>
      </c>
      <c r="BH4" s="59">
        <f t="shared" ref="BH4:BH67" si="8">BG4+(AY4+AZ4)*44/12</f>
        <v>295.33949324768969</v>
      </c>
      <c r="BI4" s="59">
        <f ca="1">AVERAGE(OFFSET($BH$3,0,0,'Données projet'!$E$11+1,1))-AVERAGE(OFFSET($H$3,0,0,'Données projet'!$E$11+1,1))</f>
        <v>210.04871822652808</v>
      </c>
      <c r="BJ4" s="59">
        <f>$BJ$3</f>
        <v>250.17540614049324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2.2999999999999998</v>
      </c>
      <c r="BY4" s="12">
        <f>IF('Données projet'!$A$114&gt;35,BY3+BX4-CG3,IF(A4&lt;'Données projet'!$A$114,$BV$205^A4,IF(A4='Données projet'!$A$114,'Données projet'!$B$114,BY3+BX4-CG3)))</f>
        <v>1.3682730833261529</v>
      </c>
      <c r="BZ4" s="13">
        <f>BY4*VLOOKUP('Données projet'!$B$12,Paramètres!$A$1:$I$89,3,0)*VLOOKUP('Données projet'!$B$12,Paramètres!$A$1:$I$89,5,0)</f>
        <v>0.74707710349607948</v>
      </c>
      <c r="CA4" s="13">
        <f>EXP(-1.0587+0.8836*LN(BZ4)+0.284)</f>
        <v>0.35617034384652524</v>
      </c>
      <c r="CB4" s="20">
        <f t="shared" ref="CB4:CB67" si="10">(BZ4+CA4)*0.475*44/12</f>
        <v>1.9214893041217032</v>
      </c>
      <c r="CC4" s="59">
        <f t="shared" ref="CC4:CC67" si="11">CB4+(BT4+BU4)*44/12</f>
        <v>295.25482263745499</v>
      </c>
      <c r="CD4" s="59">
        <f ca="1">AVERAGE(OFFSET($CC$3,0,0,'Données projet'!$E$12+1,1))-AVERAGE(OFFSET($H$3,0,0,'Données projet'!$E$12+1,1))</f>
        <v>168.72306536277267</v>
      </c>
      <c r="CE4" s="59">
        <f>$CE$3</f>
        <v>203.35476578922339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5.6730769230769225</v>
      </c>
      <c r="CT4" s="12">
        <f>IF('Données projet'!$A$140&gt;35,CT3+CS4-DB3,IF(A4&lt;'Données projet'!$A$140,$CQ$205^A4,IF(A4='Données projet'!$A$140,'Données projet'!$B$140,CT3+CS4-DB3)))</f>
        <v>5.6730769230769225</v>
      </c>
      <c r="CU4" s="17">
        <f>CT4*VLOOKUP('Données projet'!$B$13,Paramètres!$A$1:$I$89,3,0)*VLOOKUP('Données projet'!$B$13,Paramètres!$A$1:$I$89,5,0)</f>
        <v>2.7287499999999998</v>
      </c>
      <c r="CV4" s="13">
        <f>EXP(-1.0587+0.8836*LN(CU4)+0.284)</f>
        <v>1.1188442473278026</v>
      </c>
      <c r="CW4" s="20">
        <f t="shared" ref="CW4:CW67" si="13">(CU4+CV4)*0.475*44/12</f>
        <v>6.7012266474292561</v>
      </c>
      <c r="CX4" s="59">
        <f t="shared" ref="CX4:CX67" si="14">CW4+(CO4+CP4)*44/12</f>
        <v>300.03455998076259</v>
      </c>
      <c r="CY4" s="59">
        <f ca="1">AVERAGE(OFFSET($CX$3,0,0,'Données projet'!$E$13+1,1))-AVERAGE(OFFSET($H$3,0,0,'Données projet'!$E$13+1,1))</f>
        <v>304.15237106473313</v>
      </c>
      <c r="CZ4" s="59">
        <f>$CZ$3</f>
        <v>120.85458928724336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>
        <f>EXP(-LN(2)/35)*DF3+(1-EXP(-LN(2)/35))/(LN(2)/35)*DB4*DC4*VLOOKUP('Données projet'!$B$13,Paramètres!$A$1:$I$89,3,0)*0.475*44/12</f>
        <v>0</v>
      </c>
      <c r="DG4" s="21">
        <f>EXP(-LN(2)/25)*DG3+(1-EXP(-LN(2)/25))/(LN(2)/25)*Calculateur!DB4*Calculateur!DD4*VLOOKUP('Données projet'!$B$13,Paramètres!$A$1:$I$89,3,0)*0.475*44/12</f>
        <v>0</v>
      </c>
      <c r="DH4" s="21">
        <f>EXP(-LN(2)/2)*DH3+(1-EXP(-LN(2)/2))/(LN(2)/2)*DB4*DE4*VLOOKUP('Données projet'!$B$13,Paramètres!$A$1:$I$89,3,0)*0.475*44/12</f>
        <v>0</v>
      </c>
      <c r="DI4" s="22">
        <f t="shared" ref="DI4:DI67" si="15">SUM(DF4:DH4)</f>
        <v>0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3.8846153846153846</v>
      </c>
      <c r="DO4" s="12">
        <f>IF('Données projet'!$A$166&gt;35,DO3+DN4-DW3,IF(A4&lt;'Données projet'!$A$166,$DL$205^A4,IF(A4='Données projet'!$A$166,'Données projet'!$B$166,DO3+DN4-DW3)))</f>
        <v>3.8846153846153846</v>
      </c>
      <c r="DP4" s="17">
        <f>DO4*VLOOKUP('Données projet'!$B$14,Paramètres!$A$1:$I$89,3,0)*VLOOKUP('Données projet'!$B$14,Paramètres!$A$1:$I$89,5,0)</f>
        <v>1.8684999999999998</v>
      </c>
      <c r="DQ4" s="13">
        <f>EXP(-1.0587+0.8836*LN(DP4)+0.284)</f>
        <v>0.80065122039620906</v>
      </c>
      <c r="DR4" s="20">
        <f t="shared" ref="DR4:DR67" si="16">(DP4+DQ4)*0.475*44/12</f>
        <v>4.6487717088567306</v>
      </c>
      <c r="DS4" s="59">
        <f t="shared" ref="DS4:DS67" si="17">DR4+(DJ4+DK4)*44/12</f>
        <v>297.98210504219003</v>
      </c>
      <c r="DT4" s="59">
        <f ca="1">AVERAGE(OFFSET($DS$3,0,0,'Données projet'!$E$14+1,1))-AVERAGE(OFFSET($H$3,0,0,'Données projet'!$E$14+1,1))</f>
        <v>91.053246648097399</v>
      </c>
      <c r="DU4" s="59">
        <f>$DU$3</f>
        <v>64.716270355703955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>
        <f>EXP(-LN(2)/35)*EA3+(1-EXP(-LN(2)/35))/(LN(2)/35)*DW4*DX4*VLOOKUP('Données projet'!$B$14,Paramètres!$A$1:$I$89,3,0)*0.475*44/12</f>
        <v>0</v>
      </c>
      <c r="EB4" s="21">
        <f>EXP(-LN(2)/25)*EB3+(1-EXP(-LN(2)/25))/(LN(2)/25)*Calculateur!DW4*Calculateur!DY4*VLOOKUP('Données projet'!$B$14,Paramètres!$A$1:$I$89,3,0)*0.475*44/12</f>
        <v>0</v>
      </c>
      <c r="EC4" s="21">
        <f>EXP(-LN(2)/2)*EC3+(1-EXP(-LN(2)/2))/(LN(2)/2)*DW4*DZ4*VLOOKUP('Données projet'!$B$14,Paramètres!$A$1:$I$89,3,0)*0.475*44/12</f>
        <v>0</v>
      </c>
      <c r="ED4" s="22">
        <f t="shared" ref="ED4:ED67" si="18">SUM(EA4:EC4)</f>
        <v>0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5.3</v>
      </c>
      <c r="EJ4" s="12">
        <f>IF('Données projet'!$A$192&gt;35,EJ3+EI4-ER3,IF(A4&lt;'Données projet'!$A$192,$EG$205^A4,IF(A4='Données projet'!$A$192,'Données projet'!$B$192,EJ3+EI4-ER3)))</f>
        <v>1.2625985704272813</v>
      </c>
      <c r="EK4" s="17">
        <f>EJ4*VLOOKUP('Données projet'!$B$15,Paramètres!$A$1:$I$89,3,0)*VLOOKUP('Données projet'!$B$15,Paramètres!$A$1:$I$89,5,0)</f>
        <v>0.75503394511551425</v>
      </c>
      <c r="EL4" s="13">
        <f>EXP(-1.0587+0.8836*LN(EK4)+0.284)</f>
        <v>0.35952015653689401</v>
      </c>
      <c r="EM4" s="20">
        <f t="shared" ref="EM4:EM67" si="19">(EK4+EL4)*0.475*44/12</f>
        <v>1.9411817270446112</v>
      </c>
      <c r="EN4" s="59">
        <f t="shared" ref="EN4:EN67" si="20">EM4+(EE4+EF4)*44/12</f>
        <v>295.27451506037795</v>
      </c>
      <c r="EO4" s="59">
        <f ca="1">AVERAGE(OFFSET($EN$3,0,0,'Données projet'!$E$15+1,1))-AVERAGE(OFFSET($H$3,0,0,'Données projet'!$E$15+1,1))</f>
        <v>316.58509520829671</v>
      </c>
      <c r="EP4" s="59">
        <f>$EP$3</f>
        <v>240.71332110643596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>
        <f>EXP(-LN(2)/35)*EV3+(1-EXP(-LN(2)/35))/(LN(2)/35)*ER4*ES4*VLOOKUP('Données projet'!$B$15,Paramètres!$A$1:$I$89,3,0)*0.475*44/12</f>
        <v>0</v>
      </c>
      <c r="EW4" s="21">
        <f>EXP(-LN(2)/25)*EW3+(1-EXP(-LN(2)/25))/(LN(2)/25)*Calculateur!ER4*Calculateur!ET4*VLOOKUP('Données projet'!$B$15,Paramètres!$A$1:$I$89,3,0)*0.475*44/12</f>
        <v>0</v>
      </c>
      <c r="EX4" s="21">
        <f>EXP(-LN(2)/2)*EX3+(1-EXP(-LN(2)/2))/(LN(2)/2)*ER4*EU4*VLOOKUP('Données projet'!$B$15,Paramètres!$A$1:$I$89,3,0)*0.475*44/12</f>
        <v>0</v>
      </c>
      <c r="EY4" s="22">
        <f t="shared" ref="EY4:EY67" si="21">SUM(EV4:EX4)</f>
        <v>0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4.3499999999999996</v>
      </c>
      <c r="FE4" s="12">
        <f>IF('Données projet'!$A$218&gt;35,FE3+FD4-FM3,IF(A4&lt;'Données projet'!$A$218,$FB$205^A4,IF(A4='Données projet'!$A$218,'Données projet'!$B$218,FE3+FD4-FM3)))</f>
        <v>1.2501898326862695</v>
      </c>
      <c r="FF4" s="17">
        <f>FE4*VLOOKUP('Données projet'!$B$16,Paramètres!$A$1:$I$89,3,0)*VLOOKUP('Données projet'!$B$16,Paramètres!$A$1:$I$89,5,0)</f>
        <v>0.74761351994638925</v>
      </c>
      <c r="FG4" s="13">
        <f>EXP(-1.0587+0.8836*LN(FF4)+0.284)</f>
        <v>0.35639630406199418</v>
      </c>
      <c r="FH4" s="20">
        <f t="shared" ref="FH4:FH67" si="22">(FF4+FG4)*0.475*44/12</f>
        <v>1.9228171101479343</v>
      </c>
      <c r="FI4" s="59">
        <f t="shared" ref="FI4:FI67" si="23">FH4+(EZ4+FA4)*44/12</f>
        <v>295.25615044348126</v>
      </c>
      <c r="FJ4" s="59">
        <f ca="1">AVERAGE(OFFSET($FI$3,0,0,'Données projet'!$E$16+1,1))-AVERAGE(OFFSET($H$3,0,0,'Données projet'!$E$16+1,1))</f>
        <v>270.30888762640245</v>
      </c>
      <c r="FK4" s="59">
        <f>$FK$3</f>
        <v>202.23783851977691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>
        <f>EXP(-LN(2)/35)*FQ3+(1-EXP(-LN(2)/35))/(LN(2)/35)*FM4*FN4*VLOOKUP('Données projet'!$B$16,Paramètres!$A$1:$I$89,3,0)*0.475*44/12</f>
        <v>0</v>
      </c>
      <c r="FR4" s="21">
        <f>EXP(-LN(2)/25)*FR3+(1-EXP(-LN(2)/25))/(LN(2)/25)*Calculateur!FM4*Calculateur!FO4*VLOOKUP('Données projet'!$B$16,Paramètres!$A$1:$I$89,3,0)*0.475*44/12</f>
        <v>0</v>
      </c>
      <c r="FS4" s="21">
        <f>EXP(-LN(2)/2)*FS3+(1-EXP(-LN(2)/2))/(LN(2)/2)*FM4*FP4*VLOOKUP('Données projet'!$B$16,Paramètres!$A$1:$I$89,3,0)*0.475*44/12</f>
        <v>0</v>
      </c>
      <c r="FT4" s="22">
        <f t="shared" ref="FT4:FT67" si="24">SUM(FQ4:FS4)</f>
        <v>0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1.1000000000000001</v>
      </c>
      <c r="FZ4" s="12">
        <f>IF('Données projet'!$A$244&gt;35,FZ3+FY4-GH3,IF(A4&lt;'Données projet'!$A$244,$FW$205^A4,IF(A4='Données projet'!$A$244,'Données projet'!$B$244,FZ3+FY4-GH3)))</f>
        <v>1.2709816152101407</v>
      </c>
      <c r="GA4" s="17">
        <f>FZ4*VLOOKUP('Données projet'!$B$17,Paramètres!$A$1:$I$89,3,0)*VLOOKUP('Données projet'!$B$17,Paramètres!$A$1:$I$89,5,0)</f>
        <v>1.0111929730611879</v>
      </c>
      <c r="GB4" s="13">
        <f>EXP(-1.0587+0.8836*LN(GA4)+0.284)</f>
        <v>0.46539683474213156</v>
      </c>
      <c r="GC4" s="20">
        <f t="shared" ref="GC4:GC67" si="25">(GA4+GB4)*0.475*44/12</f>
        <v>2.5717272485907814</v>
      </c>
      <c r="GD4" s="59">
        <f t="shared" ref="GD4:GD67" si="26">GC4+(FU4+FV4)*44/12</f>
        <v>295.90506058192409</v>
      </c>
      <c r="GE4" s="59">
        <f ca="1">AVERAGE(OFFSET($GD$3,0,0,'Données projet'!$E$17+1,1))-AVERAGE(OFFSET($H$3,0,0,'Données projet'!$E$17+1,1))</f>
        <v>260.20517190557814</v>
      </c>
      <c r="GF4" s="59">
        <f>$GF$3</f>
        <v>307.22009971147133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>
        <f>EXP(-LN(2)/35)*GL3+(1-EXP(-LN(2)/35))/(LN(2)/35)*GH4*GI4*VLOOKUP('Données projet'!$B$17,Paramètres!$A$1:$I$89,3,0)*0.475*44/12</f>
        <v>0</v>
      </c>
      <c r="GM4" s="21">
        <f>EXP(-LN(2)/25)*GM3+(1-EXP(-LN(2)/25))/(LN(2)/25)*Calculateur!GH4*Calculateur!GJ4*VLOOKUP('Données projet'!$B$17,Paramètres!$A$1:$I$89,3,0)*0.475*44/12</f>
        <v>0</v>
      </c>
      <c r="GN4" s="21">
        <f>EXP(-LN(2)/2)*GN3+(1-EXP(-LN(2)/2))/(LN(2)/2)*GH4*GK4*VLOOKUP('Données projet'!$B$17,Paramètres!$A$1:$I$89,3,0)*0.475*44/12</f>
        <v>0</v>
      </c>
      <c r="GO4" s="21">
        <f t="shared" ref="GO4:GO67" si="27">SUM(GL4:GN4)</f>
        <v>0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4.75</v>
      </c>
      <c r="GU4" s="12">
        <f>IF('Données projet'!$A$270&gt;35,GU3+GT4-HC3,IF(A4&lt;'Données projet'!$A$270,$GR$205^A4,IF(A4='Données projet'!$A$270,'Données projet'!$B$270,GU3+GT4-HC3)))</f>
        <v>1.2557008269631629</v>
      </c>
      <c r="GV4" s="17">
        <f>GU4*VLOOKUP('Données projet'!$B$18,Paramètres!$A$1:$I$89,3,0)*VLOOKUP('Données projet'!$B$18,Paramètres!$A$1:$I$89,5,0)</f>
        <v>0.99903557793189246</v>
      </c>
      <c r="GW4" s="13">
        <f>EXP(-1.0587+0.8836*LN(GV4)+0.284)</f>
        <v>0.46044927814777026</v>
      </c>
      <c r="GX4" s="20">
        <f t="shared" ref="GX4:GX67" si="28">(GV4+GW4)*0.475*44/12</f>
        <v>2.5419361243387457</v>
      </c>
      <c r="GY4" s="59">
        <f t="shared" ref="GY4:GY67" si="29">GX4+(GP4+GQ4)*44/12</f>
        <v>295.87526945767206</v>
      </c>
      <c r="GZ4" s="59">
        <f ca="1">AVERAGE(OFFSET($GY$3,0,0,'Données projet'!$E$18+1,1))-AVERAGE(OFFSET($H$3,0,0,'Données projet'!$E$18+1,1))</f>
        <v>199.58763537752952</v>
      </c>
      <c r="HA4" s="59">
        <f>$HA$3</f>
        <v>242.62852778451929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>
        <f>EXP(-LN(2)/35)*HG3+(1-EXP(-LN(2)/35))/(LN(2)/35)*HC4*HD4*VLOOKUP('Données projet'!$B$18,Paramètres!$A$1:$I$89,3,0)*0.475*44/12</f>
        <v>0</v>
      </c>
      <c r="HH4" s="21">
        <f>EXP(-LN(2)/25)*HH3+(1-EXP(-LN(2)/25))/(LN(2)/25)*Calculateur!HC4*Calculateur!HE4*VLOOKUP('Données projet'!$B$18,Paramètres!$A$1:$I$89,3,0)*0.475*44/12</f>
        <v>0</v>
      </c>
      <c r="HI4" s="21">
        <f>EXP(-LN(2)/2)*HI3+(1-EXP(-LN(2)/2))/(LN(2)/2)*HC4*HF4*VLOOKUP('Données projet'!$B$18,Paramètres!$A$1:$I$89,3,0)*0.475*44/12</f>
        <v>0</v>
      </c>
      <c r="HJ4" s="22">
        <f t="shared" ref="HJ4:HJ67" si="30">SUM(HG4:HI4)</f>
        <v>0</v>
      </c>
    </row>
    <row r="5" spans="1:218" x14ac:dyDescent="0.2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1.7784</v>
      </c>
      <c r="D5" s="11">
        <f t="shared" ref="D5:D68" si="32">IFERROR(EXP(-1.0587+0.8836*LN(C5)+0.284),0)</f>
        <v>0.76643986660078545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19.644377917620098</v>
      </c>
      <c r="H5" s="67">
        <f t="shared" si="1"/>
        <v>297.76559610099633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9.3968325791855207</v>
      </c>
      <c r="N5" s="13">
        <f>IF('Données projet'!$A$36&gt;35,N4+M5-V4,IF(A5&lt;'Données projet'!$A$36,$K$205^A5,IF(A5='Données projet'!$A$36,'Données projet'!$B$36,N4+M5-V4)))</f>
        <v>1.8164653049921848</v>
      </c>
      <c r="O5" s="13">
        <f>N5*VLOOKUP('Données projet'!$B$9,Paramètres!$A$1:$I$89,3,0)*VLOOKUP('Données projet'!$B$9,Paramètres!$A$1:$I$89,5,0)</f>
        <v>1.0154041054906313</v>
      </c>
      <c r="P5" s="13">
        <f t="shared" ref="P5:P68" si="33">EXP(-1.0587+0.8836*LN(O5)+0.284)</f>
        <v>0.46710897317647637</v>
      </c>
      <c r="Q5" s="20">
        <f t="shared" si="2"/>
        <v>2.582043612011879</v>
      </c>
      <c r="R5" s="59">
        <f t="shared" si="0"/>
        <v>295.9153769453452</v>
      </c>
      <c r="S5" s="59">
        <f ca="1">AVERAGE(OFFSET($R$3,0,0,'Données projet'!$E$9+1,1))-AVERAGE(OFFSET($H$3,0,0,'Données projet'!$E$9+1,1))</f>
        <v>255.5374979188561</v>
      </c>
      <c r="T5" s="59">
        <f t="shared" ref="T5:T68" si="34">$T$3</f>
        <v>343.10418468620901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7.7987854251012134</v>
      </c>
      <c r="AI5" s="13">
        <f>IF('Données projet'!$A$62&gt;35,AI4+AH5-AQ4,IF(A5&lt;'Données projet'!$A$62,$AF$205^A5,IF(A5='Données projet'!$A$62,'Données projet'!$B$62,AI4+AH5-AQ4)))</f>
        <v>1.6924007851492051</v>
      </c>
      <c r="AJ5" s="13">
        <f>AI5*VLOOKUP('Données projet'!$B$10,Paramètres!$A$1:$I$89,3,0)*VLOOKUP('Données projet'!$B$10,Paramètres!$A$1:$I$89,5,0)</f>
        <v>0.94605203889840572</v>
      </c>
      <c r="AK5" s="13">
        <f t="shared" ref="AK5:AK68" si="35">EXP(-1.0587+0.8836*LN(AJ5)+0.284)</f>
        <v>0.43880400409515918</v>
      </c>
      <c r="AL5" s="20">
        <f t="shared" si="4"/>
        <v>2.4119576082137919</v>
      </c>
      <c r="AM5" s="59">
        <f t="shared" si="5"/>
        <v>295.74529094154713</v>
      </c>
      <c r="AN5" s="59">
        <f ca="1">AVERAGE(OFFSET($AM$3,0,0,'Données projet'!$E$10+1,1))-AVERAGE(OFFSET($H$3,0,0,'Données projet'!$E$10+1,1))</f>
        <v>224.7049802939942</v>
      </c>
      <c r="AO5" s="59">
        <f t="shared" ref="AO5:AO68" si="36">$AO$3</f>
        <v>203.48513862195352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3.6</v>
      </c>
      <c r="BD5" s="12">
        <f>IF('Données projet'!$A$88&gt;35,BD4+BC5-BL4,IF(A5&lt;'Données projet'!$A$88,$BA$205^A5,IF(A5='Données projet'!$A$88,'Données projet'!$B$88,BD4+BC5-BL4)))</f>
        <v>2.0476725110792193</v>
      </c>
      <c r="BE5" s="13">
        <f>BD5*VLOOKUP('Données projet'!$B$11,Paramètres!$A$1:$I$89,3,0)*VLOOKUP('Données projet'!$B$11,Paramètres!$A$1:$I$89,5,0)</f>
        <v>1.1180291910492537</v>
      </c>
      <c r="BF5" s="13">
        <f t="shared" ref="BF5:BF68" si="37">EXP(-1.0587+0.8836*LN(BE5)+0.284)</f>
        <v>0.50858700810998547</v>
      </c>
      <c r="BG5" s="20">
        <f t="shared" si="7"/>
        <v>2.8330232135356752</v>
      </c>
      <c r="BH5" s="59">
        <f t="shared" si="8"/>
        <v>296.166356546869</v>
      </c>
      <c r="BI5" s="59">
        <f ca="1">AVERAGE(OFFSET($BH$3,0,0,'Données projet'!$E$11+1,1))-AVERAGE(OFFSET($H$3,0,0,'Données projet'!$E$11+1,1))</f>
        <v>210.04871822652808</v>
      </c>
      <c r="BJ5" s="59">
        <f t="shared" ref="BJ5:BJ68" si="38">$BJ$3</f>
        <v>250.17540614049324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2.2999999999999998</v>
      </c>
      <c r="BY5" s="12">
        <f>IF('Données projet'!$A$114&gt;35,BY4+BX5-CG4,IF(A5&lt;'Données projet'!$A$114,$BV$205^A5,IF(A5='Données projet'!$A$114,'Données projet'!$B$114,BY4+BX5-CG4)))</f>
        <v>1.8721712305548575</v>
      </c>
      <c r="BZ5" s="13">
        <f>BY5*VLOOKUP('Données projet'!$B$12,Paramètres!$A$1:$I$89,3,0)*VLOOKUP('Données projet'!$B$12,Paramètres!$A$1:$I$89,5,0)</f>
        <v>1.0222054918829522</v>
      </c>
      <c r="CA5" s="13">
        <f t="shared" ref="CA5:CA68" si="39">EXP(-1.0587+0.8836*LN(BZ5)+0.284)</f>
        <v>0.4698724990482781</v>
      </c>
      <c r="CB5" s="20">
        <f t="shared" si="10"/>
        <v>2.5987025008718923</v>
      </c>
      <c r="CC5" s="59">
        <f t="shared" si="11"/>
        <v>295.93203583420518</v>
      </c>
      <c r="CD5" s="59">
        <f ca="1">AVERAGE(OFFSET($CC$3,0,0,'Données projet'!$E$12+1,1))-AVERAGE(OFFSET($H$3,0,0,'Données projet'!$E$12+1,1))</f>
        <v>168.72306536277267</v>
      </c>
      <c r="CE5" s="59">
        <f t="shared" ref="CE5:CE68" si="40">$CE$3</f>
        <v>203.35476578922339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5.6730769230769225</v>
      </c>
      <c r="CT5" s="12">
        <f>IF('Données projet'!$A$140&gt;35,CT4+CS5-DB4,IF(A5&lt;'Données projet'!$A$140,$CQ$205^A5,IF(A5='Données projet'!$A$140,'Données projet'!$B$140,CT4+CS5-DB4)))</f>
        <v>11.346153846153845</v>
      </c>
      <c r="CU5" s="17">
        <f>CT5*VLOOKUP('Données projet'!$B$13,Paramètres!$A$1:$I$89,3,0)*VLOOKUP('Données projet'!$B$13,Paramètres!$A$1:$I$89,5,0)</f>
        <v>5.4574999999999996</v>
      </c>
      <c r="CV5" s="13">
        <f t="shared" ref="CV5:CV68" si="41">EXP(-1.0587+0.8836*LN(CU5)+0.284)</f>
        <v>2.0642378517335884</v>
      </c>
      <c r="CW5" s="20">
        <f t="shared" si="13"/>
        <v>13.100360091769332</v>
      </c>
      <c r="CX5" s="59">
        <f t="shared" si="14"/>
        <v>306.43369342510266</v>
      </c>
      <c r="CY5" s="59">
        <f ca="1">AVERAGE(OFFSET($CX$3,0,0,'Données projet'!$E$13+1,1))-AVERAGE(OFFSET($H$3,0,0,'Données projet'!$E$13+1,1))</f>
        <v>304.15237106473313</v>
      </c>
      <c r="CZ5" s="59">
        <f t="shared" ref="CZ5:CZ68" si="42">$CZ$3</f>
        <v>120.85458928724336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>
        <f>EXP(-LN(2)/35)*DF4+(1-EXP(-LN(2)/35))/(LN(2)/35)*DB5*DC5*VLOOKUP('Données projet'!$B$13,Paramètres!$A$1:$I$89,3,0)*0.475*44/12</f>
        <v>0</v>
      </c>
      <c r="DG5" s="21">
        <f>EXP(-LN(2)/25)*DG4+(1-EXP(-LN(2)/25))/(LN(2)/25)*Calculateur!DB5*Calculateur!DD5*VLOOKUP('Données projet'!$B$13,Paramètres!$A$1:$I$89,3,0)*0.475*44/12</f>
        <v>0</v>
      </c>
      <c r="DH5" s="21">
        <f>EXP(-LN(2)/2)*DH4+(1-EXP(-LN(2)/2))/(LN(2)/2)*DB5*DE5*VLOOKUP('Données projet'!$B$13,Paramètres!$A$1:$I$89,3,0)*0.475*44/12</f>
        <v>0</v>
      </c>
      <c r="DI5" s="22">
        <f t="shared" si="15"/>
        <v>0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3.8846153846153846</v>
      </c>
      <c r="DO5" s="12">
        <f>IF('Données projet'!$A$166&gt;35,DO4+DN5-DW4,IF(A5&lt;'Données projet'!$A$166,$DL$205^A5,IF(A5='Données projet'!$A$166,'Données projet'!$B$166,DO4+DN5-DW4)))</f>
        <v>7.7692307692307692</v>
      </c>
      <c r="DP5" s="17">
        <f>DO5*VLOOKUP('Données projet'!$B$14,Paramètres!$A$1:$I$89,3,0)*VLOOKUP('Données projet'!$B$14,Paramètres!$A$1:$I$89,5,0)</f>
        <v>3.7369999999999997</v>
      </c>
      <c r="DQ5" s="13">
        <f t="shared" ref="DQ5:DQ68" si="43">EXP(-1.0587+0.8836*LN(DP5)+0.284)</f>
        <v>1.4771801876140163</v>
      </c>
      <c r="DR5" s="20">
        <f t="shared" si="16"/>
        <v>9.081363826761077</v>
      </c>
      <c r="DS5" s="59">
        <f t="shared" si="17"/>
        <v>302.41469716009442</v>
      </c>
      <c r="DT5" s="59">
        <f ca="1">AVERAGE(OFFSET($DS$3,0,0,'Données projet'!$E$14+1,1))-AVERAGE(OFFSET($H$3,0,0,'Données projet'!$E$14+1,1))</f>
        <v>91.053246648097399</v>
      </c>
      <c r="DU5" s="59">
        <f t="shared" ref="DU5:DU68" si="44">$DU$3</f>
        <v>64.716270355703955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>
        <f>EXP(-LN(2)/35)*EA4+(1-EXP(-LN(2)/35))/(LN(2)/35)*DW5*DX5*VLOOKUP('Données projet'!$B$14,Paramètres!$A$1:$I$89,3,0)*0.475*44/12</f>
        <v>0</v>
      </c>
      <c r="EB5" s="21">
        <f>EXP(-LN(2)/25)*EB4+(1-EXP(-LN(2)/25))/(LN(2)/25)*Calculateur!DW5*Calculateur!DY5*VLOOKUP('Données projet'!$B$14,Paramètres!$A$1:$I$89,3,0)*0.475*44/12</f>
        <v>0</v>
      </c>
      <c r="EC5" s="21">
        <f>EXP(-LN(2)/2)*EC4+(1-EXP(-LN(2)/2))/(LN(2)/2)*DW5*DZ5*VLOOKUP('Données projet'!$B$14,Paramètres!$A$1:$I$89,3,0)*0.475*44/12</f>
        <v>0</v>
      </c>
      <c r="ED5" s="22">
        <f t="shared" si="18"/>
        <v>0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5.3</v>
      </c>
      <c r="EJ5" s="12">
        <f>IF('Données projet'!$A$192&gt;35,EJ4+EI5-ER4,IF(A5&lt;'Données projet'!$A$192,$EG$205^A5,IF(A5='Données projet'!$A$192,'Données projet'!$B$192,EJ4+EI5-ER4)))</f>
        <v>1.5941551500450144</v>
      </c>
      <c r="EK5" s="17">
        <f>EJ5*VLOOKUP('Données projet'!$B$15,Paramètres!$A$1:$I$89,3,0)*VLOOKUP('Données projet'!$B$15,Paramètres!$A$1:$I$89,5,0)</f>
        <v>0.95330477972691874</v>
      </c>
      <c r="EL5" s="13">
        <f t="shared" ref="EL5:EL68" si="45">EXP(-1.0587+0.8836*LN(EK5)+0.284)</f>
        <v>0.44177512384100159</v>
      </c>
      <c r="EM5" s="20">
        <f t="shared" si="19"/>
        <v>2.4297641653807944</v>
      </c>
      <c r="EN5" s="59">
        <f t="shared" si="20"/>
        <v>295.7630974987141</v>
      </c>
      <c r="EO5" s="59">
        <f ca="1">AVERAGE(OFFSET($EN$3,0,0,'Données projet'!$E$15+1,1))-AVERAGE(OFFSET($H$3,0,0,'Données projet'!$E$15+1,1))</f>
        <v>316.58509520829671</v>
      </c>
      <c r="EP5" s="59">
        <f t="shared" ref="EP5:EP68" si="46">$EP$3</f>
        <v>240.71332110643596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>
        <f>EXP(-LN(2)/35)*EV4+(1-EXP(-LN(2)/35))/(LN(2)/35)*ER5*ES5*VLOOKUP('Données projet'!$B$15,Paramètres!$A$1:$I$89,3,0)*0.475*44/12</f>
        <v>0</v>
      </c>
      <c r="EW5" s="21">
        <f>EXP(-LN(2)/25)*EW4+(1-EXP(-LN(2)/25))/(LN(2)/25)*Calculateur!ER5*Calculateur!ET5*VLOOKUP('Données projet'!$B$15,Paramètres!$A$1:$I$89,3,0)*0.475*44/12</f>
        <v>0</v>
      </c>
      <c r="EX5" s="21">
        <f>EXP(-LN(2)/2)*EX4+(1-EXP(-LN(2)/2))/(LN(2)/2)*ER5*EU5*VLOOKUP('Données projet'!$B$15,Paramètres!$A$1:$I$89,3,0)*0.475*44/12</f>
        <v>0</v>
      </c>
      <c r="EY5" s="22">
        <f t="shared" si="21"/>
        <v>0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4.3499999999999996</v>
      </c>
      <c r="FE5" s="12">
        <f>IF('Données projet'!$A$218&gt;35,FE4+FD5-FM4,IF(A5&lt;'Données projet'!$A$218,$FB$205^A5,IF(A5='Données projet'!$A$218,'Données projet'!$B$218,FE4+FD5-FM4)))</f>
        <v>1.5629746177521224</v>
      </c>
      <c r="FF5" s="17">
        <f>FE5*VLOOKUP('Données projet'!$B$16,Paramètres!$A$1:$I$89,3,0)*VLOOKUP('Données projet'!$B$16,Paramètres!$A$1:$I$89,5,0)</f>
        <v>0.93465882141576928</v>
      </c>
      <c r="FG5" s="13">
        <f t="shared" ref="FG5:FG68" si="47">EXP(-1.0587+0.8836*LN(FF5)+0.284)</f>
        <v>0.43413135345040255</v>
      </c>
      <c r="FH5" s="20">
        <f t="shared" si="22"/>
        <v>2.3839762212252493</v>
      </c>
      <c r="FI5" s="59">
        <f t="shared" si="23"/>
        <v>295.71730955455854</v>
      </c>
      <c r="FJ5" s="59">
        <f ca="1">AVERAGE(OFFSET($FI$3,0,0,'Données projet'!$E$16+1,1))-AVERAGE(OFFSET($H$3,0,0,'Données projet'!$E$16+1,1))</f>
        <v>270.30888762640245</v>
      </c>
      <c r="FK5" s="59">
        <f t="shared" ref="FK5:FK68" si="48">$FK$3</f>
        <v>202.23783851977691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>
        <f>EXP(-LN(2)/35)*FQ4+(1-EXP(-LN(2)/35))/(LN(2)/35)*FM5*FN5*VLOOKUP('Données projet'!$B$16,Paramètres!$A$1:$I$89,3,0)*0.475*44/12</f>
        <v>0</v>
      </c>
      <c r="FR5" s="21">
        <f>EXP(-LN(2)/25)*FR4+(1-EXP(-LN(2)/25))/(LN(2)/25)*Calculateur!FM5*Calculateur!FO5*VLOOKUP('Données projet'!$B$16,Paramètres!$A$1:$I$89,3,0)*0.475*44/12</f>
        <v>0</v>
      </c>
      <c r="FS5" s="21">
        <f>EXP(-LN(2)/2)*FS4+(1-EXP(-LN(2)/2))/(LN(2)/2)*FM5*FP5*VLOOKUP('Données projet'!$B$16,Paramètres!$A$1:$I$89,3,0)*0.475*44/12</f>
        <v>0</v>
      </c>
      <c r="FT5" s="22">
        <f t="shared" si="24"/>
        <v>0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1.1000000000000001</v>
      </c>
      <c r="FZ5" s="12">
        <f>IF('Données projet'!$A$244&gt;35,FZ4+FY5-GH4,IF(A5&lt;'Données projet'!$A$244,$FW$205^A5,IF(A5='Données projet'!$A$244,'Données projet'!$B$244,FZ4+FY5-GH4)))</f>
        <v>1.6153942662021783</v>
      </c>
      <c r="GA5" s="17">
        <f>FZ5*VLOOKUP('Données projet'!$B$17,Paramètres!$A$1:$I$89,3,0)*VLOOKUP('Données projet'!$B$17,Paramètres!$A$1:$I$89,5,0)</f>
        <v>1.2852076781904531</v>
      </c>
      <c r="GB5" s="13">
        <f t="shared" ref="GB5:GB68" si="49">EXP(-1.0587+0.8836*LN(GA5)+0.284)</f>
        <v>0.57522914588482876</v>
      </c>
      <c r="GC5" s="20">
        <f t="shared" si="25"/>
        <v>3.2402608019311159</v>
      </c>
      <c r="GD5" s="59">
        <f t="shared" si="26"/>
        <v>296.57359413526444</v>
      </c>
      <c r="GE5" s="59">
        <f ca="1">AVERAGE(OFFSET($GD$3,0,0,'Données projet'!$E$17+1,1))-AVERAGE(OFFSET($H$3,0,0,'Données projet'!$E$17+1,1))</f>
        <v>260.20517190557814</v>
      </c>
      <c r="GF5" s="59">
        <f t="shared" ref="GF5:GF68" si="50">$GF$3</f>
        <v>307.22009971147133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>
        <f>EXP(-LN(2)/35)*GL4+(1-EXP(-LN(2)/35))/(LN(2)/35)*GH5*GI5*VLOOKUP('Données projet'!$B$17,Paramètres!$A$1:$I$89,3,0)*0.475*44/12</f>
        <v>0</v>
      </c>
      <c r="GM5" s="21">
        <f>EXP(-LN(2)/25)*GM4+(1-EXP(-LN(2)/25))/(LN(2)/25)*Calculateur!GH5*Calculateur!GJ5*VLOOKUP('Données projet'!$B$17,Paramètres!$A$1:$I$89,3,0)*0.475*44/12</f>
        <v>0</v>
      </c>
      <c r="GN5" s="21">
        <f>EXP(-LN(2)/2)*GN4+(1-EXP(-LN(2)/2))/(LN(2)/2)*GH5*GK5*VLOOKUP('Données projet'!$B$17,Paramètres!$A$1:$I$89,3,0)*0.475*44/12</f>
        <v>0</v>
      </c>
      <c r="GO5" s="21">
        <f t="shared" si="27"/>
        <v>0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4.75</v>
      </c>
      <c r="GU5" s="12">
        <f>IF('Données projet'!$A$270&gt;35,GU4+GT5-HC4,IF(A5&lt;'Données projet'!$A$270,$GR$205^A5,IF(A5='Données projet'!$A$270,'Données projet'!$B$270,GU4+GT5-HC4)))</f>
        <v>1.576784566835971</v>
      </c>
      <c r="GV5" s="17">
        <f>GU5*VLOOKUP('Données projet'!$B$18,Paramètres!$A$1:$I$89,3,0)*VLOOKUP('Données projet'!$B$18,Paramètres!$A$1:$I$89,5,0)</f>
        <v>1.2544898013746986</v>
      </c>
      <c r="GW5" s="13">
        <f t="shared" ref="GW5:GW68" si="51">EXP(-1.0587+0.8836*LN(GV5)+0.284)</f>
        <v>0.56306382382627529</v>
      </c>
      <c r="GX5" s="20">
        <f t="shared" si="28"/>
        <v>3.1655725638916965</v>
      </c>
      <c r="GY5" s="59">
        <f t="shared" si="29"/>
        <v>296.49890589722503</v>
      </c>
      <c r="GZ5" s="59">
        <f ca="1">AVERAGE(OFFSET($GY$3,0,0,'Données projet'!$E$18+1,1))-AVERAGE(OFFSET($H$3,0,0,'Données projet'!$E$18+1,1))</f>
        <v>199.58763537752952</v>
      </c>
      <c r="HA5" s="59">
        <f t="shared" ref="HA5:HA68" si="52">$HA$3</f>
        <v>242.62852778451929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>
        <f>EXP(-LN(2)/35)*HG4+(1-EXP(-LN(2)/35))/(LN(2)/35)*HC5*HD5*VLOOKUP('Données projet'!$B$18,Paramètres!$A$1:$I$89,3,0)*0.475*44/12</f>
        <v>0</v>
      </c>
      <c r="HH5" s="21">
        <f>EXP(-LN(2)/25)*HH4+(1-EXP(-LN(2)/25))/(LN(2)/25)*Calculateur!HC5*Calculateur!HE5*VLOOKUP('Données projet'!$B$18,Paramètres!$A$1:$I$89,3,0)*0.475*44/12</f>
        <v>0</v>
      </c>
      <c r="HI5" s="21">
        <f>EXP(-LN(2)/2)*HI4+(1-EXP(-LN(2)/2))/(LN(2)/2)*HC5*HF5*VLOOKUP('Données projet'!$B$18,Paramètres!$A$1:$I$89,3,0)*0.475*44/12</f>
        <v>0</v>
      </c>
      <c r="HJ5" s="22">
        <f t="shared" si="30"/>
        <v>0</v>
      </c>
    </row>
    <row r="6" spans="1:218" x14ac:dyDescent="0.2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2.6676000000000002</v>
      </c>
      <c r="D6" s="11">
        <f t="shared" si="32"/>
        <v>1.0966608080083624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29.057451851292623</v>
      </c>
      <c r="H6" s="67">
        <f t="shared" si="1"/>
        <v>299.88942090728119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9.3968325791855207</v>
      </c>
      <c r="N6" s="13">
        <f>IF('Données projet'!$A$36&gt;35,N5+M6-V5,IF(A6&lt;'Données projet'!$A$36,$K$205^A6,IF(A6='Données projet'!$A$36,'Données projet'!$B$36,N5+M6-V5)))</f>
        <v>2.4481648641832221</v>
      </c>
      <c r="O6" s="13">
        <f>N6*VLOOKUP('Données projet'!$B$9,Paramètres!$A$1:$I$89,3,0)*VLOOKUP('Données projet'!$B$9,Paramètres!$A$1:$I$89,5,0)</f>
        <v>1.3685241590784212</v>
      </c>
      <c r="P6" s="13">
        <f t="shared" si="33"/>
        <v>0.60805763513553568</v>
      </c>
      <c r="Q6" s="20">
        <f t="shared" si="2"/>
        <v>3.4425466249226413</v>
      </c>
      <c r="R6" s="59">
        <f t="shared" si="0"/>
        <v>296.77587995825593</v>
      </c>
      <c r="S6" s="59">
        <f ca="1">AVERAGE(OFFSET($R$3,0,0,'Données projet'!$E$9+1,1))-AVERAGE(OFFSET($H$3,0,0,'Données projet'!$E$9+1,1))</f>
        <v>255.5374979188561</v>
      </c>
      <c r="T6" s="59">
        <f t="shared" si="34"/>
        <v>343.10418468620901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7.7987854251012134</v>
      </c>
      <c r="AI6" s="13">
        <f>IF('Données projet'!$A$62&gt;35,AI5+AH6-AQ5,IF(A6&lt;'Données projet'!$A$62,$AF$205^A6,IF(A6='Données projet'!$A$62,'Données projet'!$B$62,AI5+AH6-AQ5)))</f>
        <v>2.2016831932732788</v>
      </c>
      <c r="AJ6" s="13">
        <f>AI6*VLOOKUP('Données projet'!$B$10,Paramètres!$A$1:$I$89,3,0)*VLOOKUP('Données projet'!$B$10,Paramètres!$A$1:$I$89,5,0)</f>
        <v>1.2307409050397629</v>
      </c>
      <c r="AK6" s="13">
        <f t="shared" si="35"/>
        <v>0.55363470151801264</v>
      </c>
      <c r="AL6" s="20">
        <f t="shared" si="4"/>
        <v>3.1077875147547922</v>
      </c>
      <c r="AM6" s="59">
        <f t="shared" si="5"/>
        <v>296.44112084808813</v>
      </c>
      <c r="AN6" s="59">
        <f ca="1">AVERAGE(OFFSET($AM$3,0,0,'Données projet'!$E$10+1,1))-AVERAGE(OFFSET($H$3,0,0,'Données projet'!$E$10+1,1))</f>
        <v>224.7049802939942</v>
      </c>
      <c r="AO6" s="59">
        <f t="shared" si="36"/>
        <v>203.48513862195352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3.6</v>
      </c>
      <c r="BD6" s="12">
        <f>IF('Données projet'!$A$88&gt;35,BD5+BC6-BL5,IF(A6&lt;'Données projet'!$A$88,$BA$205^A6,IF(A6='Données projet'!$A$88,'Données projet'!$B$88,BD5+BC6-BL5)))</f>
        <v>2.9301560515835217</v>
      </c>
      <c r="BE6" s="13">
        <f>BD6*VLOOKUP('Données projet'!$B$11,Paramètres!$A$1:$I$89,3,0)*VLOOKUP('Données projet'!$B$11,Paramètres!$A$1:$I$89,5,0)</f>
        <v>1.5998652041646029</v>
      </c>
      <c r="BF6" s="13">
        <f t="shared" si="37"/>
        <v>0.6980397444734262</v>
      </c>
      <c r="BG6" s="20">
        <f t="shared" si="7"/>
        <v>4.0021844522112344</v>
      </c>
      <c r="BH6" s="59">
        <f t="shared" si="8"/>
        <v>297.33551778554454</v>
      </c>
      <c r="BI6" s="59">
        <f ca="1">AVERAGE(OFFSET($BH$3,0,0,'Données projet'!$E$11+1,1))-AVERAGE(OFFSET($H$3,0,0,'Données projet'!$E$11+1,1))</f>
        <v>210.04871822652808</v>
      </c>
      <c r="BJ6" s="59">
        <f t="shared" si="38"/>
        <v>250.17540614049324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2.2999999999999998</v>
      </c>
      <c r="BY6" s="12">
        <f>IF('Données projet'!$A$114&gt;35,BY5+BX6-CG5,IF(A6&lt;'Données projet'!$A$114,$BV$205^A6,IF(A6='Données projet'!$A$114,'Données projet'!$B$114,BY5+BX6-CG5)))</f>
        <v>2.5616415021458128</v>
      </c>
      <c r="BZ6" s="13">
        <f>BY6*VLOOKUP('Données projet'!$B$12,Paramètres!$A$1:$I$89,3,0)*VLOOKUP('Données projet'!$B$12,Paramètres!$A$1:$I$89,5,0)</f>
        <v>1.3986562601716137</v>
      </c>
      <c r="CA6" s="13">
        <f t="shared" si="39"/>
        <v>0.61987239863240495</v>
      </c>
      <c r="CB6" s="20">
        <f t="shared" si="10"/>
        <v>3.5156040807503324</v>
      </c>
      <c r="CC6" s="59">
        <f t="shared" si="11"/>
        <v>296.84893741408365</v>
      </c>
      <c r="CD6" s="59">
        <f ca="1">AVERAGE(OFFSET($CC$3,0,0,'Données projet'!$E$12+1,1))-AVERAGE(OFFSET($H$3,0,0,'Données projet'!$E$12+1,1))</f>
        <v>168.72306536277267</v>
      </c>
      <c r="CE6" s="59">
        <f t="shared" si="40"/>
        <v>203.35476578922339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5.6730769230769225</v>
      </c>
      <c r="CT6" s="12">
        <f>IF('Données projet'!$A$140&gt;35,CT5+CS6-DB5,IF(A6&lt;'Données projet'!$A$140,$CQ$205^A6,IF(A6='Données projet'!$A$140,'Données projet'!$B$140,CT5+CS6-DB5)))</f>
        <v>17.019230769230766</v>
      </c>
      <c r="CU6" s="17">
        <f>CT6*VLOOKUP('Données projet'!$B$13,Paramètres!$A$1:$I$89,3,0)*VLOOKUP('Données projet'!$B$13,Paramètres!$A$1:$I$89,5,0)</f>
        <v>8.1862499999999994</v>
      </c>
      <c r="CV6" s="13">
        <f t="shared" si="41"/>
        <v>2.9536156051531814</v>
      </c>
      <c r="CW6" s="20">
        <f t="shared" si="13"/>
        <v>19.401932595641792</v>
      </c>
      <c r="CX6" s="59">
        <f t="shared" si="14"/>
        <v>312.73526592897508</v>
      </c>
      <c r="CY6" s="59">
        <f ca="1">AVERAGE(OFFSET($CX$3,0,0,'Données projet'!$E$13+1,1))-AVERAGE(OFFSET($H$3,0,0,'Données projet'!$E$13+1,1))</f>
        <v>304.15237106473313</v>
      </c>
      <c r="CZ6" s="59">
        <f t="shared" si="42"/>
        <v>120.85458928724336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>
        <f>EXP(-LN(2)/35)*DF5+(1-EXP(-LN(2)/35))/(LN(2)/35)*DB6*DC6*VLOOKUP('Données projet'!$B$13,Paramètres!$A$1:$I$89,3,0)*0.475*44/12</f>
        <v>0</v>
      </c>
      <c r="DG6" s="21">
        <f>EXP(-LN(2)/25)*DG5+(1-EXP(-LN(2)/25))/(LN(2)/25)*Calculateur!DB6*Calculateur!DD6*VLOOKUP('Données projet'!$B$13,Paramètres!$A$1:$I$89,3,0)*0.475*44/12</f>
        <v>0</v>
      </c>
      <c r="DH6" s="21">
        <f>EXP(-LN(2)/2)*DH5+(1-EXP(-LN(2)/2))/(LN(2)/2)*DB6*DE6*VLOOKUP('Données projet'!$B$13,Paramètres!$A$1:$I$89,3,0)*0.475*44/12</f>
        <v>0</v>
      </c>
      <c r="DI6" s="22">
        <f t="shared" si="15"/>
        <v>0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3.8846153846153846</v>
      </c>
      <c r="DO6" s="12">
        <f>IF('Données projet'!$A$166&gt;35,DO5+DN6-DW5,IF(A6&lt;'Données projet'!$A$166,$DL$205^A6,IF(A6='Données projet'!$A$166,'Données projet'!$B$166,DO5+DN6-DW5)))</f>
        <v>11.653846153846153</v>
      </c>
      <c r="DP6" s="17">
        <f>DO6*VLOOKUP('Données projet'!$B$14,Paramètres!$A$1:$I$89,3,0)*VLOOKUP('Données projet'!$B$14,Paramètres!$A$1:$I$89,5,0)</f>
        <v>5.6055000000000001</v>
      </c>
      <c r="DQ6" s="13">
        <f t="shared" si="43"/>
        <v>2.1136238976025505</v>
      </c>
      <c r="DR6" s="20">
        <f t="shared" si="16"/>
        <v>13.444140788324439</v>
      </c>
      <c r="DS6" s="59">
        <f t="shared" si="17"/>
        <v>306.77747412165775</v>
      </c>
      <c r="DT6" s="59">
        <f ca="1">AVERAGE(OFFSET($DS$3,0,0,'Données projet'!$E$14+1,1))-AVERAGE(OFFSET($H$3,0,0,'Données projet'!$E$14+1,1))</f>
        <v>91.053246648097399</v>
      </c>
      <c r="DU6" s="59">
        <f t="shared" si="44"/>
        <v>64.716270355703955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>
        <f>EXP(-LN(2)/35)*EA5+(1-EXP(-LN(2)/35))/(LN(2)/35)*DW6*DX6*VLOOKUP('Données projet'!$B$14,Paramètres!$A$1:$I$89,3,0)*0.475*44/12</f>
        <v>0</v>
      </c>
      <c r="EB6" s="21">
        <f>EXP(-LN(2)/25)*EB5+(1-EXP(-LN(2)/25))/(LN(2)/25)*Calculateur!DW6*Calculateur!DY6*VLOOKUP('Données projet'!$B$14,Paramètres!$A$1:$I$89,3,0)*0.475*44/12</f>
        <v>0</v>
      </c>
      <c r="EC6" s="21">
        <f>EXP(-LN(2)/2)*EC5+(1-EXP(-LN(2)/2))/(LN(2)/2)*DW6*DZ6*VLOOKUP('Données projet'!$B$14,Paramètres!$A$1:$I$89,3,0)*0.475*44/12</f>
        <v>0</v>
      </c>
      <c r="ED6" s="22">
        <f t="shared" si="18"/>
        <v>0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5.3</v>
      </c>
      <c r="EJ6" s="12">
        <f>IF('Données projet'!$A$192&gt;35,EJ5+EI6-ER5,IF(A6&lt;'Données projet'!$A$192,$EG$205^A6,IF(A6='Données projet'!$A$192,'Données projet'!$B$192,EJ5+EI6-ER5)))</f>
        <v>2.0127780134861233</v>
      </c>
      <c r="EK6" s="17">
        <f>EJ6*VLOOKUP('Données projet'!$B$15,Paramètres!$A$1:$I$89,3,0)*VLOOKUP('Données projet'!$B$15,Paramètres!$A$1:$I$89,5,0)</f>
        <v>1.2036412520647017</v>
      </c>
      <c r="EL6" s="13">
        <f t="shared" si="45"/>
        <v>0.54284928534933019</v>
      </c>
      <c r="EM6" s="20">
        <f t="shared" si="19"/>
        <v>3.0418043526627723</v>
      </c>
      <c r="EN6" s="59">
        <f t="shared" si="20"/>
        <v>296.37513768599609</v>
      </c>
      <c r="EO6" s="59">
        <f ca="1">AVERAGE(OFFSET($EN$3,0,0,'Données projet'!$E$15+1,1))-AVERAGE(OFFSET($H$3,0,0,'Données projet'!$E$15+1,1))</f>
        <v>316.58509520829671</v>
      </c>
      <c r="EP6" s="59">
        <f t="shared" si="46"/>
        <v>240.71332110643596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>
        <f>EXP(-LN(2)/35)*EV5+(1-EXP(-LN(2)/35))/(LN(2)/35)*ER6*ES6*VLOOKUP('Données projet'!$B$15,Paramètres!$A$1:$I$89,3,0)*0.475*44/12</f>
        <v>0</v>
      </c>
      <c r="EW6" s="21">
        <f>EXP(-LN(2)/25)*EW5+(1-EXP(-LN(2)/25))/(LN(2)/25)*Calculateur!ER6*Calculateur!ET6*VLOOKUP('Données projet'!$B$15,Paramètres!$A$1:$I$89,3,0)*0.475*44/12</f>
        <v>0</v>
      </c>
      <c r="EX6" s="21">
        <f>EXP(-LN(2)/2)*EX5+(1-EXP(-LN(2)/2))/(LN(2)/2)*ER6*EU6*VLOOKUP('Données projet'!$B$15,Paramètres!$A$1:$I$89,3,0)*0.475*44/12</f>
        <v>0</v>
      </c>
      <c r="EY6" s="22">
        <f t="shared" si="21"/>
        <v>0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4.3499999999999996</v>
      </c>
      <c r="FE6" s="12">
        <f>IF('Données projet'!$A$218&gt;35,FE5+FD6-FM5,IF(A6&lt;'Données projet'!$A$218,$FB$205^A6,IF(A6='Données projet'!$A$218,'Données projet'!$B$218,FE5+FD6-FM5)))</f>
        <v>1.954014975860412</v>
      </c>
      <c r="FF6" s="17">
        <f>FE6*VLOOKUP('Données projet'!$B$16,Paramètres!$A$1:$I$89,3,0)*VLOOKUP('Données projet'!$B$16,Paramètres!$A$1:$I$89,5,0)</f>
        <v>1.1685009555645265</v>
      </c>
      <c r="FG6" s="13">
        <f t="shared" si="47"/>
        <v>0.52882151105555386</v>
      </c>
      <c r="FH6" s="20">
        <f t="shared" si="22"/>
        <v>2.9561699626966398</v>
      </c>
      <c r="FI6" s="59">
        <f t="shared" si="23"/>
        <v>296.28950329602998</v>
      </c>
      <c r="FJ6" s="59">
        <f ca="1">AVERAGE(OFFSET($FI$3,0,0,'Données projet'!$E$16+1,1))-AVERAGE(OFFSET($H$3,0,0,'Données projet'!$E$16+1,1))</f>
        <v>270.30888762640245</v>
      </c>
      <c r="FK6" s="59">
        <f t="shared" si="48"/>
        <v>202.23783851977691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>
        <f>EXP(-LN(2)/35)*FQ5+(1-EXP(-LN(2)/35))/(LN(2)/35)*FM6*FN6*VLOOKUP('Données projet'!$B$16,Paramètres!$A$1:$I$89,3,0)*0.475*44/12</f>
        <v>0</v>
      </c>
      <c r="FR6" s="21">
        <f>EXP(-LN(2)/25)*FR5+(1-EXP(-LN(2)/25))/(LN(2)/25)*Calculateur!FM6*Calculateur!FO6*VLOOKUP('Données projet'!$B$16,Paramètres!$A$1:$I$89,3,0)*0.475*44/12</f>
        <v>0</v>
      </c>
      <c r="FS6" s="21">
        <f>EXP(-LN(2)/2)*FS5+(1-EXP(-LN(2)/2))/(LN(2)/2)*FM6*FP6*VLOOKUP('Données projet'!$B$16,Paramètres!$A$1:$I$89,3,0)*0.475*44/12</f>
        <v>0</v>
      </c>
      <c r="FT6" s="22">
        <f t="shared" si="24"/>
        <v>0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1.1000000000000001</v>
      </c>
      <c r="FZ6" s="12">
        <f>IF('Données projet'!$A$244&gt;35,FZ5+FY6-GH5,IF(A6&lt;'Données projet'!$A$244,$FW$205^A6,IF(A6='Données projet'!$A$244,'Données projet'!$B$244,FZ5+FY6-GH5)))</f>
        <v>2.0531364136588448</v>
      </c>
      <c r="GA6" s="17">
        <f>FZ6*VLOOKUP('Données projet'!$B$17,Paramètres!$A$1:$I$89,3,0)*VLOOKUP('Données projet'!$B$17,Paramètres!$A$1:$I$89,5,0)</f>
        <v>1.6334753307069771</v>
      </c>
      <c r="GB6" s="13">
        <f t="shared" si="49"/>
        <v>0.71098156578295024</v>
      </c>
      <c r="GC6" s="20">
        <f t="shared" si="25"/>
        <v>4.0832624280532892</v>
      </c>
      <c r="GD6" s="59">
        <f t="shared" si="26"/>
        <v>297.41659576138659</v>
      </c>
      <c r="GE6" s="59">
        <f ca="1">AVERAGE(OFFSET($GD$3,0,0,'Données projet'!$E$17+1,1))-AVERAGE(OFFSET($H$3,0,0,'Données projet'!$E$17+1,1))</f>
        <v>260.20517190557814</v>
      </c>
      <c r="GF6" s="59">
        <f t="shared" si="50"/>
        <v>307.22009971147133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>
        <f>EXP(-LN(2)/35)*GL5+(1-EXP(-LN(2)/35))/(LN(2)/35)*GH6*GI6*VLOOKUP('Données projet'!$B$17,Paramètres!$A$1:$I$89,3,0)*0.475*44/12</f>
        <v>0</v>
      </c>
      <c r="GM6" s="21">
        <f>EXP(-LN(2)/25)*GM5+(1-EXP(-LN(2)/25))/(LN(2)/25)*Calculateur!GH6*Calculateur!GJ6*VLOOKUP('Données projet'!$B$17,Paramètres!$A$1:$I$89,3,0)*0.475*44/12</f>
        <v>0</v>
      </c>
      <c r="GN6" s="21">
        <f>EXP(-LN(2)/2)*GN5+(1-EXP(-LN(2)/2))/(LN(2)/2)*GH6*GK6*VLOOKUP('Données projet'!$B$17,Paramètres!$A$1:$I$89,3,0)*0.475*44/12</f>
        <v>0</v>
      </c>
      <c r="GO6" s="21">
        <f t="shared" si="27"/>
        <v>0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4.75</v>
      </c>
      <c r="GU6" s="12">
        <f>IF('Données projet'!$A$270&gt;35,GU5+GT6-HC5,IF(A6&lt;'Données projet'!$A$270,$GR$205^A6,IF(A6='Données projet'!$A$270,'Données projet'!$B$270,GU5+GT6-HC5)))</f>
        <v>1.9799696845186814</v>
      </c>
      <c r="GV6" s="17">
        <f>GU6*VLOOKUP('Données projet'!$B$18,Paramètres!$A$1:$I$89,3,0)*VLOOKUP('Données projet'!$B$18,Paramètres!$A$1:$I$89,5,0)</f>
        <v>1.575263881003063</v>
      </c>
      <c r="GW6" s="13">
        <f t="shared" si="51"/>
        <v>0.68854678408274117</v>
      </c>
      <c r="GX6" s="20">
        <f t="shared" si="28"/>
        <v>3.9428035750244419</v>
      </c>
      <c r="GY6" s="59">
        <f t="shared" si="29"/>
        <v>297.27613690835778</v>
      </c>
      <c r="GZ6" s="59">
        <f ca="1">AVERAGE(OFFSET($GY$3,0,0,'Données projet'!$E$18+1,1))-AVERAGE(OFFSET($H$3,0,0,'Données projet'!$E$18+1,1))</f>
        <v>199.58763537752952</v>
      </c>
      <c r="HA6" s="59">
        <f t="shared" si="52"/>
        <v>242.62852778451929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>
        <f>EXP(-LN(2)/35)*HG5+(1-EXP(-LN(2)/35))/(LN(2)/35)*HC6*HD6*VLOOKUP('Données projet'!$B$18,Paramètres!$A$1:$I$89,3,0)*0.475*44/12</f>
        <v>0</v>
      </c>
      <c r="HH6" s="21">
        <f>EXP(-LN(2)/25)*HH5+(1-EXP(-LN(2)/25))/(LN(2)/25)*Calculateur!HC6*Calculateur!HE6*VLOOKUP('Données projet'!$B$18,Paramètres!$A$1:$I$89,3,0)*0.475*44/12</f>
        <v>0</v>
      </c>
      <c r="HI6" s="21">
        <f>EXP(-LN(2)/2)*HI5+(1-EXP(-LN(2)/2))/(LN(2)/2)*HC6*HF6*VLOOKUP('Données projet'!$B$18,Paramètres!$A$1:$I$89,3,0)*0.475*44/12</f>
        <v>0</v>
      </c>
      <c r="HJ6" s="22">
        <f t="shared" si="30"/>
        <v>0</v>
      </c>
    </row>
    <row r="7" spans="1:218" x14ac:dyDescent="0.2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3.5568</v>
      </c>
      <c r="D7" s="11">
        <f t="shared" si="32"/>
        <v>1.4140611505968179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38.37155975899298</v>
      </c>
      <c r="H7" s="67">
        <f t="shared" si="1"/>
        <v>301.9909165039561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9.3968325791855207</v>
      </c>
      <c r="N7" s="13">
        <f>IF('Données projet'!$A$36&gt;35,N6+M7-V6,IF(A7&lt;'Données projet'!$A$36,$K$205^A7,IF(A7='Données projet'!$A$36,'Données projet'!$B$36,N6+M7-V6)))</f>
        <v>3.2995462042403512</v>
      </c>
      <c r="O7" s="13">
        <f>N7*VLOOKUP('Données projet'!$B$9,Paramètres!$A$1:$I$89,3,0)*VLOOKUP('Données projet'!$B$9,Paramètres!$A$1:$I$89,5,0)</f>
        <v>1.8444463281703563</v>
      </c>
      <c r="P7" s="13">
        <f t="shared" si="33"/>
        <v>0.79153711206256949</v>
      </c>
      <c r="Q7" s="20">
        <f t="shared" si="2"/>
        <v>4.591004491739012</v>
      </c>
      <c r="R7" s="59">
        <f t="shared" si="0"/>
        <v>297.92433782507231</v>
      </c>
      <c r="S7" s="59">
        <f ca="1">AVERAGE(OFFSET($R$3,0,0,'Données projet'!$E$9+1,1))-AVERAGE(OFFSET($H$3,0,0,'Données projet'!$E$9+1,1))</f>
        <v>255.5374979188561</v>
      </c>
      <c r="T7" s="59">
        <f t="shared" si="34"/>
        <v>343.10418468620901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7.7987854251012134</v>
      </c>
      <c r="AI7" s="13">
        <f>IF('Données projet'!$A$62&gt;35,AI6+AH7-AQ6,IF(A7&lt;'Données projet'!$A$62,$AF$205^A7,IF(A7='Données projet'!$A$62,'Données projet'!$B$62,AI6+AH7-AQ6)))</f>
        <v>2.8642204175736459</v>
      </c>
      <c r="AJ7" s="13">
        <f>AI7*VLOOKUP('Données projet'!$B$10,Paramètres!$A$1:$I$89,3,0)*VLOOKUP('Données projet'!$B$10,Paramètres!$A$1:$I$89,5,0)</f>
        <v>1.6010992134236679</v>
      </c>
      <c r="AK7" s="13">
        <f t="shared" si="35"/>
        <v>0.69851546445430523</v>
      </c>
      <c r="AL7" s="20">
        <f t="shared" si="4"/>
        <v>4.0051622306374703</v>
      </c>
      <c r="AM7" s="59">
        <f t="shared" si="5"/>
        <v>297.33849556397081</v>
      </c>
      <c r="AN7" s="59">
        <f ca="1">AVERAGE(OFFSET($AM$3,0,0,'Données projet'!$E$10+1,1))-AVERAGE(OFFSET($H$3,0,0,'Données projet'!$E$10+1,1))</f>
        <v>224.7049802939942</v>
      </c>
      <c r="AO7" s="59">
        <f t="shared" si="36"/>
        <v>203.48513862195352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3.6</v>
      </c>
      <c r="BD7" s="12">
        <f>IF('Données projet'!$A$88&gt;35,BD6+BC7-BL6,IF(A7&lt;'Données projet'!$A$88,$BA$205^A7,IF(A7='Données projet'!$A$88,'Données projet'!$B$88,BD6+BC7-BL6)))</f>
        <v>4.192962712629476</v>
      </c>
      <c r="BE7" s="13">
        <f>BD7*VLOOKUP('Données projet'!$B$11,Paramètres!$A$1:$I$89,3,0)*VLOOKUP('Données projet'!$B$11,Paramètres!$A$1:$I$89,5,0)</f>
        <v>2.2893576410956937</v>
      </c>
      <c r="BF7" s="13">
        <f t="shared" si="37"/>
        <v>0.95806514341623272</v>
      </c>
      <c r="BG7" s="20">
        <f t="shared" si="7"/>
        <v>5.6559280163582706</v>
      </c>
      <c r="BH7" s="59">
        <f t="shared" si="8"/>
        <v>298.98926134969156</v>
      </c>
      <c r="BI7" s="59">
        <f ca="1">AVERAGE(OFFSET($BH$3,0,0,'Données projet'!$E$11+1,1))-AVERAGE(OFFSET($H$3,0,0,'Données projet'!$E$11+1,1))</f>
        <v>210.04871822652808</v>
      </c>
      <c r="BJ7" s="59">
        <f t="shared" si="38"/>
        <v>250.17540614049324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2.2999999999999998</v>
      </c>
      <c r="BY7" s="12">
        <f>IF('Données projet'!$A$114&gt;35,BY6+BX7-CG6,IF(A7&lt;'Données projet'!$A$114,$BV$205^A7,IF(A7='Données projet'!$A$114,'Données projet'!$B$114,BY6+BX7-CG6)))</f>
        <v>3.5050251165172894</v>
      </c>
      <c r="BZ7" s="13">
        <f>BY7*VLOOKUP('Données projet'!$B$12,Paramètres!$A$1:$I$89,3,0)*VLOOKUP('Données projet'!$B$12,Paramètres!$A$1:$I$89,5,0)</f>
        <v>1.9137437136184399</v>
      </c>
      <c r="CA7" s="13">
        <f t="shared" si="39"/>
        <v>0.81775756479591588</v>
      </c>
      <c r="CB7" s="20">
        <f t="shared" si="10"/>
        <v>4.7573647265716694</v>
      </c>
      <c r="CC7" s="59">
        <f t="shared" si="11"/>
        <v>298.09069805990498</v>
      </c>
      <c r="CD7" s="59">
        <f ca="1">AVERAGE(OFFSET($CC$3,0,0,'Données projet'!$E$12+1,1))-AVERAGE(OFFSET($H$3,0,0,'Données projet'!$E$12+1,1))</f>
        <v>168.72306536277267</v>
      </c>
      <c r="CE7" s="59">
        <f t="shared" si="40"/>
        <v>203.35476578922339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5.6730769230769225</v>
      </c>
      <c r="CT7" s="12">
        <f>IF('Données projet'!$A$140&gt;35,CT6+CS7-DB6,IF(A7&lt;'Données projet'!$A$140,$CQ$205^A7,IF(A7='Données projet'!$A$140,'Données projet'!$B$140,CT6+CS7-DB6)))</f>
        <v>22.69230769230769</v>
      </c>
      <c r="CU7" s="17">
        <f>CT7*VLOOKUP('Données projet'!$B$13,Paramètres!$A$1:$I$89,3,0)*VLOOKUP('Données projet'!$B$13,Paramètres!$A$1:$I$89,5,0)</f>
        <v>10.914999999999999</v>
      </c>
      <c r="CV7" s="13">
        <f t="shared" si="41"/>
        <v>3.8084638846798091</v>
      </c>
      <c r="CW7" s="20">
        <f t="shared" si="13"/>
        <v>25.643366265817331</v>
      </c>
      <c r="CX7" s="59">
        <f t="shared" si="14"/>
        <v>318.97669959915066</v>
      </c>
      <c r="CY7" s="59">
        <f ca="1">AVERAGE(OFFSET($CX$3,0,0,'Données projet'!$E$13+1,1))-AVERAGE(OFFSET($H$3,0,0,'Données projet'!$E$13+1,1))</f>
        <v>304.15237106473313</v>
      </c>
      <c r="CZ7" s="59">
        <f t="shared" si="42"/>
        <v>120.85458928724336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>
        <f>EXP(-LN(2)/35)*DF6+(1-EXP(-LN(2)/35))/(LN(2)/35)*DB7*DC7*VLOOKUP('Données projet'!$B$13,Paramètres!$A$1:$I$89,3,0)*0.475*44/12</f>
        <v>0</v>
      </c>
      <c r="DG7" s="21">
        <f>EXP(-LN(2)/25)*DG6+(1-EXP(-LN(2)/25))/(LN(2)/25)*Calculateur!DB7*Calculateur!DD7*VLOOKUP('Données projet'!$B$13,Paramètres!$A$1:$I$89,3,0)*0.475*44/12</f>
        <v>0</v>
      </c>
      <c r="DH7" s="21">
        <f>EXP(-LN(2)/2)*DH6+(1-EXP(-LN(2)/2))/(LN(2)/2)*DB7*DE7*VLOOKUP('Données projet'!$B$13,Paramètres!$A$1:$I$89,3,0)*0.475*44/12</f>
        <v>0</v>
      </c>
      <c r="DI7" s="22">
        <f t="shared" si="15"/>
        <v>0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3.8846153846153846</v>
      </c>
      <c r="DO7" s="12">
        <f>IF('Données projet'!$A$166&gt;35,DO6+DN7-DW6,IF(A7&lt;'Données projet'!$A$166,$DL$205^A7,IF(A7='Données projet'!$A$166,'Données projet'!$B$166,DO6+DN7-DW6)))</f>
        <v>15.538461538461538</v>
      </c>
      <c r="DP7" s="17">
        <f>DO7*VLOOKUP('Données projet'!$B$14,Paramètres!$A$1:$I$89,3,0)*VLOOKUP('Données projet'!$B$14,Paramètres!$A$1:$I$89,5,0)</f>
        <v>7.4739999999999993</v>
      </c>
      <c r="DQ7" s="13">
        <f t="shared" si="43"/>
        <v>2.7253581223539118</v>
      </c>
      <c r="DR7" s="20">
        <f t="shared" si="16"/>
        <v>17.763882063099725</v>
      </c>
      <c r="DS7" s="59">
        <f t="shared" si="17"/>
        <v>311.09721539643306</v>
      </c>
      <c r="DT7" s="59">
        <f ca="1">AVERAGE(OFFSET($DS$3,0,0,'Données projet'!$E$14+1,1))-AVERAGE(OFFSET($H$3,0,0,'Données projet'!$E$14+1,1))</f>
        <v>91.053246648097399</v>
      </c>
      <c r="DU7" s="59">
        <f t="shared" si="44"/>
        <v>64.716270355703955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>
        <f>EXP(-LN(2)/35)*EA6+(1-EXP(-LN(2)/35))/(LN(2)/35)*DW7*DX7*VLOOKUP('Données projet'!$B$14,Paramètres!$A$1:$I$89,3,0)*0.475*44/12</f>
        <v>0</v>
      </c>
      <c r="EB7" s="21">
        <f>EXP(-LN(2)/25)*EB6+(1-EXP(-LN(2)/25))/(LN(2)/25)*Calculateur!DW7*Calculateur!DY7*VLOOKUP('Données projet'!$B$14,Paramètres!$A$1:$I$89,3,0)*0.475*44/12</f>
        <v>0</v>
      </c>
      <c r="EC7" s="21">
        <f>EXP(-LN(2)/2)*EC6+(1-EXP(-LN(2)/2))/(LN(2)/2)*DW7*DZ7*VLOOKUP('Données projet'!$B$14,Paramètres!$A$1:$I$89,3,0)*0.475*44/12</f>
        <v>0</v>
      </c>
      <c r="ED7" s="22">
        <f t="shared" si="18"/>
        <v>0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5.3</v>
      </c>
      <c r="EJ7" s="12">
        <f>IF('Données projet'!$A$192&gt;35,EJ6+EI7-ER6,IF(A7&lt;'Données projet'!$A$192,$EG$205^A7,IF(A7='Données projet'!$A$192,'Données projet'!$B$192,EJ6+EI7-ER6)))</f>
        <v>2.5413306424150424</v>
      </c>
      <c r="EK7" s="17">
        <f>EJ7*VLOOKUP('Données projet'!$B$15,Paramètres!$A$1:$I$89,3,0)*VLOOKUP('Données projet'!$B$15,Paramètres!$A$1:$I$89,5,0)</f>
        <v>1.5197157241641954</v>
      </c>
      <c r="EL7" s="13">
        <f t="shared" si="45"/>
        <v>0.66704830286084227</v>
      </c>
      <c r="EM7" s="20">
        <f t="shared" si="19"/>
        <v>3.8086140137352733</v>
      </c>
      <c r="EN7" s="59">
        <f t="shared" si="20"/>
        <v>297.14194734706859</v>
      </c>
      <c r="EO7" s="59">
        <f ca="1">AVERAGE(OFFSET($EN$3,0,0,'Données projet'!$E$15+1,1))-AVERAGE(OFFSET($H$3,0,0,'Données projet'!$E$15+1,1))</f>
        <v>316.58509520829671</v>
      </c>
      <c r="EP7" s="59">
        <f t="shared" si="46"/>
        <v>240.71332110643596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>
        <f>EXP(-LN(2)/35)*EV6+(1-EXP(-LN(2)/35))/(LN(2)/35)*ER7*ES7*VLOOKUP('Données projet'!$B$15,Paramètres!$A$1:$I$89,3,0)*0.475*44/12</f>
        <v>0</v>
      </c>
      <c r="EW7" s="21">
        <f>EXP(-LN(2)/25)*EW6+(1-EXP(-LN(2)/25))/(LN(2)/25)*Calculateur!ER7*Calculateur!ET7*VLOOKUP('Données projet'!$B$15,Paramètres!$A$1:$I$89,3,0)*0.475*44/12</f>
        <v>0</v>
      </c>
      <c r="EX7" s="21">
        <f>EXP(-LN(2)/2)*EX6+(1-EXP(-LN(2)/2))/(LN(2)/2)*ER7*EU7*VLOOKUP('Données projet'!$B$15,Paramètres!$A$1:$I$89,3,0)*0.475*44/12</f>
        <v>0</v>
      </c>
      <c r="EY7" s="22">
        <f t="shared" si="21"/>
        <v>0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4.3499999999999996</v>
      </c>
      <c r="FE7" s="12">
        <f>IF('Données projet'!$A$218&gt;35,FE6+FD7-FM6,IF(A7&lt;'Données projet'!$A$218,$FB$205^A7,IF(A7='Données projet'!$A$218,'Données projet'!$B$218,FE6+FD7-FM6)))</f>
        <v>2.4428896557373934</v>
      </c>
      <c r="FF7" s="17">
        <f>FE7*VLOOKUP('Données projet'!$B$16,Paramètres!$A$1:$I$89,3,0)*VLOOKUP('Données projet'!$B$16,Paramètres!$A$1:$I$89,5,0)</f>
        <v>1.4608480141309614</v>
      </c>
      <c r="FG7" s="13">
        <f t="shared" si="47"/>
        <v>0.64416492458434726</v>
      </c>
      <c r="FH7" s="20">
        <f t="shared" si="22"/>
        <v>3.6662308682624953</v>
      </c>
      <c r="FI7" s="59">
        <f t="shared" si="23"/>
        <v>296.99956420159583</v>
      </c>
      <c r="FJ7" s="59">
        <f ca="1">AVERAGE(OFFSET($FI$3,0,0,'Données projet'!$E$16+1,1))-AVERAGE(OFFSET($H$3,0,0,'Données projet'!$E$16+1,1))</f>
        <v>270.30888762640245</v>
      </c>
      <c r="FK7" s="59">
        <f t="shared" si="48"/>
        <v>202.23783851977691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>
        <f>EXP(-LN(2)/35)*FQ6+(1-EXP(-LN(2)/35))/(LN(2)/35)*FM7*FN7*VLOOKUP('Données projet'!$B$16,Paramètres!$A$1:$I$89,3,0)*0.475*44/12</f>
        <v>0</v>
      </c>
      <c r="FR7" s="21">
        <f>EXP(-LN(2)/25)*FR6+(1-EXP(-LN(2)/25))/(LN(2)/25)*Calculateur!FM7*Calculateur!FO7*VLOOKUP('Données projet'!$B$16,Paramètres!$A$1:$I$89,3,0)*0.475*44/12</f>
        <v>0</v>
      </c>
      <c r="FS7" s="21">
        <f>EXP(-LN(2)/2)*FS6+(1-EXP(-LN(2)/2))/(LN(2)/2)*FM7*FP7*VLOOKUP('Données projet'!$B$16,Paramètres!$A$1:$I$89,3,0)*0.475*44/12</f>
        <v>0</v>
      </c>
      <c r="FT7" s="22">
        <f t="shared" si="24"/>
        <v>0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1.1000000000000001</v>
      </c>
      <c r="FZ7" s="12">
        <f>IF('Données projet'!$A$244&gt;35,FZ6+FY7-GH6,IF(A7&lt;'Données projet'!$A$244,$FW$205^A7,IF(A7='Données projet'!$A$244,'Données projet'!$B$244,FZ6+FY7-GH6)))</f>
        <v>2.6094986352788743</v>
      </c>
      <c r="GA7" s="17">
        <f>FZ7*VLOOKUP('Données projet'!$B$17,Paramètres!$A$1:$I$89,3,0)*VLOOKUP('Données projet'!$B$17,Paramètres!$A$1:$I$89,5,0)</f>
        <v>2.0761171142278725</v>
      </c>
      <c r="GB7" s="13">
        <f t="shared" si="49"/>
        <v>0.87877116536856548</v>
      </c>
      <c r="GC7" s="20">
        <f t="shared" si="25"/>
        <v>5.14643042029713</v>
      </c>
      <c r="GD7" s="59">
        <f t="shared" si="26"/>
        <v>298.47976375363044</v>
      </c>
      <c r="GE7" s="59">
        <f ca="1">AVERAGE(OFFSET($GD$3,0,0,'Données projet'!$E$17+1,1))-AVERAGE(OFFSET($H$3,0,0,'Données projet'!$E$17+1,1))</f>
        <v>260.20517190557814</v>
      </c>
      <c r="GF7" s="59">
        <f t="shared" si="50"/>
        <v>307.22009971147133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>
        <f>EXP(-LN(2)/35)*GL6+(1-EXP(-LN(2)/35))/(LN(2)/35)*GH7*GI7*VLOOKUP('Données projet'!$B$17,Paramètres!$A$1:$I$89,3,0)*0.475*44/12</f>
        <v>0</v>
      </c>
      <c r="GM7" s="21">
        <f>EXP(-LN(2)/25)*GM6+(1-EXP(-LN(2)/25))/(LN(2)/25)*Calculateur!GH7*Calculateur!GJ7*VLOOKUP('Données projet'!$B$17,Paramètres!$A$1:$I$89,3,0)*0.475*44/12</f>
        <v>0</v>
      </c>
      <c r="GN7" s="21">
        <f>EXP(-LN(2)/2)*GN6+(1-EXP(-LN(2)/2))/(LN(2)/2)*GH7*GK7*VLOOKUP('Données projet'!$B$17,Paramètres!$A$1:$I$89,3,0)*0.475*44/12</f>
        <v>0</v>
      </c>
      <c r="GO7" s="21">
        <f t="shared" si="27"/>
        <v>0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4.75</v>
      </c>
      <c r="GU7" s="12">
        <f>IF('Données projet'!$A$270&gt;35,GU6+GT7-HC6,IF(A7&lt;'Données projet'!$A$270,$GR$205^A7,IF(A7='Données projet'!$A$270,'Données projet'!$B$270,GU6+GT7-HC6)))</f>
        <v>2.4862495702121006</v>
      </c>
      <c r="GV7" s="17">
        <f>GU7*VLOOKUP('Données projet'!$B$18,Paramètres!$A$1:$I$89,3,0)*VLOOKUP('Données projet'!$B$18,Paramètres!$A$1:$I$89,5,0)</f>
        <v>1.9780601580607473</v>
      </c>
      <c r="GW7" s="13">
        <f t="shared" si="51"/>
        <v>0.84199455516247157</v>
      </c>
      <c r="GX7" s="20">
        <f t="shared" si="28"/>
        <v>4.9115952921971058</v>
      </c>
      <c r="GY7" s="59">
        <f t="shared" si="29"/>
        <v>298.24492862553041</v>
      </c>
      <c r="GZ7" s="59">
        <f ca="1">AVERAGE(OFFSET($GY$3,0,0,'Données projet'!$E$18+1,1))-AVERAGE(OFFSET($H$3,0,0,'Données projet'!$E$18+1,1))</f>
        <v>199.58763537752952</v>
      </c>
      <c r="HA7" s="59">
        <f t="shared" si="52"/>
        <v>242.62852778451929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>
        <f>EXP(-LN(2)/35)*HG6+(1-EXP(-LN(2)/35))/(LN(2)/35)*HC7*HD7*VLOOKUP('Données projet'!$B$18,Paramètres!$A$1:$I$89,3,0)*0.475*44/12</f>
        <v>0</v>
      </c>
      <c r="HH7" s="21">
        <f>EXP(-LN(2)/25)*HH6+(1-EXP(-LN(2)/25))/(LN(2)/25)*Calculateur!HC7*Calculateur!HE7*VLOOKUP('Données projet'!$B$18,Paramètres!$A$1:$I$89,3,0)*0.475*44/12</f>
        <v>0</v>
      </c>
      <c r="HI7" s="21">
        <f>EXP(-LN(2)/2)*HI6+(1-EXP(-LN(2)/2))/(LN(2)/2)*HC7*HF7*VLOOKUP('Données projet'!$B$18,Paramètres!$A$1:$I$89,3,0)*0.475*44/12</f>
        <v>0</v>
      </c>
      <c r="HJ7" s="22">
        <f t="shared" si="30"/>
        <v>0</v>
      </c>
    </row>
    <row r="8" spans="1:218" x14ac:dyDescent="0.2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4.4459999999999997</v>
      </c>
      <c r="D8" s="11">
        <f t="shared" si="32"/>
        <v>1.7222566815192897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47.614612980148905</v>
      </c>
      <c r="H8" s="67">
        <f t="shared" si="1"/>
        <v>304.07638038697939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9.3968325791855207</v>
      </c>
      <c r="N8" s="13">
        <f>IF('Données projet'!$A$36&gt;35,N7+M8-V7,IF(A8&lt;'Données projet'!$A$36,$K$205^A8,IF(A8='Données projet'!$A$36,'Données projet'!$B$36,N7+M8-V7)))</f>
        <v>4.4470065366897273</v>
      </c>
      <c r="O8" s="13">
        <f>N8*VLOOKUP('Données projet'!$B$9,Paramètres!$A$1:$I$89,3,0)*VLOOKUP('Données projet'!$B$9,Paramètres!$A$1:$I$89,5,0)</f>
        <v>2.4858766540095578</v>
      </c>
      <c r="P8" s="13">
        <f t="shared" si="33"/>
        <v>1.0303809434654976</v>
      </c>
      <c r="Q8" s="20">
        <f t="shared" si="2"/>
        <v>6.124148648935722</v>
      </c>
      <c r="R8" s="59">
        <f t="shared" si="0"/>
        <v>299.45748198226903</v>
      </c>
      <c r="S8" s="59">
        <f ca="1">AVERAGE(OFFSET($R$3,0,0,'Données projet'!$E$9+1,1))-AVERAGE(OFFSET($H$3,0,0,'Données projet'!$E$9+1,1))</f>
        <v>255.5374979188561</v>
      </c>
      <c r="T8" s="59">
        <f t="shared" si="34"/>
        <v>343.10418468620901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7.7987854251012134</v>
      </c>
      <c r="AI8" s="13">
        <f>IF('Données projet'!$A$62&gt;35,AI7+AH8-AQ7,IF(A8&lt;'Données projet'!$A$62,$AF$205^A8,IF(A8='Données projet'!$A$62,'Données projet'!$B$62,AI7+AH8-AQ7)))</f>
        <v>3.7261303649455062</v>
      </c>
      <c r="AJ8" s="13">
        <f>AI8*VLOOKUP('Données projet'!$B$10,Paramètres!$A$1:$I$89,3,0)*VLOOKUP('Données projet'!$B$10,Paramètres!$A$1:$I$89,5,0)</f>
        <v>2.082906874004538</v>
      </c>
      <c r="AK8" s="13">
        <f t="shared" si="35"/>
        <v>0.88131009986182929</v>
      </c>
      <c r="AL8" s="20">
        <f t="shared" si="4"/>
        <v>5.1626778961505897</v>
      </c>
      <c r="AM8" s="59">
        <f t="shared" si="5"/>
        <v>298.49601122948388</v>
      </c>
      <c r="AN8" s="59">
        <f ca="1">AVERAGE(OFFSET($AM$3,0,0,'Données projet'!$E$10+1,1))-AVERAGE(OFFSET($H$3,0,0,'Données projet'!$E$10+1,1))</f>
        <v>224.7049802939942</v>
      </c>
      <c r="AO8" s="59">
        <f t="shared" si="36"/>
        <v>203.48513862195352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3.6</v>
      </c>
      <c r="BD8" s="12">
        <f>IF('Données projet'!$A$88&gt;35,BD7+BC8-BL7,IF(A8&lt;'Données projet'!$A$88,$BA$205^A8,IF(A8='Données projet'!$A$88,'Données projet'!$B$88,BD7+BC8-BL7)))</f>
        <v>6.0000000000000009</v>
      </c>
      <c r="BE8" s="13">
        <f>BD8*VLOOKUP('Données projet'!$B$11,Paramètres!$A$1:$I$89,3,0)*VLOOKUP('Données projet'!$B$11,Paramètres!$A$1:$I$89,5,0)</f>
        <v>3.2760000000000007</v>
      </c>
      <c r="BF8" s="13">
        <f t="shared" si="37"/>
        <v>1.3149520873221716</v>
      </c>
      <c r="BG8" s="20">
        <f t="shared" si="7"/>
        <v>7.9959082187527839</v>
      </c>
      <c r="BH8" s="59">
        <f t="shared" si="8"/>
        <v>301.3292415520861</v>
      </c>
      <c r="BI8" s="59">
        <f ca="1">AVERAGE(OFFSET($BH$3,0,0,'Données projet'!$E$11+1,1))-AVERAGE(OFFSET($H$3,0,0,'Données projet'!$E$11+1,1))</f>
        <v>210.04871822652808</v>
      </c>
      <c r="BJ8" s="59">
        <f t="shared" si="38"/>
        <v>250.17540614049324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2.2999999999999998</v>
      </c>
      <c r="BY8" s="12">
        <f>IF('Données projet'!$A$114&gt;35,BY7+BX8-CG7,IF(A8&lt;'Données projet'!$A$114,$BV$205^A8,IF(A8='Données projet'!$A$114,'Données projet'!$B$114,BY7+BX8-CG7)))</f>
        <v>4.79583152331272</v>
      </c>
      <c r="BZ8" s="13">
        <f>BY8*VLOOKUP('Données projet'!$B$12,Paramètres!$A$1:$I$89,3,0)*VLOOKUP('Données projet'!$B$12,Paramètres!$A$1:$I$89,5,0)</f>
        <v>2.6185240117287449</v>
      </c>
      <c r="CA8" s="13">
        <f t="shared" si="39"/>
        <v>1.0788146661414966</v>
      </c>
      <c r="CB8" s="20">
        <f t="shared" si="10"/>
        <v>6.4395315306240031</v>
      </c>
      <c r="CC8" s="59">
        <f t="shared" si="11"/>
        <v>299.7728648639573</v>
      </c>
      <c r="CD8" s="59">
        <f ca="1">AVERAGE(OFFSET($CC$3,0,0,'Données projet'!$E$12+1,1))-AVERAGE(OFFSET($H$3,0,0,'Données projet'!$E$12+1,1))</f>
        <v>168.72306536277267</v>
      </c>
      <c r="CE8" s="59">
        <f t="shared" si="40"/>
        <v>203.35476578922339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5.6730769230769225</v>
      </c>
      <c r="CT8" s="12">
        <f>IF('Données projet'!$A$140&gt;35,CT7+CS8-DB7,IF(A8&lt;'Données projet'!$A$140,$CQ$205^A8,IF(A8='Données projet'!$A$140,'Données projet'!$B$140,CT7+CS8-DB7)))</f>
        <v>28.365384615384613</v>
      </c>
      <c r="CU8" s="17">
        <f>CT8*VLOOKUP('Données projet'!$B$13,Paramètres!$A$1:$I$89,3,0)*VLOOKUP('Données projet'!$B$13,Paramètres!$A$1:$I$89,5,0)</f>
        <v>13.643749999999999</v>
      </c>
      <c r="CV8" s="13">
        <f t="shared" si="41"/>
        <v>4.638521020782135</v>
      </c>
      <c r="CW8" s="20">
        <f t="shared" si="13"/>
        <v>31.841622027862211</v>
      </c>
      <c r="CX8" s="59">
        <f t="shared" si="14"/>
        <v>325.17495536119554</v>
      </c>
      <c r="CY8" s="59">
        <f ca="1">AVERAGE(OFFSET($CX$3,0,0,'Données projet'!$E$13+1,1))-AVERAGE(OFFSET($H$3,0,0,'Données projet'!$E$13+1,1))</f>
        <v>304.15237106473313</v>
      </c>
      <c r="CZ8" s="59">
        <f t="shared" si="42"/>
        <v>120.85458928724336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>
        <f>EXP(-LN(2)/35)*DF7+(1-EXP(-LN(2)/35))/(LN(2)/35)*DB8*DC8*VLOOKUP('Données projet'!$B$13,Paramètres!$A$1:$I$89,3,0)*0.475*44/12</f>
        <v>0</v>
      </c>
      <c r="DG8" s="21">
        <f>EXP(-LN(2)/25)*DG7+(1-EXP(-LN(2)/25))/(LN(2)/25)*Calculateur!DB8*Calculateur!DD8*VLOOKUP('Données projet'!$B$13,Paramètres!$A$1:$I$89,3,0)*0.475*44/12</f>
        <v>0</v>
      </c>
      <c r="DH8" s="21">
        <f>EXP(-LN(2)/2)*DH7+(1-EXP(-LN(2)/2))/(LN(2)/2)*DB8*DE8*VLOOKUP('Données projet'!$B$13,Paramètres!$A$1:$I$89,3,0)*0.475*44/12</f>
        <v>0</v>
      </c>
      <c r="DI8" s="22">
        <f t="shared" si="15"/>
        <v>0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3.8846153846153846</v>
      </c>
      <c r="DO8" s="12">
        <f>IF('Données projet'!$A$166&gt;35,DO7+DN8-DW7,IF(A8&lt;'Données projet'!$A$166,$DL$205^A8,IF(A8='Données projet'!$A$166,'Données projet'!$B$166,DO7+DN8-DW7)))</f>
        <v>19.423076923076923</v>
      </c>
      <c r="DP8" s="17">
        <f>DO8*VLOOKUP('Données projet'!$B$14,Paramètres!$A$1:$I$89,3,0)*VLOOKUP('Données projet'!$B$14,Paramètres!$A$1:$I$89,5,0)</f>
        <v>9.3424999999999994</v>
      </c>
      <c r="DQ8" s="13">
        <f t="shared" si="43"/>
        <v>3.3193516657860531</v>
      </c>
      <c r="DR8" s="20">
        <f t="shared" si="16"/>
        <v>22.052724984577377</v>
      </c>
      <c r="DS8" s="59">
        <f t="shared" si="17"/>
        <v>315.38605831791068</v>
      </c>
      <c r="DT8" s="59">
        <f ca="1">AVERAGE(OFFSET($DS$3,0,0,'Données projet'!$E$14+1,1))-AVERAGE(OFFSET($H$3,0,0,'Données projet'!$E$14+1,1))</f>
        <v>91.053246648097399</v>
      </c>
      <c r="DU8" s="59">
        <f t="shared" si="44"/>
        <v>64.716270355703955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>
        <f>EXP(-LN(2)/35)*EA7+(1-EXP(-LN(2)/35))/(LN(2)/35)*DW8*DX8*VLOOKUP('Données projet'!$B$14,Paramètres!$A$1:$I$89,3,0)*0.475*44/12</f>
        <v>0</v>
      </c>
      <c r="EB8" s="21">
        <f>EXP(-LN(2)/25)*EB7+(1-EXP(-LN(2)/25))/(LN(2)/25)*Calculateur!DW8*Calculateur!DY8*VLOOKUP('Données projet'!$B$14,Paramètres!$A$1:$I$89,3,0)*0.475*44/12</f>
        <v>0</v>
      </c>
      <c r="EC8" s="21">
        <f>EXP(-LN(2)/2)*EC7+(1-EXP(-LN(2)/2))/(LN(2)/2)*DW8*DZ8*VLOOKUP('Données projet'!$B$14,Paramètres!$A$1:$I$89,3,0)*0.475*44/12</f>
        <v>0</v>
      </c>
      <c r="ED8" s="22">
        <f t="shared" si="18"/>
        <v>0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5.3</v>
      </c>
      <c r="EJ8" s="12">
        <f>IF('Données projet'!$A$192&gt;35,EJ7+EI8-ER7,IF(A8&lt;'Données projet'!$A$192,$EG$205^A8,IF(A8='Données projet'!$A$192,'Données projet'!$B$192,EJ7+EI8-ER7)))</f>
        <v>3.2086804360962771</v>
      </c>
      <c r="EK8" s="17">
        <f>EJ8*VLOOKUP('Données projet'!$B$15,Paramètres!$A$1:$I$89,3,0)*VLOOKUP('Données projet'!$B$15,Paramètres!$A$1:$I$89,5,0)</f>
        <v>1.9187909007855739</v>
      </c>
      <c r="EL8" s="13">
        <f t="shared" si="45"/>
        <v>0.81966293473739582</v>
      </c>
      <c r="EM8" s="20">
        <f t="shared" si="19"/>
        <v>4.7694737635358386</v>
      </c>
      <c r="EN8" s="59">
        <f t="shared" si="20"/>
        <v>298.10280709686913</v>
      </c>
      <c r="EO8" s="59">
        <f ca="1">AVERAGE(OFFSET($EN$3,0,0,'Données projet'!$E$15+1,1))-AVERAGE(OFFSET($H$3,0,0,'Données projet'!$E$15+1,1))</f>
        <v>316.58509520829671</v>
      </c>
      <c r="EP8" s="59">
        <f t="shared" si="46"/>
        <v>240.71332110643596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>
        <f>EXP(-LN(2)/35)*EV7+(1-EXP(-LN(2)/35))/(LN(2)/35)*ER8*ES8*VLOOKUP('Données projet'!$B$15,Paramètres!$A$1:$I$89,3,0)*0.475*44/12</f>
        <v>0</v>
      </c>
      <c r="EW8" s="21">
        <f>EXP(-LN(2)/25)*EW7+(1-EXP(-LN(2)/25))/(LN(2)/25)*Calculateur!ER8*Calculateur!ET8*VLOOKUP('Données projet'!$B$15,Paramètres!$A$1:$I$89,3,0)*0.475*44/12</f>
        <v>0</v>
      </c>
      <c r="EX8" s="21">
        <f>EXP(-LN(2)/2)*EX7+(1-EXP(-LN(2)/2))/(LN(2)/2)*ER8*EU8*VLOOKUP('Données projet'!$B$15,Paramètres!$A$1:$I$89,3,0)*0.475*44/12</f>
        <v>0</v>
      </c>
      <c r="EY8" s="22">
        <f t="shared" si="21"/>
        <v>0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4.3499999999999996</v>
      </c>
      <c r="FE8" s="12">
        <f>IF('Données projet'!$A$218&gt;35,FE7+FD8-FM7,IF(A8&lt;'Données projet'!$A$218,$FB$205^A8,IF(A8='Données projet'!$A$218,'Données projet'!$B$218,FE7+FD8-FM7)))</f>
        <v>3.0540758099773502</v>
      </c>
      <c r="FF8" s="17">
        <f>FE8*VLOOKUP('Données projet'!$B$16,Paramètres!$A$1:$I$89,3,0)*VLOOKUP('Données projet'!$B$16,Paramètres!$A$1:$I$89,5,0)</f>
        <v>1.8263373343664557</v>
      </c>
      <c r="FG8" s="13">
        <f t="shared" si="47"/>
        <v>0.78466635980162813</v>
      </c>
      <c r="FH8" s="20">
        <f t="shared" si="22"/>
        <v>4.5474981006760791</v>
      </c>
      <c r="FI8" s="59">
        <f t="shared" si="23"/>
        <v>297.88083143400939</v>
      </c>
      <c r="FJ8" s="59">
        <f ca="1">AVERAGE(OFFSET($FI$3,0,0,'Données projet'!$E$16+1,1))-AVERAGE(OFFSET($H$3,0,0,'Données projet'!$E$16+1,1))</f>
        <v>270.30888762640245</v>
      </c>
      <c r="FK8" s="59">
        <f t="shared" si="48"/>
        <v>202.23783851977691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>
        <f>EXP(-LN(2)/35)*FQ7+(1-EXP(-LN(2)/35))/(LN(2)/35)*FM8*FN8*VLOOKUP('Données projet'!$B$16,Paramètres!$A$1:$I$89,3,0)*0.475*44/12</f>
        <v>0</v>
      </c>
      <c r="FR8" s="21">
        <f>EXP(-LN(2)/25)*FR7+(1-EXP(-LN(2)/25))/(LN(2)/25)*Calculateur!FM8*Calculateur!FO8*VLOOKUP('Données projet'!$B$16,Paramètres!$A$1:$I$89,3,0)*0.475*44/12</f>
        <v>0</v>
      </c>
      <c r="FS8" s="21">
        <f>EXP(-LN(2)/2)*FS7+(1-EXP(-LN(2)/2))/(LN(2)/2)*FM8*FP8*VLOOKUP('Données projet'!$B$16,Paramètres!$A$1:$I$89,3,0)*0.475*44/12</f>
        <v>0</v>
      </c>
      <c r="FT8" s="22">
        <f t="shared" si="24"/>
        <v>0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1.1000000000000001</v>
      </c>
      <c r="FZ8" s="12">
        <f>IF('Données projet'!$A$244&gt;35,FZ7+FY8-GH7,IF(A8&lt;'Données projet'!$A$244,$FW$205^A8,IF(A8='Données projet'!$A$244,'Données projet'!$B$244,FZ7+FY8-GH7)))</f>
        <v>3.3166247903554016</v>
      </c>
      <c r="GA8" s="17">
        <f>FZ8*VLOOKUP('Données projet'!$B$17,Paramètres!$A$1:$I$89,3,0)*VLOOKUP('Données projet'!$B$17,Paramètres!$A$1:$I$89,5,0)</f>
        <v>2.6387066832067574</v>
      </c>
      <c r="GB8" s="13">
        <f t="shared" si="49"/>
        <v>1.0861586266766543</v>
      </c>
      <c r="GC8" s="20">
        <f t="shared" si="25"/>
        <v>6.4874737480469413</v>
      </c>
      <c r="GD8" s="59">
        <f t="shared" si="26"/>
        <v>299.82080708138028</v>
      </c>
      <c r="GE8" s="59">
        <f ca="1">AVERAGE(OFFSET($GD$3,0,0,'Données projet'!$E$17+1,1))-AVERAGE(OFFSET($H$3,0,0,'Données projet'!$E$17+1,1))</f>
        <v>260.20517190557814</v>
      </c>
      <c r="GF8" s="59">
        <f t="shared" si="50"/>
        <v>307.22009971147133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>
        <f>EXP(-LN(2)/35)*GL7+(1-EXP(-LN(2)/35))/(LN(2)/35)*GH8*GI8*VLOOKUP('Données projet'!$B$17,Paramètres!$A$1:$I$89,3,0)*0.475*44/12</f>
        <v>0</v>
      </c>
      <c r="GM8" s="21">
        <f>EXP(-LN(2)/25)*GM7+(1-EXP(-LN(2)/25))/(LN(2)/25)*Calculateur!GH8*Calculateur!GJ8*VLOOKUP('Données projet'!$B$17,Paramètres!$A$1:$I$89,3,0)*0.475*44/12</f>
        <v>0</v>
      </c>
      <c r="GN8" s="21">
        <f>EXP(-LN(2)/2)*GN7+(1-EXP(-LN(2)/2))/(LN(2)/2)*GH8*GK8*VLOOKUP('Données projet'!$B$17,Paramètres!$A$1:$I$89,3,0)*0.475*44/12</f>
        <v>0</v>
      </c>
      <c r="GO8" s="21">
        <f t="shared" si="27"/>
        <v>0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4.75</v>
      </c>
      <c r="GU8" s="12">
        <f>IF('Données projet'!$A$270&gt;35,GU7+GT8-HC7,IF(A8&lt;'Données projet'!$A$270,$GR$205^A8,IF(A8='Données projet'!$A$270,'Données projet'!$B$270,GU7+GT8-HC7)))</f>
        <v>3.121985641352143</v>
      </c>
      <c r="GV8" s="17">
        <f>GU8*VLOOKUP('Données projet'!$B$18,Paramètres!$A$1:$I$89,3,0)*VLOOKUP('Données projet'!$B$18,Paramètres!$A$1:$I$89,5,0)</f>
        <v>2.4838517762597654</v>
      </c>
      <c r="GW8" s="13">
        <f t="shared" si="51"/>
        <v>1.0296393031124158</v>
      </c>
      <c r="GX8" s="20">
        <f t="shared" si="28"/>
        <v>6.1193302965732146</v>
      </c>
      <c r="GY8" s="59">
        <f t="shared" si="29"/>
        <v>299.45266362990651</v>
      </c>
      <c r="GZ8" s="59">
        <f ca="1">AVERAGE(OFFSET($GY$3,0,0,'Données projet'!$E$18+1,1))-AVERAGE(OFFSET($H$3,0,0,'Données projet'!$E$18+1,1))</f>
        <v>199.58763537752952</v>
      </c>
      <c r="HA8" s="59">
        <f t="shared" si="52"/>
        <v>242.62852778451929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>
        <f>EXP(-LN(2)/35)*HG7+(1-EXP(-LN(2)/35))/(LN(2)/35)*HC8*HD8*VLOOKUP('Données projet'!$B$18,Paramètres!$A$1:$I$89,3,0)*0.475*44/12</f>
        <v>0</v>
      </c>
      <c r="HH8" s="21">
        <f>EXP(-LN(2)/25)*HH7+(1-EXP(-LN(2)/25))/(LN(2)/25)*Calculateur!HC8*Calculateur!HE8*VLOOKUP('Données projet'!$B$18,Paramètres!$A$1:$I$89,3,0)*0.475*44/12</f>
        <v>0</v>
      </c>
      <c r="HI8" s="21">
        <f>EXP(-LN(2)/2)*HI7+(1-EXP(-LN(2)/2))/(LN(2)/2)*HC8*HF8*VLOOKUP('Données projet'!$B$18,Paramètres!$A$1:$I$89,3,0)*0.475*44/12</f>
        <v>0</v>
      </c>
      <c r="HJ8" s="22">
        <f t="shared" si="30"/>
        <v>0</v>
      </c>
    </row>
    <row r="9" spans="1:218" x14ac:dyDescent="0.2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5.3351999999999995</v>
      </c>
      <c r="D9" s="11">
        <f t="shared" si="32"/>
        <v>2.0233099967312578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56.802533308100926</v>
      </c>
      <c r="H9" s="67">
        <f t="shared" si="1"/>
        <v>306.1494049109736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9.3968325791855207</v>
      </c>
      <c r="N9" s="13">
        <f>IF('Données projet'!$A$36&gt;35,N8+M9-V8,IF(A9&lt;'Données projet'!$A$36,$K$205^A9,IF(A9='Données projet'!$A$36,'Données projet'!$B$36,N8+M9-V8)))</f>
        <v>5.9935112022212556</v>
      </c>
      <c r="O9" s="13">
        <f>N9*VLOOKUP('Données projet'!$B$9,Paramètres!$A$1:$I$89,3,0)*VLOOKUP('Données projet'!$B$9,Paramètres!$A$1:$I$89,5,0)</f>
        <v>3.3503727620416819</v>
      </c>
      <c r="P9" s="13">
        <f t="shared" si="33"/>
        <v>1.3412951489922369</v>
      </c>
      <c r="Q9" s="20">
        <f t="shared" si="2"/>
        <v>8.1713216117174081</v>
      </c>
      <c r="R9" s="59">
        <f t="shared" si="0"/>
        <v>301.50465494505073</v>
      </c>
      <c r="S9" s="59">
        <f ca="1">AVERAGE(OFFSET($R$3,0,0,'Données projet'!$E$9+1,1))-AVERAGE(OFFSET($H$3,0,0,'Données projet'!$E$9+1,1))</f>
        <v>255.5374979188561</v>
      </c>
      <c r="T9" s="59">
        <f t="shared" si="34"/>
        <v>343.10418468620901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7.7987854251012134</v>
      </c>
      <c r="AI9" s="13">
        <f>IF('Données projet'!$A$62&gt;35,AI8+AH9-AQ8,IF(A9&lt;'Données projet'!$A$62,$AF$205^A9,IF(A9='Données projet'!$A$62,'Données projet'!$B$62,AI8+AH9-AQ8)))</f>
        <v>4.8474088835420224</v>
      </c>
      <c r="AJ9" s="13">
        <f>AI9*VLOOKUP('Données projet'!$B$10,Paramètres!$A$1:$I$89,3,0)*VLOOKUP('Données projet'!$B$10,Paramètres!$A$1:$I$89,5,0)</f>
        <v>2.7097015658999908</v>
      </c>
      <c r="AK9" s="13">
        <f t="shared" si="35"/>
        <v>1.1119402957316735</v>
      </c>
      <c r="AL9" s="20">
        <f t="shared" si="4"/>
        <v>6.6560262423418139</v>
      </c>
      <c r="AM9" s="59">
        <f t="shared" si="5"/>
        <v>299.98935957567511</v>
      </c>
      <c r="AN9" s="59">
        <f ca="1">AVERAGE(OFFSET($AM$3,0,0,'Données projet'!$E$10+1,1))-AVERAGE(OFFSET($H$3,0,0,'Données projet'!$E$10+1,1))</f>
        <v>224.7049802939942</v>
      </c>
      <c r="AO9" s="59">
        <f t="shared" si="36"/>
        <v>203.48513862195352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3.6</v>
      </c>
      <c r="BD9" s="12">
        <f>IF('Données projet'!$A$88&gt;35,BD8+BC9-BL8,IF(A9&lt;'Données projet'!$A$88,$BA$205^A9,IF(A9='Données projet'!$A$88,'Données projet'!$B$88,BD8+BC9-BL8)))</f>
        <v>8.5858144866315342</v>
      </c>
      <c r="BE9" s="13">
        <f>BD9*VLOOKUP('Données projet'!$B$11,Paramètres!$A$1:$I$89,3,0)*VLOOKUP('Données projet'!$B$11,Paramètres!$A$1:$I$89,5,0)</f>
        <v>4.6878547097008179</v>
      </c>
      <c r="BF9" s="13">
        <f t="shared" si="37"/>
        <v>1.8047822779434171</v>
      </c>
      <c r="BG9" s="20">
        <f t="shared" si="7"/>
        <v>11.308009420147043</v>
      </c>
      <c r="BH9" s="59">
        <f t="shared" si="8"/>
        <v>304.64134275348033</v>
      </c>
      <c r="BI9" s="59">
        <f ca="1">AVERAGE(OFFSET($BH$3,0,0,'Données projet'!$E$11+1,1))-AVERAGE(OFFSET($H$3,0,0,'Données projet'!$E$11+1,1))</f>
        <v>210.04871822652808</v>
      </c>
      <c r="BJ9" s="59">
        <f t="shared" si="38"/>
        <v>250.17540614049324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2.2999999999999998</v>
      </c>
      <c r="BY9" s="12">
        <f>IF('Données projet'!$A$114&gt;35,BY8+BX9-CG8,IF(A9&lt;'Données projet'!$A$114,$BV$205^A9,IF(A9='Données projet'!$A$114,'Données projet'!$B$114,BY8+BX9-CG8)))</f>
        <v>6.5620071855158564</v>
      </c>
      <c r="BZ9" s="13">
        <f>BY9*VLOOKUP('Données projet'!$B$12,Paramètres!$A$1:$I$89,3,0)*VLOOKUP('Données projet'!$B$12,Paramètres!$A$1:$I$89,5,0)</f>
        <v>3.5828559232916577</v>
      </c>
      <c r="CA9" s="13">
        <f t="shared" si="39"/>
        <v>1.4232104158797276</v>
      </c>
      <c r="CB9" s="20">
        <f t="shared" si="10"/>
        <v>8.7188988740568281</v>
      </c>
      <c r="CC9" s="59">
        <f t="shared" si="11"/>
        <v>302.05223220739015</v>
      </c>
      <c r="CD9" s="59">
        <f ca="1">AVERAGE(OFFSET($CC$3,0,0,'Données projet'!$E$12+1,1))-AVERAGE(OFFSET($H$3,0,0,'Données projet'!$E$12+1,1))</f>
        <v>168.72306536277267</v>
      </c>
      <c r="CE9" s="59">
        <f t="shared" si="40"/>
        <v>203.35476578922339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5.6730769230769225</v>
      </c>
      <c r="CT9" s="12">
        <f>IF('Données projet'!$A$140&gt;35,CT8+CS9-DB8,IF(A9&lt;'Données projet'!$A$140,$CQ$205^A9,IF(A9='Données projet'!$A$140,'Données projet'!$B$140,CT8+CS9-DB8)))</f>
        <v>34.038461538461533</v>
      </c>
      <c r="CU9" s="17">
        <f>CT9*VLOOKUP('Données projet'!$B$13,Paramètres!$A$1:$I$89,3,0)*VLOOKUP('Données projet'!$B$13,Paramètres!$A$1:$I$89,5,0)</f>
        <v>16.372499999999999</v>
      </c>
      <c r="CV9" s="13">
        <f t="shared" si="41"/>
        <v>5.4493421637461372</v>
      </c>
      <c r="CW9" s="20">
        <f t="shared" si="13"/>
        <v>38.006375101857856</v>
      </c>
      <c r="CX9" s="59">
        <f t="shared" si="14"/>
        <v>331.33970843519114</v>
      </c>
      <c r="CY9" s="59">
        <f ca="1">AVERAGE(OFFSET($CX$3,0,0,'Données projet'!$E$13+1,1))-AVERAGE(OFFSET($H$3,0,0,'Données projet'!$E$13+1,1))</f>
        <v>304.15237106473313</v>
      </c>
      <c r="CZ9" s="59">
        <f t="shared" si="42"/>
        <v>120.85458928724336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>
        <f>EXP(-LN(2)/35)*DF8+(1-EXP(-LN(2)/35))/(LN(2)/35)*DB9*DC9*VLOOKUP('Données projet'!$B$13,Paramètres!$A$1:$I$89,3,0)*0.475*44/12</f>
        <v>0</v>
      </c>
      <c r="DG9" s="21">
        <f>EXP(-LN(2)/25)*DG8+(1-EXP(-LN(2)/25))/(LN(2)/25)*Calculateur!DB9*Calculateur!DD9*VLOOKUP('Données projet'!$B$13,Paramètres!$A$1:$I$89,3,0)*0.475*44/12</f>
        <v>0</v>
      </c>
      <c r="DH9" s="21">
        <f>EXP(-LN(2)/2)*DH8+(1-EXP(-LN(2)/2))/(LN(2)/2)*DB9*DE9*VLOOKUP('Données projet'!$B$13,Paramètres!$A$1:$I$89,3,0)*0.475*44/12</f>
        <v>0</v>
      </c>
      <c r="DI9" s="22">
        <f t="shared" si="15"/>
        <v>0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3.8846153846153846</v>
      </c>
      <c r="DO9" s="12">
        <f>IF('Données projet'!$A$166&gt;35,DO8+DN9-DW8,IF(A9&lt;'Données projet'!$A$166,$DL$205^A9,IF(A9='Données projet'!$A$166,'Données projet'!$B$166,DO8+DN9-DW8)))</f>
        <v>23.307692307692307</v>
      </c>
      <c r="DP9" s="17">
        <f>DO9*VLOOKUP('Données projet'!$B$14,Paramètres!$A$1:$I$89,3,0)*VLOOKUP('Données projet'!$B$14,Paramètres!$A$1:$I$89,5,0)</f>
        <v>11.211</v>
      </c>
      <c r="DQ9" s="13">
        <f t="shared" si="43"/>
        <v>3.8995798246094679</v>
      </c>
      <c r="DR9" s="20">
        <f t="shared" si="16"/>
        <v>26.317593194528158</v>
      </c>
      <c r="DS9" s="59">
        <f t="shared" si="17"/>
        <v>319.65092652786149</v>
      </c>
      <c r="DT9" s="59">
        <f ca="1">AVERAGE(OFFSET($DS$3,0,0,'Données projet'!$E$14+1,1))-AVERAGE(OFFSET($H$3,0,0,'Données projet'!$E$14+1,1))</f>
        <v>91.053246648097399</v>
      </c>
      <c r="DU9" s="59">
        <f t="shared" si="44"/>
        <v>64.716270355703955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>
        <f>EXP(-LN(2)/35)*EA8+(1-EXP(-LN(2)/35))/(LN(2)/35)*DW9*DX9*VLOOKUP('Données projet'!$B$14,Paramètres!$A$1:$I$89,3,0)*0.475*44/12</f>
        <v>0</v>
      </c>
      <c r="EB9" s="21">
        <f>EXP(-LN(2)/25)*EB8+(1-EXP(-LN(2)/25))/(LN(2)/25)*Calculateur!DW9*Calculateur!DY9*VLOOKUP('Données projet'!$B$14,Paramètres!$A$1:$I$89,3,0)*0.475*44/12</f>
        <v>0</v>
      </c>
      <c r="EC9" s="21">
        <f>EXP(-LN(2)/2)*EC8+(1-EXP(-LN(2)/2))/(LN(2)/2)*DW9*DZ9*VLOOKUP('Données projet'!$B$14,Paramètres!$A$1:$I$89,3,0)*0.475*44/12</f>
        <v>0</v>
      </c>
      <c r="ED9" s="22">
        <f t="shared" si="18"/>
        <v>0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5.3</v>
      </c>
      <c r="EJ9" s="12">
        <f>IF('Données projet'!$A$192&gt;35,EJ8+EI9-ER8,IF(A9&lt;'Données projet'!$A$192,$EG$205^A9,IF(A9='Données projet'!$A$192,'Données projet'!$B$192,EJ8+EI9-ER8)))</f>
        <v>4.0512753315731445</v>
      </c>
      <c r="EK9" s="17">
        <f>EJ9*VLOOKUP('Données projet'!$B$15,Paramètres!$A$1:$I$89,3,0)*VLOOKUP('Données projet'!$B$15,Paramètres!$A$1:$I$89,5,0)</f>
        <v>2.4226626482807405</v>
      </c>
      <c r="EL9" s="13">
        <f t="shared" si="45"/>
        <v>1.0071944171072709</v>
      </c>
      <c r="EM9" s="20">
        <f t="shared" si="19"/>
        <v>5.9736677222174537</v>
      </c>
      <c r="EN9" s="59">
        <f t="shared" si="20"/>
        <v>299.30700105555076</v>
      </c>
      <c r="EO9" s="59">
        <f ca="1">AVERAGE(OFFSET($EN$3,0,0,'Données projet'!$E$15+1,1))-AVERAGE(OFFSET($H$3,0,0,'Données projet'!$E$15+1,1))</f>
        <v>316.58509520829671</v>
      </c>
      <c r="EP9" s="59">
        <f t="shared" si="46"/>
        <v>240.71332110643596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>
        <f>EXP(-LN(2)/35)*EV8+(1-EXP(-LN(2)/35))/(LN(2)/35)*ER9*ES9*VLOOKUP('Données projet'!$B$15,Paramètres!$A$1:$I$89,3,0)*0.475*44/12</f>
        <v>0</v>
      </c>
      <c r="EW9" s="21">
        <f>EXP(-LN(2)/25)*EW8+(1-EXP(-LN(2)/25))/(LN(2)/25)*Calculateur!ER9*Calculateur!ET9*VLOOKUP('Données projet'!$B$15,Paramètres!$A$1:$I$89,3,0)*0.475*44/12</f>
        <v>0</v>
      </c>
      <c r="EX9" s="21">
        <f>EXP(-LN(2)/2)*EX8+(1-EXP(-LN(2)/2))/(LN(2)/2)*ER9*EU9*VLOOKUP('Données projet'!$B$15,Paramètres!$A$1:$I$89,3,0)*0.475*44/12</f>
        <v>0</v>
      </c>
      <c r="EY9" s="22">
        <f t="shared" si="21"/>
        <v>0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4.3499999999999996</v>
      </c>
      <c r="FE9" s="12">
        <f>IF('Données projet'!$A$218&gt;35,FE8+FD9-FM8,IF(A9&lt;'Données projet'!$A$218,$FB$205^A9,IF(A9='Données projet'!$A$218,'Données projet'!$B$218,FE8+FD9-FM8)))</f>
        <v>3.8181745258867665</v>
      </c>
      <c r="FF9" s="17">
        <f>FE9*VLOOKUP('Données projet'!$B$16,Paramètres!$A$1:$I$89,3,0)*VLOOKUP('Données projet'!$B$16,Paramètres!$A$1:$I$89,5,0)</f>
        <v>2.2832683664802866</v>
      </c>
      <c r="FG9" s="13">
        <f t="shared" si="47"/>
        <v>0.95581313527995093</v>
      </c>
      <c r="FH9" s="20">
        <f t="shared" si="22"/>
        <v>5.6414002822324134</v>
      </c>
      <c r="FI9" s="59">
        <f t="shared" si="23"/>
        <v>298.97473361556575</v>
      </c>
      <c r="FJ9" s="59">
        <f ca="1">AVERAGE(OFFSET($FI$3,0,0,'Données projet'!$E$16+1,1))-AVERAGE(OFFSET($H$3,0,0,'Données projet'!$E$16+1,1))</f>
        <v>270.30888762640245</v>
      </c>
      <c r="FK9" s="59">
        <f t="shared" si="48"/>
        <v>202.23783851977691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>
        <f>EXP(-LN(2)/35)*FQ8+(1-EXP(-LN(2)/35))/(LN(2)/35)*FM9*FN9*VLOOKUP('Données projet'!$B$16,Paramètres!$A$1:$I$89,3,0)*0.475*44/12</f>
        <v>0</v>
      </c>
      <c r="FR9" s="21">
        <f>EXP(-LN(2)/25)*FR8+(1-EXP(-LN(2)/25))/(LN(2)/25)*Calculateur!FM9*Calculateur!FO9*VLOOKUP('Données projet'!$B$16,Paramètres!$A$1:$I$89,3,0)*0.475*44/12</f>
        <v>0</v>
      </c>
      <c r="FS9" s="21">
        <f>EXP(-LN(2)/2)*FS8+(1-EXP(-LN(2)/2))/(LN(2)/2)*FM9*FP9*VLOOKUP('Données projet'!$B$16,Paramètres!$A$1:$I$89,3,0)*0.475*44/12</f>
        <v>0</v>
      </c>
      <c r="FT9" s="22">
        <f t="shared" si="24"/>
        <v>0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1.1000000000000001</v>
      </c>
      <c r="FZ9" s="12">
        <f>IF('Données projet'!$A$244&gt;35,FZ8+FY9-GH8,IF(A9&lt;'Données projet'!$A$244,$FW$205^A9,IF(A9='Données projet'!$A$244,'Données projet'!$B$244,FZ8+FY9-GH8)))</f>
        <v>4.2153691330919028</v>
      </c>
      <c r="GA9" s="17">
        <f>FZ9*VLOOKUP('Données projet'!$B$17,Paramètres!$A$1:$I$89,3,0)*VLOOKUP('Données projet'!$B$17,Paramètres!$A$1:$I$89,5,0)</f>
        <v>3.353747682287918</v>
      </c>
      <c r="GB9" s="13">
        <f t="shared" si="49"/>
        <v>1.3424889309030987</v>
      </c>
      <c r="GC9" s="20">
        <f t="shared" si="25"/>
        <v>8.1792787679743544</v>
      </c>
      <c r="GD9" s="59">
        <f t="shared" si="26"/>
        <v>301.5126121013077</v>
      </c>
      <c r="GE9" s="59">
        <f ca="1">AVERAGE(OFFSET($GD$3,0,0,'Données projet'!$E$17+1,1))-AVERAGE(OFFSET($H$3,0,0,'Données projet'!$E$17+1,1))</f>
        <v>260.20517190557814</v>
      </c>
      <c r="GF9" s="59">
        <f t="shared" si="50"/>
        <v>307.22009971147133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>
        <f>EXP(-LN(2)/35)*GL8+(1-EXP(-LN(2)/35))/(LN(2)/35)*GH9*GI9*VLOOKUP('Données projet'!$B$17,Paramètres!$A$1:$I$89,3,0)*0.475*44/12</f>
        <v>0</v>
      </c>
      <c r="GM9" s="21">
        <f>EXP(-LN(2)/25)*GM8+(1-EXP(-LN(2)/25))/(LN(2)/25)*Calculateur!GH9*Calculateur!GJ9*VLOOKUP('Données projet'!$B$17,Paramètres!$A$1:$I$89,3,0)*0.475*44/12</f>
        <v>0</v>
      </c>
      <c r="GN9" s="21">
        <f>EXP(-LN(2)/2)*GN8+(1-EXP(-LN(2)/2))/(LN(2)/2)*GH9*GK9*VLOOKUP('Données projet'!$B$17,Paramètres!$A$1:$I$89,3,0)*0.475*44/12</f>
        <v>0</v>
      </c>
      <c r="GO9" s="21">
        <f t="shared" si="27"/>
        <v>0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4.75</v>
      </c>
      <c r="GU9" s="12">
        <f>IF('Données projet'!$A$270&gt;35,GU8+GT9-HC8,IF(A9&lt;'Données projet'!$A$270,$GR$205^A9,IF(A9='Données projet'!$A$270,'Données projet'!$B$270,GU8+GT9-HC8)))</f>
        <v>3.920279951613006</v>
      </c>
      <c r="GV9" s="17">
        <f>GU9*VLOOKUP('Données projet'!$B$18,Paramètres!$A$1:$I$89,3,0)*VLOOKUP('Données projet'!$B$18,Paramètres!$A$1:$I$89,5,0)</f>
        <v>3.1189747295033077</v>
      </c>
      <c r="GW9" s="13">
        <f t="shared" si="51"/>
        <v>1.2591020785273992</v>
      </c>
      <c r="GX9" s="20">
        <f t="shared" si="28"/>
        <v>7.6251504406534805</v>
      </c>
      <c r="GY9" s="59">
        <f t="shared" si="29"/>
        <v>300.95848377398681</v>
      </c>
      <c r="GZ9" s="59">
        <f ca="1">AVERAGE(OFFSET($GY$3,0,0,'Données projet'!$E$18+1,1))-AVERAGE(OFFSET($H$3,0,0,'Données projet'!$E$18+1,1))</f>
        <v>199.58763537752952</v>
      </c>
      <c r="HA9" s="59">
        <f t="shared" si="52"/>
        <v>242.62852778451929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>
        <f>EXP(-LN(2)/35)*HG8+(1-EXP(-LN(2)/35))/(LN(2)/35)*HC9*HD9*VLOOKUP('Données projet'!$B$18,Paramètres!$A$1:$I$89,3,0)*0.475*44/12</f>
        <v>0</v>
      </c>
      <c r="HH9" s="21">
        <f>EXP(-LN(2)/25)*HH8+(1-EXP(-LN(2)/25))/(LN(2)/25)*Calculateur!HC9*Calculateur!HE9*VLOOKUP('Données projet'!$B$18,Paramètres!$A$1:$I$89,3,0)*0.475*44/12</f>
        <v>0</v>
      </c>
      <c r="HI9" s="21">
        <f>EXP(-LN(2)/2)*HI8+(1-EXP(-LN(2)/2))/(LN(2)/2)*HC9*HF9*VLOOKUP('Données projet'!$B$18,Paramètres!$A$1:$I$89,3,0)*0.475*44/12</f>
        <v>0</v>
      </c>
      <c r="HJ9" s="22">
        <f t="shared" si="30"/>
        <v>0</v>
      </c>
    </row>
    <row r="10" spans="1:218" x14ac:dyDescent="0.2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6.2243999999999993</v>
      </c>
      <c r="D10" s="11">
        <f t="shared" si="32"/>
        <v>2.3185507720937846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65.945584907390625</v>
      </c>
      <c r="H10" s="67">
        <f t="shared" si="1"/>
        <v>308.2123059280633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9.3968325791855207</v>
      </c>
      <c r="N10" s="13">
        <f>IF('Données projet'!$A$36&gt;35,N9+M10-V9,IF(A10&lt;'Données projet'!$A$36,$K$205^A10,IF(A10='Données projet'!$A$36,'Données projet'!$B$36,N9+M10-V9)))</f>
        <v>8.0778330849703455</v>
      </c>
      <c r="O10" s="13">
        <f>N10*VLOOKUP('Données projet'!$B$9,Paramètres!$A$1:$I$89,3,0)*VLOOKUP('Données projet'!$B$9,Paramètres!$A$1:$I$89,5,0)</f>
        <v>4.5155086944984228</v>
      </c>
      <c r="P10" s="13">
        <f t="shared" si="33"/>
        <v>1.7460267371204046</v>
      </c>
      <c r="Q10" s="20">
        <f t="shared" si="2"/>
        <v>10.905507543402789</v>
      </c>
      <c r="R10" s="59">
        <f t="shared" si="0"/>
        <v>304.23884087673611</v>
      </c>
      <c r="S10" s="59">
        <f ca="1">AVERAGE(OFFSET($R$3,0,0,'Données projet'!$E$9+1,1))-AVERAGE(OFFSET($H$3,0,0,'Données projet'!$E$9+1,1))</f>
        <v>255.5374979188561</v>
      </c>
      <c r="T10" s="59">
        <f t="shared" si="34"/>
        <v>343.10418468620901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7.7987854251012134</v>
      </c>
      <c r="AI10" s="13">
        <f>IF('Données projet'!$A$62&gt;35,AI9+AH10-AQ9,IF(A10&lt;'Données projet'!$A$62,$AF$205^A10,IF(A10='Données projet'!$A$62,'Données projet'!$B$62,AI9+AH10-AQ9)))</f>
        <v>6.3061059552020682</v>
      </c>
      <c r="AJ10" s="13">
        <f>AI10*VLOOKUP('Données projet'!$B$10,Paramètres!$A$1:$I$89,3,0)*VLOOKUP('Données projet'!$B$10,Paramètres!$A$1:$I$89,5,0)</f>
        <v>3.5251132289579559</v>
      </c>
      <c r="AK10" s="13">
        <f t="shared" si="35"/>
        <v>1.4029241483397099</v>
      </c>
      <c r="AL10" s="20">
        <f t="shared" si="4"/>
        <v>8.5829984321267663</v>
      </c>
      <c r="AM10" s="59">
        <f t="shared" si="5"/>
        <v>301.91633176546009</v>
      </c>
      <c r="AN10" s="59">
        <f ca="1">AVERAGE(OFFSET($AM$3,0,0,'Données projet'!$E$10+1,1))-AVERAGE(OFFSET($H$3,0,0,'Données projet'!$E$10+1,1))</f>
        <v>224.7049802939942</v>
      </c>
      <c r="AO10" s="59">
        <f t="shared" si="36"/>
        <v>203.48513862195352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3.6</v>
      </c>
      <c r="BD10" s="12">
        <f>IF('Données projet'!$A$88&gt;35,BD9+BC10-BL9,IF(A10&lt;'Données projet'!$A$88,$BA$205^A10,IF(A10='Données projet'!$A$88,'Données projet'!$B$88,BD9+BC10-BL9)))</f>
        <v>12.286035066475318</v>
      </c>
      <c r="BE10" s="13">
        <f>BD10*VLOOKUP('Données projet'!$B$11,Paramètres!$A$1:$I$89,3,0)*VLOOKUP('Données projet'!$B$11,Paramètres!$A$1:$I$89,5,0)</f>
        <v>6.708175146295523</v>
      </c>
      <c r="BF10" s="13">
        <f t="shared" si="37"/>
        <v>2.4770781400954469</v>
      </c>
      <c r="BG10" s="20">
        <f t="shared" si="7"/>
        <v>15.997649473797606</v>
      </c>
      <c r="BH10" s="59">
        <f t="shared" si="8"/>
        <v>309.33098280713091</v>
      </c>
      <c r="BI10" s="59">
        <f ca="1">AVERAGE(OFFSET($BH$3,0,0,'Données projet'!$E$11+1,1))-AVERAGE(OFFSET($H$3,0,0,'Données projet'!$E$11+1,1))</f>
        <v>210.04871822652808</v>
      </c>
      <c r="BJ10" s="59">
        <f t="shared" si="38"/>
        <v>250.17540614049324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2.2999999999999998</v>
      </c>
      <c r="BY10" s="12">
        <f>IF('Données projet'!$A$114&gt;35,BY9+BX10-CG9,IF(A10&lt;'Données projet'!$A$114,$BV$205^A10,IF(A10='Données projet'!$A$114,'Données projet'!$B$114,BY9+BX10-CG9)))</f>
        <v>8.9786178045341511</v>
      </c>
      <c r="BZ10" s="13">
        <f>BY10*VLOOKUP('Données projet'!$B$12,Paramètres!$A$1:$I$89,3,0)*VLOOKUP('Données projet'!$B$12,Paramètres!$A$1:$I$89,5,0)</f>
        <v>4.9023253212756464</v>
      </c>
      <c r="CA10" s="13">
        <f t="shared" si="39"/>
        <v>1.8775494544517806</v>
      </c>
      <c r="CB10" s="20">
        <f t="shared" si="10"/>
        <v>11.808281901058599</v>
      </c>
      <c r="CC10" s="59">
        <f t="shared" si="11"/>
        <v>305.14161523439191</v>
      </c>
      <c r="CD10" s="59">
        <f ca="1">AVERAGE(OFFSET($CC$3,0,0,'Données projet'!$E$12+1,1))-AVERAGE(OFFSET($H$3,0,0,'Données projet'!$E$12+1,1))</f>
        <v>168.72306536277267</v>
      </c>
      <c r="CE10" s="59">
        <f t="shared" si="40"/>
        <v>203.35476578922339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5.6730769230769225</v>
      </c>
      <c r="CT10" s="12">
        <f>IF('Données projet'!$A$140&gt;35,CT9+CS10-DB9,IF(A10&lt;'Données projet'!$A$140,$CQ$205^A10,IF(A10='Données projet'!$A$140,'Données projet'!$B$140,CT9+CS10-DB9)))</f>
        <v>39.711538461538453</v>
      </c>
      <c r="CU10" s="17">
        <f>CT10*VLOOKUP('Données projet'!$B$13,Paramètres!$A$1:$I$89,3,0)*VLOOKUP('Données projet'!$B$13,Paramètres!$A$1:$I$89,5,0)</f>
        <v>19.101249999999997</v>
      </c>
      <c r="CV10" s="13">
        <f t="shared" si="41"/>
        <v>6.2445085041681727</v>
      </c>
      <c r="CW10" s="20">
        <f t="shared" si="13"/>
        <v>44.143862728092891</v>
      </c>
      <c r="CX10" s="59">
        <f t="shared" si="14"/>
        <v>337.47719606142618</v>
      </c>
      <c r="CY10" s="59">
        <f ca="1">AVERAGE(OFFSET($CX$3,0,0,'Données projet'!$E$13+1,1))-AVERAGE(OFFSET($H$3,0,0,'Données projet'!$E$13+1,1))</f>
        <v>304.15237106473313</v>
      </c>
      <c r="CZ10" s="59">
        <f t="shared" si="42"/>
        <v>120.85458928724336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>
        <f>EXP(-LN(2)/35)*DF9+(1-EXP(-LN(2)/35))/(LN(2)/35)*DB10*DC10*VLOOKUP('Données projet'!$B$13,Paramètres!$A$1:$I$89,3,0)*0.475*44/12</f>
        <v>0</v>
      </c>
      <c r="DG10" s="21">
        <f>EXP(-LN(2)/25)*DG9+(1-EXP(-LN(2)/25))/(LN(2)/25)*Calculateur!DB10*Calculateur!DD10*VLOOKUP('Données projet'!$B$13,Paramètres!$A$1:$I$89,3,0)*0.475*44/12</f>
        <v>0</v>
      </c>
      <c r="DH10" s="21">
        <f>EXP(-LN(2)/2)*DH9+(1-EXP(-LN(2)/2))/(LN(2)/2)*DB10*DE10*VLOOKUP('Données projet'!$B$13,Paramètres!$A$1:$I$89,3,0)*0.475*44/12</f>
        <v>0</v>
      </c>
      <c r="DI10" s="22">
        <f t="shared" si="15"/>
        <v>0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3.8846153846153846</v>
      </c>
      <c r="DO10" s="12">
        <f>IF('Données projet'!$A$166&gt;35,DO9+DN10-DW9,IF(A10&lt;'Données projet'!$A$166,$DL$205^A10,IF(A10='Données projet'!$A$166,'Données projet'!$B$166,DO9+DN10-DW9)))</f>
        <v>27.19230769230769</v>
      </c>
      <c r="DP10" s="17">
        <f>DO10*VLOOKUP('Données projet'!$B$14,Paramètres!$A$1:$I$89,3,0)*VLOOKUP('Données projet'!$B$14,Paramètres!$A$1:$I$89,5,0)</f>
        <v>13.079499999999999</v>
      </c>
      <c r="DQ10" s="13">
        <f t="shared" si="43"/>
        <v>4.4686053189063184</v>
      </c>
      <c r="DR10" s="20">
        <f t="shared" si="16"/>
        <v>30.562950097095165</v>
      </c>
      <c r="DS10" s="59">
        <f t="shared" si="17"/>
        <v>323.89628343042847</v>
      </c>
      <c r="DT10" s="59">
        <f ca="1">AVERAGE(OFFSET($DS$3,0,0,'Données projet'!$E$14+1,1))-AVERAGE(OFFSET($H$3,0,0,'Données projet'!$E$14+1,1))</f>
        <v>91.053246648097399</v>
      </c>
      <c r="DU10" s="59">
        <f t="shared" si="44"/>
        <v>64.716270355703955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>
        <f>EXP(-LN(2)/35)*EA9+(1-EXP(-LN(2)/35))/(LN(2)/35)*DW10*DX10*VLOOKUP('Données projet'!$B$14,Paramètres!$A$1:$I$89,3,0)*0.475*44/12</f>
        <v>0</v>
      </c>
      <c r="EB10" s="21">
        <f>EXP(-LN(2)/25)*EB9+(1-EXP(-LN(2)/25))/(LN(2)/25)*Calculateur!DW10*Calculateur!DY10*VLOOKUP('Données projet'!$B$14,Paramètres!$A$1:$I$89,3,0)*0.475*44/12</f>
        <v>0</v>
      </c>
      <c r="EC10" s="21">
        <f>EXP(-LN(2)/2)*EC9+(1-EXP(-LN(2)/2))/(LN(2)/2)*DW10*DZ10*VLOOKUP('Données projet'!$B$14,Paramètres!$A$1:$I$89,3,0)*0.475*44/12</f>
        <v>0</v>
      </c>
      <c r="ED10" s="22">
        <f t="shared" si="18"/>
        <v>0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5.3</v>
      </c>
      <c r="EJ10" s="12">
        <f>IF('Données projet'!$A$192&gt;35,EJ9+EI10-ER9,IF(A10&lt;'Données projet'!$A$192,$EG$205^A10,IF(A10='Données projet'!$A$192,'Données projet'!$B$192,EJ9+EI10-ER9)))</f>
        <v>5.1151344420515628</v>
      </c>
      <c r="EK10" s="17">
        <f>EJ10*VLOOKUP('Données projet'!$B$15,Paramètres!$A$1:$I$89,3,0)*VLOOKUP('Données projet'!$B$15,Paramètres!$A$1:$I$89,5,0)</f>
        <v>3.0588503963468345</v>
      </c>
      <c r="EL10" s="13">
        <f t="shared" si="45"/>
        <v>1.2376314102540975</v>
      </c>
      <c r="EM10" s="20">
        <f t="shared" si="19"/>
        <v>7.4830391464966226</v>
      </c>
      <c r="EN10" s="59">
        <f t="shared" si="20"/>
        <v>300.81637247982997</v>
      </c>
      <c r="EO10" s="59">
        <f ca="1">AVERAGE(OFFSET($EN$3,0,0,'Données projet'!$E$15+1,1))-AVERAGE(OFFSET($H$3,0,0,'Données projet'!$E$15+1,1))</f>
        <v>316.58509520829671</v>
      </c>
      <c r="EP10" s="59">
        <f t="shared" si="46"/>
        <v>240.71332110643596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>
        <f>EXP(-LN(2)/35)*EV9+(1-EXP(-LN(2)/35))/(LN(2)/35)*ER10*ES10*VLOOKUP('Données projet'!$B$15,Paramètres!$A$1:$I$89,3,0)*0.475*44/12</f>
        <v>0</v>
      </c>
      <c r="EW10" s="21">
        <f>EXP(-LN(2)/25)*EW9+(1-EXP(-LN(2)/25))/(LN(2)/25)*Calculateur!ER10*Calculateur!ET10*VLOOKUP('Données projet'!$B$15,Paramètres!$A$1:$I$89,3,0)*0.475*44/12</f>
        <v>0</v>
      </c>
      <c r="EX10" s="21">
        <f>EXP(-LN(2)/2)*EX9+(1-EXP(-LN(2)/2))/(LN(2)/2)*ER10*EU10*VLOOKUP('Données projet'!$B$15,Paramètres!$A$1:$I$89,3,0)*0.475*44/12</f>
        <v>0</v>
      </c>
      <c r="EY10" s="22">
        <f t="shared" si="21"/>
        <v>0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4.3499999999999996</v>
      </c>
      <c r="FE10" s="12">
        <f>IF('Données projet'!$A$218&gt;35,FE9+FD10-FM9,IF(A10&lt;'Données projet'!$A$218,$FB$205^A10,IF(A10='Données projet'!$A$218,'Données projet'!$B$218,FE9+FD10-FM9)))</f>
        <v>4.7734429716853528</v>
      </c>
      <c r="FF10" s="17">
        <f>FE10*VLOOKUP('Données projet'!$B$16,Paramètres!$A$1:$I$89,3,0)*VLOOKUP('Données projet'!$B$16,Paramètres!$A$1:$I$89,5,0)</f>
        <v>2.8545188970678415</v>
      </c>
      <c r="FG10" s="13">
        <f t="shared" si="47"/>
        <v>1.1642894309941516</v>
      </c>
      <c r="FH10" s="20">
        <f t="shared" si="22"/>
        <v>6.9994245047079717</v>
      </c>
      <c r="FI10" s="59">
        <f t="shared" si="23"/>
        <v>300.33275783804129</v>
      </c>
      <c r="FJ10" s="59">
        <f ca="1">AVERAGE(OFFSET($FI$3,0,0,'Données projet'!$E$16+1,1))-AVERAGE(OFFSET($H$3,0,0,'Données projet'!$E$16+1,1))</f>
        <v>270.30888762640245</v>
      </c>
      <c r="FK10" s="59">
        <f t="shared" si="48"/>
        <v>202.23783851977691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>
        <f>EXP(-LN(2)/35)*FQ9+(1-EXP(-LN(2)/35))/(LN(2)/35)*FM10*FN10*VLOOKUP('Données projet'!$B$16,Paramètres!$A$1:$I$89,3,0)*0.475*44/12</f>
        <v>0</v>
      </c>
      <c r="FR10" s="21">
        <f>EXP(-LN(2)/25)*FR9+(1-EXP(-LN(2)/25))/(LN(2)/25)*Calculateur!FM10*Calculateur!FO10*VLOOKUP('Données projet'!$B$16,Paramètres!$A$1:$I$89,3,0)*0.475*44/12</f>
        <v>0</v>
      </c>
      <c r="FS10" s="21">
        <f>EXP(-LN(2)/2)*FS9+(1-EXP(-LN(2)/2))/(LN(2)/2)*FM10*FP10*VLOOKUP('Données projet'!$B$16,Paramètres!$A$1:$I$89,3,0)*0.475*44/12</f>
        <v>0</v>
      </c>
      <c r="FT10" s="22">
        <f t="shared" si="24"/>
        <v>0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1.1000000000000001</v>
      </c>
      <c r="FZ10" s="12">
        <f>IF('Données projet'!$A$244&gt;35,FZ9+FY10-GH9,IF(A10&lt;'Données projet'!$A$244,$FW$205^A10,IF(A10='Données projet'!$A$244,'Données projet'!$B$244,FZ9+FY10-GH9)))</f>
        <v>5.3576566694841175</v>
      </c>
      <c r="GA10" s="17">
        <f>FZ10*VLOOKUP('Données projet'!$B$17,Paramètres!$A$1:$I$89,3,0)*VLOOKUP('Données projet'!$B$17,Paramètres!$A$1:$I$89,5,0)</f>
        <v>4.2625516462415645</v>
      </c>
      <c r="GB10" s="13">
        <f t="shared" si="49"/>
        <v>1.6593124478620722</v>
      </c>
      <c r="GC10" s="20">
        <f t="shared" si="25"/>
        <v>10.313913297230501</v>
      </c>
      <c r="GD10" s="59">
        <f t="shared" si="26"/>
        <v>303.64724663056381</v>
      </c>
      <c r="GE10" s="59">
        <f ca="1">AVERAGE(OFFSET($GD$3,0,0,'Données projet'!$E$17+1,1))-AVERAGE(OFFSET($H$3,0,0,'Données projet'!$E$17+1,1))</f>
        <v>260.20517190557814</v>
      </c>
      <c r="GF10" s="59">
        <f t="shared" si="50"/>
        <v>307.22009971147133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>
        <f>EXP(-LN(2)/35)*GL9+(1-EXP(-LN(2)/35))/(LN(2)/35)*GH10*GI10*VLOOKUP('Données projet'!$B$17,Paramètres!$A$1:$I$89,3,0)*0.475*44/12</f>
        <v>0</v>
      </c>
      <c r="GM10" s="21">
        <f>EXP(-LN(2)/25)*GM9+(1-EXP(-LN(2)/25))/(LN(2)/25)*Calculateur!GH10*Calculateur!GJ10*VLOOKUP('Données projet'!$B$17,Paramètres!$A$1:$I$89,3,0)*0.475*44/12</f>
        <v>0</v>
      </c>
      <c r="GN10" s="21">
        <f>EXP(-LN(2)/2)*GN9+(1-EXP(-LN(2)/2))/(LN(2)/2)*GH10*GK10*VLOOKUP('Données projet'!$B$17,Paramètres!$A$1:$I$89,3,0)*0.475*44/12</f>
        <v>0</v>
      </c>
      <c r="GO10" s="21">
        <f t="shared" si="27"/>
        <v>0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4.75</v>
      </c>
      <c r="GU10" s="12">
        <f>IF('Données projet'!$A$270&gt;35,GU9+GT10-HC9,IF(A10&lt;'Données projet'!$A$270,$GR$205^A10,IF(A10='Données projet'!$A$270,'Données projet'!$B$270,GU9+GT10-HC9)))</f>
        <v>4.9226987771675601</v>
      </c>
      <c r="GV10" s="17">
        <f>GU10*VLOOKUP('Données projet'!$B$18,Paramètres!$A$1:$I$89,3,0)*VLOOKUP('Données projet'!$B$18,Paramètres!$A$1:$I$89,5,0)</f>
        <v>3.9164991471145107</v>
      </c>
      <c r="GW10" s="13">
        <f t="shared" si="51"/>
        <v>1.5397023397997951</v>
      </c>
      <c r="GX10" s="20">
        <f t="shared" si="28"/>
        <v>9.5028842563757507</v>
      </c>
      <c r="GY10" s="59">
        <f t="shared" si="29"/>
        <v>302.83621758970907</v>
      </c>
      <c r="GZ10" s="59">
        <f ca="1">AVERAGE(OFFSET($GY$3,0,0,'Données projet'!$E$18+1,1))-AVERAGE(OFFSET($H$3,0,0,'Données projet'!$E$18+1,1))</f>
        <v>199.58763537752952</v>
      </c>
      <c r="HA10" s="59">
        <f t="shared" si="52"/>
        <v>242.62852778451929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>
        <f>EXP(-LN(2)/35)*HG9+(1-EXP(-LN(2)/35))/(LN(2)/35)*HC10*HD10*VLOOKUP('Données projet'!$B$18,Paramètres!$A$1:$I$89,3,0)*0.475*44/12</f>
        <v>0</v>
      </c>
      <c r="HH10" s="21">
        <f>EXP(-LN(2)/25)*HH9+(1-EXP(-LN(2)/25))/(LN(2)/25)*Calculateur!HC10*Calculateur!HE10*VLOOKUP('Données projet'!$B$18,Paramètres!$A$1:$I$89,3,0)*0.475*44/12</f>
        <v>0</v>
      </c>
      <c r="HI10" s="21">
        <f>EXP(-LN(2)/2)*HI9+(1-EXP(-LN(2)/2))/(LN(2)/2)*HC10*HF10*VLOOKUP('Données projet'!$B$18,Paramètres!$A$1:$I$89,3,0)*0.475*44/12</f>
        <v>0</v>
      </c>
      <c r="HJ10" s="22">
        <f t="shared" si="30"/>
        <v>0</v>
      </c>
    </row>
    <row r="11" spans="1:218" x14ac:dyDescent="0.2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7.113599999999999</v>
      </c>
      <c r="D11" s="11">
        <f t="shared" si="32"/>
        <v>2.6089051793396716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75.050917173850095</v>
      </c>
      <c r="H11" s="67">
        <f t="shared" si="1"/>
        <v>310.26669652068324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9.3968325791855207</v>
      </c>
      <c r="N11" s="13">
        <f>IF('Données projet'!$A$36&gt;35,N10+M11-V10,IF(A11&lt;'Données projet'!$A$36,$K$205^A11,IF(A11='Données projet'!$A$36,'Données projet'!$B$36,N10+M11-V10)))</f>
        <v>10.88700515391691</v>
      </c>
      <c r="O11" s="13">
        <f>N11*VLOOKUP('Données projet'!$B$9,Paramètres!$A$1:$I$89,3,0)*VLOOKUP('Données projet'!$B$9,Paramètres!$A$1:$I$89,5,0)</f>
        <v>6.0858358810395528</v>
      </c>
      <c r="P11" s="13">
        <f t="shared" si="33"/>
        <v>2.2728848076650809</v>
      </c>
      <c r="Q11" s="20">
        <f t="shared" si="2"/>
        <v>14.558105199493902</v>
      </c>
      <c r="R11" s="59">
        <f t="shared" si="0"/>
        <v>307.89143853282724</v>
      </c>
      <c r="S11" s="59">
        <f ca="1">AVERAGE(OFFSET($R$3,0,0,'Données projet'!$E$9+1,1))-AVERAGE(OFFSET($H$3,0,0,'Données projet'!$E$9+1,1))</f>
        <v>255.5374979188561</v>
      </c>
      <c r="T11" s="59">
        <f t="shared" si="34"/>
        <v>343.10418468620901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7.7987854251012134</v>
      </c>
      <c r="AI11" s="13">
        <f>IF('Données projet'!$A$62&gt;35,AI10+AH11-AQ10,IF(A11&lt;'Données projet'!$A$62,$AF$205^A11,IF(A11='Données projet'!$A$62,'Données projet'!$B$62,AI10+AH11-AQ10)))</f>
        <v>8.2037586004457506</v>
      </c>
      <c r="AJ11" s="13">
        <f>AI11*VLOOKUP('Données projet'!$B$10,Paramètres!$A$1:$I$89,3,0)*VLOOKUP('Données projet'!$B$10,Paramètres!$A$1:$I$89,5,0)</f>
        <v>4.5859010576491741</v>
      </c>
      <c r="AK11" s="13">
        <f t="shared" si="35"/>
        <v>1.770055616789747</v>
      </c>
      <c r="AL11" s="20">
        <f t="shared" si="4"/>
        <v>11.069957874647789</v>
      </c>
      <c r="AM11" s="59">
        <f t="shared" si="5"/>
        <v>304.40329120798111</v>
      </c>
      <c r="AN11" s="59">
        <f ca="1">AVERAGE(OFFSET($AM$3,0,0,'Données projet'!$E$10+1,1))-AVERAGE(OFFSET($H$3,0,0,'Données projet'!$E$10+1,1))</f>
        <v>224.7049802939942</v>
      </c>
      <c r="AO11" s="59">
        <f t="shared" si="36"/>
        <v>203.48513862195352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3.6</v>
      </c>
      <c r="BD11" s="12">
        <f>IF('Données projet'!$A$88&gt;35,BD10+BC11-BL10,IF(A11&lt;'Données projet'!$A$88,$BA$205^A11,IF(A11='Données projet'!$A$88,'Données projet'!$B$88,BD10+BC11-BL10)))</f>
        <v>17.580936309501134</v>
      </c>
      <c r="BE11" s="13">
        <f>BD11*VLOOKUP('Données projet'!$B$11,Paramètres!$A$1:$I$89,3,0)*VLOOKUP('Données projet'!$B$11,Paramètres!$A$1:$I$89,5,0)</f>
        <v>9.599191224987619</v>
      </c>
      <c r="BF11" s="13">
        <f t="shared" si="37"/>
        <v>3.3998095987127641</v>
      </c>
      <c r="BG11" s="20">
        <f t="shared" si="7"/>
        <v>22.6399264346115</v>
      </c>
      <c r="BH11" s="59">
        <f t="shared" si="8"/>
        <v>315.9732597679448</v>
      </c>
      <c r="BI11" s="59">
        <f ca="1">AVERAGE(OFFSET($BH$3,0,0,'Données projet'!$E$11+1,1))-AVERAGE(OFFSET($H$3,0,0,'Données projet'!$E$11+1,1))</f>
        <v>210.04871822652808</v>
      </c>
      <c r="BJ11" s="59">
        <f t="shared" si="38"/>
        <v>250.17540614049324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2.2999999999999998</v>
      </c>
      <c r="BY11" s="12">
        <f>IF('Données projet'!$A$114&gt;35,BY10+BX11-CG10,IF(A11&lt;'Données projet'!$A$114,$BV$205^A11,IF(A11='Données projet'!$A$114,'Données projet'!$B$114,BY10+BX11-CG10)))</f>
        <v>12.285201067417038</v>
      </c>
      <c r="BZ11" s="13">
        <f>BY11*VLOOKUP('Données projet'!$B$12,Paramètres!$A$1:$I$89,3,0)*VLOOKUP('Données projet'!$B$12,Paramètres!$A$1:$I$89,5,0)</f>
        <v>6.7077197828097024</v>
      </c>
      <c r="CA11" s="13">
        <f t="shared" si="39"/>
        <v>2.4769295633162978</v>
      </c>
      <c r="CB11" s="20">
        <f t="shared" si="10"/>
        <v>15.996597611169451</v>
      </c>
      <c r="CC11" s="59">
        <f t="shared" si="11"/>
        <v>309.32993094450279</v>
      </c>
      <c r="CD11" s="59">
        <f ca="1">AVERAGE(OFFSET($CC$3,0,0,'Données projet'!$E$12+1,1))-AVERAGE(OFFSET($H$3,0,0,'Données projet'!$E$12+1,1))</f>
        <v>168.72306536277267</v>
      </c>
      <c r="CE11" s="59">
        <f t="shared" si="40"/>
        <v>203.35476578922339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5.6730769230769225</v>
      </c>
      <c r="CT11" s="12">
        <f>IF('Données projet'!$A$140&gt;35,CT10+CS11-DB10,IF(A11&lt;'Données projet'!$A$140,$CQ$205^A11,IF(A11='Données projet'!$A$140,'Données projet'!$B$140,CT10+CS11-DB10)))</f>
        <v>45.384615384615373</v>
      </c>
      <c r="CU11" s="17">
        <f>CT11*VLOOKUP('Données projet'!$B$13,Paramètres!$A$1:$I$89,3,0)*VLOOKUP('Données projet'!$B$13,Paramètres!$A$1:$I$89,5,0)</f>
        <v>21.829999999999995</v>
      </c>
      <c r="CV11" s="13">
        <f t="shared" si="41"/>
        <v>7.0265144826839263</v>
      </c>
      <c r="CW11" s="20">
        <f t="shared" si="13"/>
        <v>50.258429390674486</v>
      </c>
      <c r="CX11" s="59">
        <f t="shared" si="14"/>
        <v>343.59176272400782</v>
      </c>
      <c r="CY11" s="59">
        <f ca="1">AVERAGE(OFFSET($CX$3,0,0,'Données projet'!$E$13+1,1))-AVERAGE(OFFSET($H$3,0,0,'Données projet'!$E$13+1,1))</f>
        <v>304.15237106473313</v>
      </c>
      <c r="CZ11" s="59">
        <f t="shared" si="42"/>
        <v>120.85458928724336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>
        <f>EXP(-LN(2)/35)*DF10+(1-EXP(-LN(2)/35))/(LN(2)/35)*DB11*DC11*VLOOKUP('Données projet'!$B$13,Paramètres!$A$1:$I$89,3,0)*0.475*44/12</f>
        <v>0</v>
      </c>
      <c r="DG11" s="21">
        <f>EXP(-LN(2)/25)*DG10+(1-EXP(-LN(2)/25))/(LN(2)/25)*Calculateur!DB11*Calculateur!DD11*VLOOKUP('Données projet'!$B$13,Paramètres!$A$1:$I$89,3,0)*0.475*44/12</f>
        <v>0</v>
      </c>
      <c r="DH11" s="21">
        <f>EXP(-LN(2)/2)*DH10+(1-EXP(-LN(2)/2))/(LN(2)/2)*DB11*DE11*VLOOKUP('Données projet'!$B$13,Paramètres!$A$1:$I$89,3,0)*0.475*44/12</f>
        <v>0</v>
      </c>
      <c r="DI11" s="22">
        <f t="shared" si="15"/>
        <v>0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3.8846153846153846</v>
      </c>
      <c r="DO11" s="12">
        <f>IF('Données projet'!$A$166&gt;35,DO10+DN11-DW10,IF(A11&lt;'Données projet'!$A$166,$DL$205^A11,IF(A11='Données projet'!$A$166,'Données projet'!$B$166,DO10+DN11-DW10)))</f>
        <v>31.076923076923073</v>
      </c>
      <c r="DP11" s="17">
        <f>DO11*VLOOKUP('Données projet'!$B$14,Paramètres!$A$1:$I$89,3,0)*VLOOKUP('Données projet'!$B$14,Paramètres!$A$1:$I$89,5,0)</f>
        <v>14.947999999999999</v>
      </c>
      <c r="DQ11" s="13">
        <f t="shared" si="43"/>
        <v>5.0282131843899656</v>
      </c>
      <c r="DR11" s="20">
        <f t="shared" si="16"/>
        <v>34.791904629479184</v>
      </c>
      <c r="DS11" s="59">
        <f t="shared" si="17"/>
        <v>328.12523796281249</v>
      </c>
      <c r="DT11" s="59">
        <f ca="1">AVERAGE(OFFSET($DS$3,0,0,'Données projet'!$E$14+1,1))-AVERAGE(OFFSET($H$3,0,0,'Données projet'!$E$14+1,1))</f>
        <v>91.053246648097399</v>
      </c>
      <c r="DU11" s="59">
        <f t="shared" si="44"/>
        <v>64.716270355703955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>
        <f>EXP(-LN(2)/35)*EA10+(1-EXP(-LN(2)/35))/(LN(2)/35)*DW11*DX11*VLOOKUP('Données projet'!$B$14,Paramètres!$A$1:$I$89,3,0)*0.475*44/12</f>
        <v>0</v>
      </c>
      <c r="EB11" s="21">
        <f>EXP(-LN(2)/25)*EB10+(1-EXP(-LN(2)/25))/(LN(2)/25)*Calculateur!DW11*Calculateur!DY11*VLOOKUP('Données projet'!$B$14,Paramètres!$A$1:$I$89,3,0)*0.475*44/12</f>
        <v>0</v>
      </c>
      <c r="EC11" s="21">
        <f>EXP(-LN(2)/2)*EC10+(1-EXP(-LN(2)/2))/(LN(2)/2)*DW11*DZ11*VLOOKUP('Données projet'!$B$14,Paramètres!$A$1:$I$89,3,0)*0.475*44/12</f>
        <v>0</v>
      </c>
      <c r="ED11" s="22">
        <f t="shared" si="18"/>
        <v>0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5.3</v>
      </c>
      <c r="EJ11" s="12">
        <f>IF('Données projet'!$A$192&gt;35,EJ10+EI11-ER10,IF(A11&lt;'Données projet'!$A$192,$EG$205^A11,IF(A11='Données projet'!$A$192,'Données projet'!$B$192,EJ10+EI11-ER10)))</f>
        <v>6.4583614340776521</v>
      </c>
      <c r="EK11" s="17">
        <f>EJ11*VLOOKUP('Données projet'!$B$15,Paramètres!$A$1:$I$89,3,0)*VLOOKUP('Données projet'!$B$15,Paramètres!$A$1:$I$89,5,0)</f>
        <v>3.8621001375784361</v>
      </c>
      <c r="EL11" s="13">
        <f t="shared" si="45"/>
        <v>1.520790307840248</v>
      </c>
      <c r="EM11" s="20">
        <f t="shared" si="19"/>
        <v>9.375200859104206</v>
      </c>
      <c r="EN11" s="59">
        <f t="shared" si="20"/>
        <v>302.70853419243753</v>
      </c>
      <c r="EO11" s="59">
        <f ca="1">AVERAGE(OFFSET($EN$3,0,0,'Données projet'!$E$15+1,1))-AVERAGE(OFFSET($H$3,0,0,'Données projet'!$E$15+1,1))</f>
        <v>316.58509520829671</v>
      </c>
      <c r="EP11" s="59">
        <f t="shared" si="46"/>
        <v>240.71332110643596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>
        <f>EXP(-LN(2)/35)*EV10+(1-EXP(-LN(2)/35))/(LN(2)/35)*ER11*ES11*VLOOKUP('Données projet'!$B$15,Paramètres!$A$1:$I$89,3,0)*0.475*44/12</f>
        <v>0</v>
      </c>
      <c r="EW11" s="21">
        <f>EXP(-LN(2)/25)*EW10+(1-EXP(-LN(2)/25))/(LN(2)/25)*Calculateur!ER11*Calculateur!ET11*VLOOKUP('Données projet'!$B$15,Paramètres!$A$1:$I$89,3,0)*0.475*44/12</f>
        <v>0</v>
      </c>
      <c r="EX11" s="21">
        <f>EXP(-LN(2)/2)*EX10+(1-EXP(-LN(2)/2))/(LN(2)/2)*ER11*EU11*VLOOKUP('Données projet'!$B$15,Paramètres!$A$1:$I$89,3,0)*0.475*44/12</f>
        <v>0</v>
      </c>
      <c r="EY11" s="22">
        <f t="shared" si="21"/>
        <v>0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4.3499999999999996</v>
      </c>
      <c r="FE11" s="12">
        <f>IF('Données projet'!$A$218&gt;35,FE10+FD11-FM10,IF(A11&lt;'Données projet'!$A$218,$FB$205^A11,IF(A11='Données projet'!$A$218,'Données projet'!$B$218,FE10+FD11-FM10)))</f>
        <v>5.9677098701087603</v>
      </c>
      <c r="FF11" s="17">
        <f>FE11*VLOOKUP('Données projet'!$B$16,Paramètres!$A$1:$I$89,3,0)*VLOOKUP('Données projet'!$B$16,Paramètres!$A$1:$I$89,5,0)</f>
        <v>3.5686905023250386</v>
      </c>
      <c r="FG11" s="13">
        <f t="shared" si="47"/>
        <v>1.4182373406363031</v>
      </c>
      <c r="FH11" s="20">
        <f t="shared" si="22"/>
        <v>8.6855659931576685</v>
      </c>
      <c r="FI11" s="59">
        <f t="shared" si="23"/>
        <v>302.01889932649101</v>
      </c>
      <c r="FJ11" s="59">
        <f ca="1">AVERAGE(OFFSET($FI$3,0,0,'Données projet'!$E$16+1,1))-AVERAGE(OFFSET($H$3,0,0,'Données projet'!$E$16+1,1))</f>
        <v>270.30888762640245</v>
      </c>
      <c r="FK11" s="59">
        <f t="shared" si="48"/>
        <v>202.23783851977691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>
        <f>EXP(-LN(2)/35)*FQ10+(1-EXP(-LN(2)/35))/(LN(2)/35)*FM11*FN11*VLOOKUP('Données projet'!$B$16,Paramètres!$A$1:$I$89,3,0)*0.475*44/12</f>
        <v>0</v>
      </c>
      <c r="FR11" s="21">
        <f>EXP(-LN(2)/25)*FR10+(1-EXP(-LN(2)/25))/(LN(2)/25)*Calculateur!FM11*Calculateur!FO11*VLOOKUP('Données projet'!$B$16,Paramètres!$A$1:$I$89,3,0)*0.475*44/12</f>
        <v>0</v>
      </c>
      <c r="FS11" s="21">
        <f>EXP(-LN(2)/2)*FS10+(1-EXP(-LN(2)/2))/(LN(2)/2)*FM11*FP11*VLOOKUP('Données projet'!$B$16,Paramètres!$A$1:$I$89,3,0)*0.475*44/12</f>
        <v>0</v>
      </c>
      <c r="FT11" s="22">
        <f t="shared" si="24"/>
        <v>0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1.1000000000000001</v>
      </c>
      <c r="FZ11" s="12">
        <f>IF('Données projet'!$A$244&gt;35,FZ10+FY11-GH10,IF(A11&lt;'Données projet'!$A$244,$FW$205^A11,IF(A11='Données projet'!$A$244,'Données projet'!$B$244,FZ10+FY11-GH10)))</f>
        <v>6.8094831275223076</v>
      </c>
      <c r="GA11" s="17">
        <f>FZ11*VLOOKUP('Données projet'!$B$17,Paramètres!$A$1:$I$89,3,0)*VLOOKUP('Données projet'!$B$17,Paramètres!$A$1:$I$89,5,0)</f>
        <v>5.4176247762567487</v>
      </c>
      <c r="GB11" s="13">
        <f t="shared" si="49"/>
        <v>2.0509054013412618</v>
      </c>
      <c r="GC11" s="20">
        <f t="shared" si="25"/>
        <v>13.007690059316532</v>
      </c>
      <c r="GD11" s="59">
        <f t="shared" si="26"/>
        <v>306.34102339264984</v>
      </c>
      <c r="GE11" s="59">
        <f ca="1">AVERAGE(OFFSET($GD$3,0,0,'Données projet'!$E$17+1,1))-AVERAGE(OFFSET($H$3,0,0,'Données projet'!$E$17+1,1))</f>
        <v>260.20517190557814</v>
      </c>
      <c r="GF11" s="59">
        <f t="shared" si="50"/>
        <v>307.22009971147133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>
        <f>EXP(-LN(2)/35)*GL10+(1-EXP(-LN(2)/35))/(LN(2)/35)*GH11*GI11*VLOOKUP('Données projet'!$B$17,Paramètres!$A$1:$I$89,3,0)*0.475*44/12</f>
        <v>0</v>
      </c>
      <c r="GM11" s="21">
        <f>EXP(-LN(2)/25)*GM10+(1-EXP(-LN(2)/25))/(LN(2)/25)*Calculateur!GH11*Calculateur!GJ11*VLOOKUP('Données projet'!$B$17,Paramètres!$A$1:$I$89,3,0)*0.475*44/12</f>
        <v>0</v>
      </c>
      <c r="GN11" s="21">
        <f>EXP(-LN(2)/2)*GN10+(1-EXP(-LN(2)/2))/(LN(2)/2)*GH11*GK11*VLOOKUP('Données projet'!$B$17,Paramètres!$A$1:$I$89,3,0)*0.475*44/12</f>
        <v>0</v>
      </c>
      <c r="GO11" s="21">
        <f t="shared" si="27"/>
        <v>0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4.75</v>
      </c>
      <c r="GU11" s="12">
        <f>IF('Données projet'!$A$270&gt;35,GU10+GT11-HC10,IF(A11&lt;'Données projet'!$A$270,$GR$205^A11,IF(A11='Données projet'!$A$270,'Données projet'!$B$270,GU10+GT11-HC10)))</f>
        <v>6.1814369253798551</v>
      </c>
      <c r="GV11" s="17">
        <f>GU11*VLOOKUP('Données projet'!$B$18,Paramètres!$A$1:$I$89,3,0)*VLOOKUP('Données projet'!$B$18,Paramètres!$A$1:$I$89,5,0)</f>
        <v>4.9179512178322131</v>
      </c>
      <c r="GW11" s="13">
        <f t="shared" si="51"/>
        <v>1.8828364559270923</v>
      </c>
      <c r="GX11" s="20">
        <f t="shared" si="28"/>
        <v>11.844705198464125</v>
      </c>
      <c r="GY11" s="59">
        <f t="shared" si="29"/>
        <v>305.17803853179743</v>
      </c>
      <c r="GZ11" s="59">
        <f ca="1">AVERAGE(OFFSET($GY$3,0,0,'Données projet'!$E$18+1,1))-AVERAGE(OFFSET($H$3,0,0,'Données projet'!$E$18+1,1))</f>
        <v>199.58763537752952</v>
      </c>
      <c r="HA11" s="59">
        <f t="shared" si="52"/>
        <v>242.62852778451929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>
        <f>EXP(-LN(2)/35)*HG10+(1-EXP(-LN(2)/35))/(LN(2)/35)*HC11*HD11*VLOOKUP('Données projet'!$B$18,Paramètres!$A$1:$I$89,3,0)*0.475*44/12</f>
        <v>0</v>
      </c>
      <c r="HH11" s="21">
        <f>EXP(-LN(2)/25)*HH10+(1-EXP(-LN(2)/25))/(LN(2)/25)*Calculateur!HC11*Calculateur!HE11*VLOOKUP('Données projet'!$B$18,Paramètres!$A$1:$I$89,3,0)*0.475*44/12</f>
        <v>0</v>
      </c>
      <c r="HI11" s="21">
        <f>EXP(-LN(2)/2)*HI10+(1-EXP(-LN(2)/2))/(LN(2)/2)*HC11*HF11*VLOOKUP('Données projet'!$B$18,Paramètres!$A$1:$I$89,3,0)*0.475*44/12</f>
        <v>0</v>
      </c>
      <c r="HJ11" s="22">
        <f t="shared" si="30"/>
        <v>0</v>
      </c>
    </row>
    <row r="12" spans="1:218" x14ac:dyDescent="0.2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8.0027999999999988</v>
      </c>
      <c r="D12" s="11">
        <f t="shared" si="32"/>
        <v>2.8950539664743791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84.123785004363612</v>
      </c>
      <c r="H12" s="67">
        <f t="shared" si="1"/>
        <v>312.31376232494284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9.3968325791855207</v>
      </c>
      <c r="N12" s="13">
        <f>IF('Données projet'!$A$36&gt;35,N11+M12-V11,IF(A12&lt;'Données projet'!$A$36,$K$205^A12,IF(A12='Données projet'!$A$36,'Données projet'!$B$36,N11+M12-V11)))</f>
        <v>14.673103538366622</v>
      </c>
      <c r="O12" s="13">
        <f>N12*VLOOKUP('Données projet'!$B$9,Paramètres!$A$1:$I$89,3,0)*VLOOKUP('Données projet'!$B$9,Paramètres!$A$1:$I$89,5,0)</f>
        <v>8.2022648779469414</v>
      </c>
      <c r="P12" s="13">
        <f t="shared" si="33"/>
        <v>2.9587206421790828</v>
      </c>
      <c r="Q12" s="20">
        <f t="shared" si="2"/>
        <v>19.438716447552824</v>
      </c>
      <c r="R12" s="59">
        <f t="shared" si="0"/>
        <v>312.77204978088616</v>
      </c>
      <c r="S12" s="59">
        <f ca="1">AVERAGE(OFFSET($R$3,0,0,'Données projet'!$E$9+1,1))-AVERAGE(OFFSET($H$3,0,0,'Données projet'!$E$9+1,1))</f>
        <v>255.5374979188561</v>
      </c>
      <c r="T12" s="59">
        <f t="shared" si="34"/>
        <v>343.10418468620901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7.7987854251012134</v>
      </c>
      <c r="AI12" s="13">
        <f>IF('Données projet'!$A$62&gt;35,AI11+AH12-AQ11,IF(A12&lt;'Données projet'!$A$62,$AF$205^A12,IF(A12='Données projet'!$A$62,'Données projet'!$B$62,AI11+AH12-AQ11)))</f>
        <v>10.672458669818059</v>
      </c>
      <c r="AJ12" s="13">
        <f>AI12*VLOOKUP('Données projet'!$B$10,Paramètres!$A$1:$I$89,3,0)*VLOOKUP('Données projet'!$B$10,Paramètres!$A$1:$I$89,5,0)</f>
        <v>5.9659043964282947</v>
      </c>
      <c r="AK12" s="13">
        <f t="shared" si="35"/>
        <v>2.2332617841362223</v>
      </c>
      <c r="AL12" s="20">
        <f t="shared" si="4"/>
        <v>14.280214431149867</v>
      </c>
      <c r="AM12" s="59">
        <f t="shared" si="5"/>
        <v>307.6135477644832</v>
      </c>
      <c r="AN12" s="59">
        <f ca="1">AVERAGE(OFFSET($AM$3,0,0,'Données projet'!$E$10+1,1))-AVERAGE(OFFSET($H$3,0,0,'Données projet'!$E$10+1,1))</f>
        <v>224.7049802939942</v>
      </c>
      <c r="AO12" s="59">
        <f t="shared" si="36"/>
        <v>203.48513862195352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3.6</v>
      </c>
      <c r="BD12" s="12">
        <f>IF('Données projet'!$A$88&gt;35,BD11+BC12-BL11,IF(A12&lt;'Données projet'!$A$88,$BA$205^A12,IF(A12='Données projet'!$A$88,'Données projet'!$B$88,BD11+BC12-BL11)))</f>
        <v>25.157776275776861</v>
      </c>
      <c r="BE12" s="13">
        <f>BD12*VLOOKUP('Données projet'!$B$11,Paramètres!$A$1:$I$89,3,0)*VLOOKUP('Données projet'!$B$11,Paramètres!$A$1:$I$89,5,0)</f>
        <v>13.736145846574166</v>
      </c>
      <c r="BF12" s="13">
        <f t="shared" si="37"/>
        <v>4.6662659204824557</v>
      </c>
      <c r="BG12" s="20">
        <f t="shared" si="7"/>
        <v>32.050867160956948</v>
      </c>
      <c r="BH12" s="59">
        <f t="shared" si="8"/>
        <v>325.38420049429027</v>
      </c>
      <c r="BI12" s="59">
        <f ca="1">AVERAGE(OFFSET($BH$3,0,0,'Données projet'!$E$11+1,1))-AVERAGE(OFFSET($H$3,0,0,'Données projet'!$E$11+1,1))</f>
        <v>210.04871822652808</v>
      </c>
      <c r="BJ12" s="59">
        <f t="shared" si="38"/>
        <v>250.17540614049324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2.2999999999999998</v>
      </c>
      <c r="BY12" s="12">
        <f>IF('Données projet'!$A$114&gt;35,BY11+BX12-CG11,IF(A12&lt;'Données projet'!$A$114,$BV$205^A12,IF(A12='Données projet'!$A$114,'Données projet'!$B$114,BY11+BX12-CG11)))</f>
        <v>16.809509943796456</v>
      </c>
      <c r="BZ12" s="13">
        <f>BY12*VLOOKUP('Données projet'!$B$12,Paramètres!$A$1:$I$89,3,0)*VLOOKUP('Données projet'!$B$12,Paramètres!$A$1:$I$89,5,0)</f>
        <v>9.1779924293128641</v>
      </c>
      <c r="CA12" s="13">
        <f t="shared" si="39"/>
        <v>3.2676529755758974</v>
      </c>
      <c r="CB12" s="20">
        <f t="shared" si="10"/>
        <v>21.676165746847925</v>
      </c>
      <c r="CC12" s="59">
        <f t="shared" si="11"/>
        <v>315.00949908018123</v>
      </c>
      <c r="CD12" s="59">
        <f ca="1">AVERAGE(OFFSET($CC$3,0,0,'Données projet'!$E$12+1,1))-AVERAGE(OFFSET($H$3,0,0,'Données projet'!$E$12+1,1))</f>
        <v>168.72306536277267</v>
      </c>
      <c r="CE12" s="59">
        <f t="shared" si="40"/>
        <v>203.35476578922339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5.6730769230769225</v>
      </c>
      <c r="CT12" s="12">
        <f>IF('Données projet'!$A$140&gt;35,CT11+CS12-DB11,IF(A12&lt;'Données projet'!$A$140,$CQ$205^A12,IF(A12='Données projet'!$A$140,'Données projet'!$B$140,CT11+CS12-DB11)))</f>
        <v>51.057692307692292</v>
      </c>
      <c r="CU12" s="17">
        <f>CT12*VLOOKUP('Données projet'!$B$13,Paramètres!$A$1:$I$89,3,0)*VLOOKUP('Données projet'!$B$13,Paramètres!$A$1:$I$89,5,0)</f>
        <v>24.558749999999993</v>
      </c>
      <c r="CV12" s="13">
        <f t="shared" si="41"/>
        <v>7.7971935448924494</v>
      </c>
      <c r="CW12" s="20">
        <f t="shared" si="13"/>
        <v>56.353268340687663</v>
      </c>
      <c r="CX12" s="59">
        <f t="shared" si="14"/>
        <v>349.68660167402095</v>
      </c>
      <c r="CY12" s="59">
        <f ca="1">AVERAGE(OFFSET($CX$3,0,0,'Données projet'!$E$13+1,1))-AVERAGE(OFFSET($H$3,0,0,'Données projet'!$E$13+1,1))</f>
        <v>304.15237106473313</v>
      </c>
      <c r="CZ12" s="59">
        <f t="shared" si="42"/>
        <v>120.85458928724336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>
        <f>EXP(-LN(2)/35)*DF11+(1-EXP(-LN(2)/35))/(LN(2)/35)*DB12*DC12*VLOOKUP('Données projet'!$B$13,Paramètres!$A$1:$I$89,3,0)*0.475*44/12</f>
        <v>0</v>
      </c>
      <c r="DG12" s="21">
        <f>EXP(-LN(2)/25)*DG11+(1-EXP(-LN(2)/25))/(LN(2)/25)*Calculateur!DB12*Calculateur!DD12*VLOOKUP('Données projet'!$B$13,Paramètres!$A$1:$I$89,3,0)*0.475*44/12</f>
        <v>0</v>
      </c>
      <c r="DH12" s="21">
        <f>EXP(-LN(2)/2)*DH11+(1-EXP(-LN(2)/2))/(LN(2)/2)*DB12*DE12*VLOOKUP('Données projet'!$B$13,Paramètres!$A$1:$I$89,3,0)*0.475*44/12</f>
        <v>0</v>
      </c>
      <c r="DI12" s="22">
        <f t="shared" si="15"/>
        <v>0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3.8846153846153846</v>
      </c>
      <c r="DO12" s="12">
        <f>IF('Données projet'!$A$166&gt;35,DO11+DN12-DW11,IF(A12&lt;'Données projet'!$A$166,$DL$205^A12,IF(A12='Données projet'!$A$166,'Données projet'!$B$166,DO11+DN12-DW11)))</f>
        <v>34.96153846153846</v>
      </c>
      <c r="DP12" s="17">
        <f>DO12*VLOOKUP('Données projet'!$B$14,Paramètres!$A$1:$I$89,3,0)*VLOOKUP('Données projet'!$B$14,Paramètres!$A$1:$I$89,5,0)</f>
        <v>16.816500000000001</v>
      </c>
      <c r="DQ12" s="13">
        <f t="shared" si="43"/>
        <v>5.5797154450172011</v>
      </c>
      <c r="DR12" s="20">
        <f t="shared" si="16"/>
        <v>39.006741900071624</v>
      </c>
      <c r="DS12" s="59">
        <f t="shared" si="17"/>
        <v>332.34007523340495</v>
      </c>
      <c r="DT12" s="59">
        <f ca="1">AVERAGE(OFFSET($DS$3,0,0,'Données projet'!$E$14+1,1))-AVERAGE(OFFSET($H$3,0,0,'Données projet'!$E$14+1,1))</f>
        <v>91.053246648097399</v>
      </c>
      <c r="DU12" s="59">
        <f t="shared" si="44"/>
        <v>64.716270355703955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>
        <f>EXP(-LN(2)/35)*EA11+(1-EXP(-LN(2)/35))/(LN(2)/35)*DW12*DX12*VLOOKUP('Données projet'!$B$14,Paramètres!$A$1:$I$89,3,0)*0.475*44/12</f>
        <v>0</v>
      </c>
      <c r="EB12" s="21">
        <f>EXP(-LN(2)/25)*EB11+(1-EXP(-LN(2)/25))/(LN(2)/25)*Calculateur!DW12*Calculateur!DY12*VLOOKUP('Données projet'!$B$14,Paramètres!$A$1:$I$89,3,0)*0.475*44/12</f>
        <v>0</v>
      </c>
      <c r="EC12" s="21">
        <f>EXP(-LN(2)/2)*EC11+(1-EXP(-LN(2)/2))/(LN(2)/2)*DW12*DZ12*VLOOKUP('Données projet'!$B$14,Paramètres!$A$1:$I$89,3,0)*0.475*44/12</f>
        <v>0</v>
      </c>
      <c r="ED12" s="22">
        <f t="shared" si="18"/>
        <v>0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5.3</v>
      </c>
      <c r="EJ12" s="12">
        <f>IF('Données projet'!$A$192&gt;35,EJ11+EI12-ER11,IF(A12&lt;'Données projet'!$A$192,$EG$205^A12,IF(A12='Données projet'!$A$192,'Données projet'!$B$192,EJ11+EI12-ER11)))</f>
        <v>8.1543179139691304</v>
      </c>
      <c r="EK12" s="17">
        <f>EJ12*VLOOKUP('Données projet'!$B$15,Paramètres!$A$1:$I$89,3,0)*VLOOKUP('Données projet'!$B$15,Paramètres!$A$1:$I$89,5,0)</f>
        <v>4.8762821125535405</v>
      </c>
      <c r="EL12" s="13">
        <f t="shared" si="45"/>
        <v>1.8687334058094056</v>
      </c>
      <c r="EM12" s="20">
        <f t="shared" si="19"/>
        <v>11.747568694482132</v>
      </c>
      <c r="EN12" s="59">
        <f t="shared" si="20"/>
        <v>305.08090202781545</v>
      </c>
      <c r="EO12" s="59">
        <f ca="1">AVERAGE(OFFSET($EN$3,0,0,'Données projet'!$E$15+1,1))-AVERAGE(OFFSET($H$3,0,0,'Données projet'!$E$15+1,1))</f>
        <v>316.58509520829671</v>
      </c>
      <c r="EP12" s="59">
        <f t="shared" si="46"/>
        <v>240.71332110643596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>
        <f>EXP(-LN(2)/35)*EV11+(1-EXP(-LN(2)/35))/(LN(2)/35)*ER12*ES12*VLOOKUP('Données projet'!$B$15,Paramètres!$A$1:$I$89,3,0)*0.475*44/12</f>
        <v>0</v>
      </c>
      <c r="EW12" s="21">
        <f>EXP(-LN(2)/25)*EW11+(1-EXP(-LN(2)/25))/(LN(2)/25)*Calculateur!ER12*Calculateur!ET12*VLOOKUP('Données projet'!$B$15,Paramètres!$A$1:$I$89,3,0)*0.475*44/12</f>
        <v>0</v>
      </c>
      <c r="EX12" s="21">
        <f>EXP(-LN(2)/2)*EX11+(1-EXP(-LN(2)/2))/(LN(2)/2)*ER12*EU12*VLOOKUP('Données projet'!$B$15,Paramètres!$A$1:$I$89,3,0)*0.475*44/12</f>
        <v>0</v>
      </c>
      <c r="EY12" s="22">
        <f t="shared" si="21"/>
        <v>0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4.3499999999999996</v>
      </c>
      <c r="FE12" s="12">
        <f>IF('Données projet'!$A$218&gt;35,FE11+FD12-FM11,IF(A12&lt;'Données projet'!$A$218,$FB$205^A12,IF(A12='Données projet'!$A$218,'Données projet'!$B$218,FE11+FD12-FM11)))</f>
        <v>7.4607702040314701</v>
      </c>
      <c r="FF12" s="17">
        <f>FE12*VLOOKUP('Données projet'!$B$16,Paramètres!$A$1:$I$89,3,0)*VLOOKUP('Données projet'!$B$16,Paramètres!$A$1:$I$89,5,0)</f>
        <v>4.4615405820108194</v>
      </c>
      <c r="FG12" s="13">
        <f t="shared" si="47"/>
        <v>1.7275748631142889</v>
      </c>
      <c r="FH12" s="20">
        <f t="shared" si="22"/>
        <v>10.779376066926231</v>
      </c>
      <c r="FI12" s="59">
        <f t="shared" si="23"/>
        <v>304.11270940025952</v>
      </c>
      <c r="FJ12" s="59">
        <f ca="1">AVERAGE(OFFSET($FI$3,0,0,'Données projet'!$E$16+1,1))-AVERAGE(OFFSET($H$3,0,0,'Données projet'!$E$16+1,1))</f>
        <v>270.30888762640245</v>
      </c>
      <c r="FK12" s="59">
        <f t="shared" si="48"/>
        <v>202.23783851977691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>
        <f>EXP(-LN(2)/35)*FQ11+(1-EXP(-LN(2)/35))/(LN(2)/35)*FM12*FN12*VLOOKUP('Données projet'!$B$16,Paramètres!$A$1:$I$89,3,0)*0.475*44/12</f>
        <v>0</v>
      </c>
      <c r="FR12" s="21">
        <f>EXP(-LN(2)/25)*FR11+(1-EXP(-LN(2)/25))/(LN(2)/25)*Calculateur!FM12*Calculateur!FO12*VLOOKUP('Données projet'!$B$16,Paramètres!$A$1:$I$89,3,0)*0.475*44/12</f>
        <v>0</v>
      </c>
      <c r="FS12" s="21">
        <f>EXP(-LN(2)/2)*FS11+(1-EXP(-LN(2)/2))/(LN(2)/2)*FM12*FP12*VLOOKUP('Données projet'!$B$16,Paramètres!$A$1:$I$89,3,0)*0.475*44/12</f>
        <v>0</v>
      </c>
      <c r="FT12" s="22">
        <f t="shared" si="24"/>
        <v>0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1.1000000000000001</v>
      </c>
      <c r="FZ12" s="12">
        <f>IF('Données projet'!$A$244&gt;35,FZ11+FY12-GH11,IF(A12&lt;'Données projet'!$A$244,$FW$205^A12,IF(A12='Données projet'!$A$244,'Données projet'!$B$244,FZ11+FY12-GH11)))</f>
        <v>8.6547278641645029</v>
      </c>
      <c r="GA12" s="17">
        <f>FZ12*VLOOKUP('Données projet'!$B$17,Paramètres!$A$1:$I$89,3,0)*VLOOKUP('Données projet'!$B$17,Paramètres!$A$1:$I$89,5,0)</f>
        <v>6.8857014887292793</v>
      </c>
      <c r="GB12" s="13">
        <f t="shared" si="49"/>
        <v>2.5349131627802968</v>
      </c>
      <c r="GC12" s="20">
        <f t="shared" si="25"/>
        <v>16.407570518045844</v>
      </c>
      <c r="GD12" s="59">
        <f t="shared" si="26"/>
        <v>309.74090385137913</v>
      </c>
      <c r="GE12" s="59">
        <f ca="1">AVERAGE(OFFSET($GD$3,0,0,'Données projet'!$E$17+1,1))-AVERAGE(OFFSET($H$3,0,0,'Données projet'!$E$17+1,1))</f>
        <v>260.20517190557814</v>
      </c>
      <c r="GF12" s="59">
        <f t="shared" si="50"/>
        <v>307.22009971147133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>
        <f>EXP(-LN(2)/35)*GL11+(1-EXP(-LN(2)/35))/(LN(2)/35)*GH12*GI12*VLOOKUP('Données projet'!$B$17,Paramètres!$A$1:$I$89,3,0)*0.475*44/12</f>
        <v>0</v>
      </c>
      <c r="GM12" s="21">
        <f>EXP(-LN(2)/25)*GM11+(1-EXP(-LN(2)/25))/(LN(2)/25)*Calculateur!GH12*Calculateur!GJ12*VLOOKUP('Données projet'!$B$17,Paramètres!$A$1:$I$89,3,0)*0.475*44/12</f>
        <v>0</v>
      </c>
      <c r="GN12" s="21">
        <f>EXP(-LN(2)/2)*GN11+(1-EXP(-LN(2)/2))/(LN(2)/2)*GH12*GK12*VLOOKUP('Données projet'!$B$17,Paramètres!$A$1:$I$89,3,0)*0.475*44/12</f>
        <v>0</v>
      </c>
      <c r="GO12" s="21">
        <f t="shared" si="27"/>
        <v>0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4.75</v>
      </c>
      <c r="GU12" s="12">
        <f>IF('Données projet'!$A$270&gt;35,GU11+GT12-HC11,IF(A12&lt;'Données projet'!$A$270,$GR$205^A12,IF(A12='Données projet'!$A$270,'Données projet'!$B$270,GU11+GT12-HC11)))</f>
        <v>7.7620354590201153</v>
      </c>
      <c r="GV12" s="17">
        <f>GU12*VLOOKUP('Données projet'!$B$18,Paramètres!$A$1:$I$89,3,0)*VLOOKUP('Données projet'!$B$18,Paramètres!$A$1:$I$89,5,0)</f>
        <v>6.1754754111964036</v>
      </c>
      <c r="GW12" s="13">
        <f t="shared" si="51"/>
        <v>2.3024405614847958</v>
      </c>
      <c r="GX12" s="20">
        <f t="shared" si="28"/>
        <v>14.765703652419754</v>
      </c>
      <c r="GY12" s="59">
        <f t="shared" si="29"/>
        <v>308.09903698575306</v>
      </c>
      <c r="GZ12" s="59">
        <f ca="1">AVERAGE(OFFSET($GY$3,0,0,'Données projet'!$E$18+1,1))-AVERAGE(OFFSET($H$3,0,0,'Données projet'!$E$18+1,1))</f>
        <v>199.58763537752952</v>
      </c>
      <c r="HA12" s="59">
        <f t="shared" si="52"/>
        <v>242.62852778451929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>
        <f>EXP(-LN(2)/35)*HG11+(1-EXP(-LN(2)/35))/(LN(2)/35)*HC12*HD12*VLOOKUP('Données projet'!$B$18,Paramètres!$A$1:$I$89,3,0)*0.475*44/12</f>
        <v>0</v>
      </c>
      <c r="HH12" s="21">
        <f>EXP(-LN(2)/25)*HH11+(1-EXP(-LN(2)/25))/(LN(2)/25)*Calculateur!HC12*Calculateur!HE12*VLOOKUP('Données projet'!$B$18,Paramètres!$A$1:$I$89,3,0)*0.475*44/12</f>
        <v>0</v>
      </c>
      <c r="HI12" s="21">
        <f>EXP(-LN(2)/2)*HI11+(1-EXP(-LN(2)/2))/(LN(2)/2)*HC12*HF12*VLOOKUP('Données projet'!$B$18,Paramètres!$A$1:$I$89,3,0)*0.475*44/12</f>
        <v>0</v>
      </c>
      <c r="HJ12" s="22">
        <f t="shared" si="30"/>
        <v>0</v>
      </c>
    </row>
    <row r="13" spans="1:218" x14ac:dyDescent="0.2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8.8919999999999995</v>
      </c>
      <c r="D13" s="11">
        <f t="shared" si="32"/>
        <v>3.177517729464268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93.16820703446102</v>
      </c>
      <c r="H13" s="67">
        <f t="shared" si="1"/>
        <v>314.35441004548358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9.3968325791855207</v>
      </c>
      <c r="N13" s="13">
        <f>IF('Données projet'!$A$36&gt;35,N12+M13-V12,IF(A13&lt;'Données projet'!$A$36,$K$205^A13,IF(A13='Données projet'!$A$36,'Données projet'!$B$36,N12+M13-V12)))</f>
        <v>19.775867137361168</v>
      </c>
      <c r="O13" s="13">
        <f>N13*VLOOKUP('Données projet'!$B$9,Paramètres!$A$1:$I$89,3,0)*VLOOKUP('Données projet'!$B$9,Paramètres!$A$1:$I$89,5,0)</f>
        <v>11.054709729784893</v>
      </c>
      <c r="P13" s="13">
        <f t="shared" si="33"/>
        <v>3.851505280397189</v>
      </c>
      <c r="Q13" s="20">
        <f t="shared" si="2"/>
        <v>25.96165780940046</v>
      </c>
      <c r="R13" s="59">
        <f t="shared" si="0"/>
        <v>319.29499114273375</v>
      </c>
      <c r="S13" s="59">
        <f ca="1">AVERAGE(OFFSET($R$3,0,0,'Données projet'!$E$9+1,1))-AVERAGE(OFFSET($H$3,0,0,'Données projet'!$E$9+1,1))</f>
        <v>255.5374979188561</v>
      </c>
      <c r="T13" s="59">
        <f t="shared" si="34"/>
        <v>343.10418468620901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7.7987854251012134</v>
      </c>
      <c r="AI13" s="13">
        <f>IF('Données projet'!$A$62&gt;35,AI12+AH13-AQ12,IF(A13&lt;'Données projet'!$A$62,$AF$205^A13,IF(A13='Données projet'!$A$62,'Données projet'!$B$62,AI12+AH13-AQ12)))</f>
        <v>13.884047496568932</v>
      </c>
      <c r="AJ13" s="13">
        <f>AI13*VLOOKUP('Données projet'!$B$10,Paramètres!$A$1:$I$89,3,0)*VLOOKUP('Données projet'!$B$10,Paramètres!$A$1:$I$89,5,0)</f>
        <v>7.7611825505820331</v>
      </c>
      <c r="AK13" s="13">
        <f t="shared" si="35"/>
        <v>2.8176844553216833</v>
      </c>
      <c r="AL13" s="20">
        <f t="shared" si="4"/>
        <v>18.424860035282308</v>
      </c>
      <c r="AM13" s="59">
        <f t="shared" si="5"/>
        <v>311.75819336861559</v>
      </c>
      <c r="AN13" s="59">
        <f ca="1">AVERAGE(OFFSET($AM$3,0,0,'Données projet'!$E$10+1,1))-AVERAGE(OFFSET($H$3,0,0,'Données projet'!$E$10+1,1))</f>
        <v>224.7049802939942</v>
      </c>
      <c r="AO13" s="59">
        <f t="shared" si="36"/>
        <v>203.48513862195352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>
        <f>VLOOKUP(A13,'Données projet'!$A$87:$I$107,2,0)</f>
        <v>36</v>
      </c>
      <c r="BB13" s="12">
        <f>VLOOKUP(A13,'Données projet'!$A$87:$I$107,9,0)</f>
        <v>3.6</v>
      </c>
      <c r="BC13" s="12">
        <f t="array" ref="BC13">INDEX(BB:BB,MIN(IF(ISNUMBER(BB13:BB209),ROW(BB13:BB209),"")))</f>
        <v>3.6</v>
      </c>
      <c r="BD13" s="12">
        <f>IF('Données projet'!$A$88&gt;35,BD12+BC13-BL12,IF(A13&lt;'Données projet'!$A$88,$BA$205^A13,IF(A13='Données projet'!$A$88,'Données projet'!$B$88,BD12+BC13-BL12)))</f>
        <v>36</v>
      </c>
      <c r="BE13" s="13">
        <f>BD13*VLOOKUP('Données projet'!$B$11,Paramètres!$A$1:$I$89,3,0)*VLOOKUP('Données projet'!$B$11,Paramètres!$A$1:$I$89,5,0)</f>
        <v>19.655999999999999</v>
      </c>
      <c r="BF13" s="13">
        <f t="shared" si="37"/>
        <v>6.4044873715575275</v>
      </c>
      <c r="BG13" s="20">
        <f t="shared" si="7"/>
        <v>45.388682172129364</v>
      </c>
      <c r="BH13" s="59">
        <f t="shared" si="8"/>
        <v>338.72201550546265</v>
      </c>
      <c r="BI13" s="59">
        <f ca="1">AVERAGE(OFFSET($BH$3,0,0,'Données projet'!$E$11+1,1))-AVERAGE(OFFSET($H$3,0,0,'Données projet'!$E$11+1,1))</f>
        <v>210.04871822652808</v>
      </c>
      <c r="BJ13" s="59">
        <f t="shared" si="38"/>
        <v>250.17540614049324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>
        <f>VLOOKUP(A13,'Données projet'!$A$113:$I$133,2,0)</f>
        <v>23</v>
      </c>
      <c r="BW13" s="12">
        <f>VLOOKUP(A13,'Données projet'!$A$113:$I$133,9,0)</f>
        <v>2.2999999999999998</v>
      </c>
      <c r="BX13" s="12">
        <f t="array" ref="BX13">INDEX(BW:BW,MIN(IF(ISNUMBER(BW13:BW209),ROW(BW13:BW209),"")))</f>
        <v>2.2999999999999998</v>
      </c>
      <c r="BY13" s="12">
        <f>IF('Données projet'!$A$114&gt;35,BY12+BX13-CG12,IF(A13&lt;'Données projet'!$A$114,$BV$205^A13,IF(A13='Données projet'!$A$114,'Données projet'!$B$114,BY12+BX13-CG12)))</f>
        <v>23</v>
      </c>
      <c r="BZ13" s="13">
        <f>BY13*VLOOKUP('Données projet'!$B$12,Paramètres!$A$1:$I$89,3,0)*VLOOKUP('Données projet'!$B$12,Paramètres!$A$1:$I$89,5,0)</f>
        <v>12.558</v>
      </c>
      <c r="CA13" s="13">
        <f t="shared" si="39"/>
        <v>4.3108032327306516</v>
      </c>
      <c r="CB13" s="20">
        <f t="shared" si="10"/>
        <v>29.379832297005887</v>
      </c>
      <c r="CC13" s="59">
        <f t="shared" si="11"/>
        <v>322.71316563033918</v>
      </c>
      <c r="CD13" s="59">
        <f ca="1">AVERAGE(OFFSET($CC$3,0,0,'Données projet'!$E$12+1,1))-AVERAGE(OFFSET($H$3,0,0,'Données projet'!$E$12+1,1))</f>
        <v>168.72306536277267</v>
      </c>
      <c r="CE13" s="59">
        <f t="shared" si="40"/>
        <v>203.35476578922339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5.6730769230769225</v>
      </c>
      <c r="CT13" s="12">
        <f>IF('Données projet'!$A$140&gt;35,CT12+CS13-DB12,IF(A13&lt;'Données projet'!$A$140,$CQ$205^A13,IF(A13='Données projet'!$A$140,'Données projet'!$B$140,CT12+CS13-DB12)))</f>
        <v>56.730769230769212</v>
      </c>
      <c r="CU13" s="17">
        <f>CT13*VLOOKUP('Données projet'!$B$13,Paramètres!$A$1:$I$89,3,0)*VLOOKUP('Données projet'!$B$13,Paramètres!$A$1:$I$89,5,0)</f>
        <v>27.287499999999994</v>
      </c>
      <c r="CV13" s="13">
        <f t="shared" si="41"/>
        <v>8.55794780196522</v>
      </c>
      <c r="CW13" s="20">
        <f t="shared" si="13"/>
        <v>62.430821588422752</v>
      </c>
      <c r="CX13" s="59">
        <f t="shared" si="14"/>
        <v>355.76415492175607</v>
      </c>
      <c r="CY13" s="59">
        <f ca="1">AVERAGE(OFFSET($CX$3,0,0,'Données projet'!$E$13+1,1))-AVERAGE(OFFSET($H$3,0,0,'Données projet'!$E$13+1,1))</f>
        <v>304.15237106473313</v>
      </c>
      <c r="CZ13" s="59">
        <f t="shared" si="42"/>
        <v>120.85458928724336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>
        <f>EXP(-LN(2)/35)*DF12+(1-EXP(-LN(2)/35))/(LN(2)/35)*DB13*DC13*VLOOKUP('Données projet'!$B$13,Paramètres!$A$1:$I$89,3,0)*0.475*44/12</f>
        <v>0</v>
      </c>
      <c r="DG13" s="21">
        <f>EXP(-LN(2)/25)*DG12+(1-EXP(-LN(2)/25))/(LN(2)/25)*Calculateur!DB13*Calculateur!DD13*VLOOKUP('Données projet'!$B$13,Paramètres!$A$1:$I$89,3,0)*0.475*44/12</f>
        <v>0</v>
      </c>
      <c r="DH13" s="21">
        <f>EXP(-LN(2)/2)*DH12+(1-EXP(-LN(2)/2))/(LN(2)/2)*DB13*DE13*VLOOKUP('Données projet'!$B$13,Paramètres!$A$1:$I$89,3,0)*0.475*44/12</f>
        <v>0</v>
      </c>
      <c r="DI13" s="22">
        <f t="shared" si="15"/>
        <v>0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3.8846153846153846</v>
      </c>
      <c r="DO13" s="12">
        <f>IF('Données projet'!$A$166&gt;35,DO12+DN13-DW12,IF(A13&lt;'Données projet'!$A$166,$DL$205^A13,IF(A13='Données projet'!$A$166,'Données projet'!$B$166,DO12+DN13-DW12)))</f>
        <v>38.846153846153847</v>
      </c>
      <c r="DP13" s="17">
        <f>DO13*VLOOKUP('Données projet'!$B$14,Paramètres!$A$1:$I$89,3,0)*VLOOKUP('Données projet'!$B$14,Paramètres!$A$1:$I$89,5,0)</f>
        <v>18.684999999999999</v>
      </c>
      <c r="DQ13" s="13">
        <f t="shared" si="43"/>
        <v>6.124115459408543</v>
      </c>
      <c r="DR13" s="20">
        <f t="shared" si="16"/>
        <v>43.209209425136542</v>
      </c>
      <c r="DS13" s="59">
        <f t="shared" si="17"/>
        <v>336.54254275846984</v>
      </c>
      <c r="DT13" s="59">
        <f ca="1">AVERAGE(OFFSET($DS$3,0,0,'Données projet'!$E$14+1,1))-AVERAGE(OFFSET($H$3,0,0,'Données projet'!$E$14+1,1))</f>
        <v>91.053246648097399</v>
      </c>
      <c r="DU13" s="59">
        <f t="shared" si="44"/>
        <v>64.716270355703955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>
        <f>EXP(-LN(2)/35)*EA12+(1-EXP(-LN(2)/35))/(LN(2)/35)*DW13*DX13*VLOOKUP('Données projet'!$B$14,Paramètres!$A$1:$I$89,3,0)*0.475*44/12</f>
        <v>0</v>
      </c>
      <c r="EB13" s="21">
        <f>EXP(-LN(2)/25)*EB12+(1-EXP(-LN(2)/25))/(LN(2)/25)*Calculateur!DW13*Calculateur!DY13*VLOOKUP('Données projet'!$B$14,Paramètres!$A$1:$I$89,3,0)*0.475*44/12</f>
        <v>0</v>
      </c>
      <c r="EC13" s="21">
        <f>EXP(-LN(2)/2)*EC12+(1-EXP(-LN(2)/2))/(LN(2)/2)*DW13*DZ13*VLOOKUP('Données projet'!$B$14,Paramètres!$A$1:$I$89,3,0)*0.475*44/12</f>
        <v>0</v>
      </c>
      <c r="ED13" s="22">
        <f t="shared" si="18"/>
        <v>0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5.3</v>
      </c>
      <c r="EJ13" s="12">
        <f>IF('Données projet'!$A$192&gt;35,EJ12+EI13-ER12,IF(A13&lt;'Données projet'!$A$192,$EG$205^A13,IF(A13='Données projet'!$A$192,'Données projet'!$B$192,EJ12+EI13-ER12)))</f>
        <v>10.295630140986994</v>
      </c>
      <c r="EK13" s="17">
        <f>EJ13*VLOOKUP('Données projet'!$B$15,Paramètres!$A$1:$I$89,3,0)*VLOOKUP('Données projet'!$B$15,Paramètres!$A$1:$I$89,5,0)</f>
        <v>6.1567868243102231</v>
      </c>
      <c r="EL13" s="13">
        <f t="shared" si="45"/>
        <v>2.2962827445602421</v>
      </c>
      <c r="EM13" s="20">
        <f t="shared" si="19"/>
        <v>14.722429499116059</v>
      </c>
      <c r="EN13" s="59">
        <f t="shared" si="20"/>
        <v>308.05576283244937</v>
      </c>
      <c r="EO13" s="59">
        <f ca="1">AVERAGE(OFFSET($EN$3,0,0,'Données projet'!$E$15+1,1))-AVERAGE(OFFSET($H$3,0,0,'Données projet'!$E$15+1,1))</f>
        <v>316.58509520829671</v>
      </c>
      <c r="EP13" s="59">
        <f t="shared" si="46"/>
        <v>240.71332110643596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>
        <f>EXP(-LN(2)/35)*EV12+(1-EXP(-LN(2)/35))/(LN(2)/35)*ER13*ES13*VLOOKUP('Données projet'!$B$15,Paramètres!$A$1:$I$89,3,0)*0.475*44/12</f>
        <v>0</v>
      </c>
      <c r="EW13" s="21">
        <f>EXP(-LN(2)/25)*EW12+(1-EXP(-LN(2)/25))/(LN(2)/25)*Calculateur!ER13*Calculateur!ET13*VLOOKUP('Données projet'!$B$15,Paramètres!$A$1:$I$89,3,0)*0.475*44/12</f>
        <v>0</v>
      </c>
      <c r="EX13" s="21">
        <f>EXP(-LN(2)/2)*EX12+(1-EXP(-LN(2)/2))/(LN(2)/2)*ER13*EU13*VLOOKUP('Données projet'!$B$15,Paramètres!$A$1:$I$89,3,0)*0.475*44/12</f>
        <v>0</v>
      </c>
      <c r="EY13" s="22">
        <f t="shared" si="21"/>
        <v>0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4.3499999999999996</v>
      </c>
      <c r="FE13" s="12">
        <f>IF('Données projet'!$A$218&gt;35,FE12+FD13-FM12,IF(A13&lt;'Données projet'!$A$218,$FB$205^A13,IF(A13='Données projet'!$A$218,'Données projet'!$B$218,FE12+FD13-FM12)))</f>
        <v>9.3273790530888085</v>
      </c>
      <c r="FF13" s="17">
        <f>FE13*VLOOKUP('Données projet'!$B$16,Paramètres!$A$1:$I$89,3,0)*VLOOKUP('Données projet'!$B$16,Paramètres!$A$1:$I$89,5,0)</f>
        <v>5.5777726737471083</v>
      </c>
      <c r="FG13" s="13">
        <f t="shared" si="47"/>
        <v>2.1043832524712172</v>
      </c>
      <c r="FH13" s="20">
        <f t="shared" si="22"/>
        <v>13.379754904830248</v>
      </c>
      <c r="FI13" s="59">
        <f t="shared" si="23"/>
        <v>306.71308823816355</v>
      </c>
      <c r="FJ13" s="59">
        <f ca="1">AVERAGE(OFFSET($FI$3,0,0,'Données projet'!$E$16+1,1))-AVERAGE(OFFSET($H$3,0,0,'Données projet'!$E$16+1,1))</f>
        <v>270.30888762640245</v>
      </c>
      <c r="FK13" s="59">
        <f t="shared" si="48"/>
        <v>202.23783851977691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>
        <f>EXP(-LN(2)/35)*FQ12+(1-EXP(-LN(2)/35))/(LN(2)/35)*FM13*FN13*VLOOKUP('Données projet'!$B$16,Paramètres!$A$1:$I$89,3,0)*0.475*44/12</f>
        <v>0</v>
      </c>
      <c r="FR13" s="21">
        <f>EXP(-LN(2)/25)*FR12+(1-EXP(-LN(2)/25))/(LN(2)/25)*Calculateur!FM13*Calculateur!FO13*VLOOKUP('Données projet'!$B$16,Paramètres!$A$1:$I$89,3,0)*0.475*44/12</f>
        <v>0</v>
      </c>
      <c r="FS13" s="21">
        <f>EXP(-LN(2)/2)*FS12+(1-EXP(-LN(2)/2))/(LN(2)/2)*FM13*FP13*VLOOKUP('Données projet'!$B$16,Paramètres!$A$1:$I$89,3,0)*0.475*44/12</f>
        <v>0</v>
      </c>
      <c r="FT13" s="22">
        <f t="shared" si="24"/>
        <v>0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>
        <f>VLOOKUP(A13,'Données projet'!$A$243:$I$263,2,0)</f>
        <v>11</v>
      </c>
      <c r="FX13" s="12">
        <f>VLOOKUP(A13,'Données projet'!$A$243:$I$263,9,0)</f>
        <v>1.1000000000000001</v>
      </c>
      <c r="FY13" s="12">
        <f t="array" ref="FY13">INDEX(FX:FX,MIN(IF(ISNUMBER(FX13:FX209),ROW(FX13:FX209),"")))</f>
        <v>1.1000000000000001</v>
      </c>
      <c r="FZ13" s="12">
        <f>IF('Données projet'!$A$244&gt;35,FZ12+FY13-GH12,IF(A13&lt;'Données projet'!$A$244,$FW$205^A13,IF(A13='Données projet'!$A$244,'Données projet'!$B$244,FZ12+FY13-GH12)))</f>
        <v>11</v>
      </c>
      <c r="GA13" s="17">
        <f>FZ13*VLOOKUP('Données projet'!$B$17,Paramètres!$A$1:$I$89,3,0)*VLOOKUP('Données projet'!$B$17,Paramètres!$A$1:$I$89,5,0)</f>
        <v>8.7516000000000016</v>
      </c>
      <c r="GB13" s="13">
        <f t="shared" si="49"/>
        <v>3.1331453604025001</v>
      </c>
      <c r="GC13" s="20">
        <f t="shared" si="25"/>
        <v>20.699264836034356</v>
      </c>
      <c r="GD13" s="59">
        <f t="shared" si="26"/>
        <v>314.03259816936765</v>
      </c>
      <c r="GE13" s="59">
        <f ca="1">AVERAGE(OFFSET($GD$3,0,0,'Données projet'!$E$17+1,1))-AVERAGE(OFFSET($H$3,0,0,'Données projet'!$E$17+1,1))</f>
        <v>260.20517190557814</v>
      </c>
      <c r="GF13" s="59">
        <f t="shared" si="50"/>
        <v>307.22009971147133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0.13250000000000001</v>
      </c>
      <c r="GK13" s="16">
        <f>IF(ISNA(VLOOKUP(A13,'Données projet'!$A$243:$I$263,7,0)),0%,VLOOKUP(A13,'Données projet'!$A$243:$I$263,7,0))</f>
        <v>0.25</v>
      </c>
      <c r="GL13" s="21">
        <f>EXP(-LN(2)/35)*GL12+(1-EXP(-LN(2)/35))/(LN(2)/35)*GH13*GI13*VLOOKUP('Données projet'!$B$17,Paramètres!$A$1:$I$89,3,0)*0.475*44/12</f>
        <v>0</v>
      </c>
      <c r="GM13" s="21">
        <f>EXP(-LN(2)/25)*GM12+(1-EXP(-LN(2)/25))/(LN(2)/25)*Calculateur!GH13*Calculateur!GJ13*VLOOKUP('Données projet'!$B$17,Paramètres!$A$1:$I$89,3,0)*0.475*44/12</f>
        <v>0</v>
      </c>
      <c r="GN13" s="21">
        <f>EXP(-LN(2)/2)*GN12+(1-EXP(-LN(2)/2))/(LN(2)/2)*GH13*GK13*VLOOKUP('Données projet'!$B$17,Paramètres!$A$1:$I$89,3,0)*0.475*44/12</f>
        <v>0</v>
      </c>
      <c r="GO13" s="21">
        <f t="shared" si="27"/>
        <v>0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4.75</v>
      </c>
      <c r="GU13" s="12">
        <f>IF('Données projet'!$A$270&gt;35,GU12+GT13-HC12,IF(A13&lt;'Données projet'!$A$270,$GR$205^A13,IF(A13='Données projet'!$A$270,'Données projet'!$B$270,GU12+GT13-HC12)))</f>
        <v>9.7467943448089507</v>
      </c>
      <c r="GV13" s="17">
        <f>GU13*VLOOKUP('Données projet'!$B$18,Paramètres!$A$1:$I$89,3,0)*VLOOKUP('Données projet'!$B$18,Paramètres!$A$1:$I$89,5,0)</f>
        <v>7.7545495807300009</v>
      </c>
      <c r="GW13" s="13">
        <f t="shared" si="51"/>
        <v>2.815556562271968</v>
      </c>
      <c r="GX13" s="20">
        <f t="shared" si="28"/>
        <v>18.409601532395097</v>
      </c>
      <c r="GY13" s="59">
        <f t="shared" si="29"/>
        <v>311.74293486572839</v>
      </c>
      <c r="GZ13" s="59">
        <f ca="1">AVERAGE(OFFSET($GY$3,0,0,'Données projet'!$E$18+1,1))-AVERAGE(OFFSET($H$3,0,0,'Données projet'!$E$18+1,1))</f>
        <v>199.58763537752952</v>
      </c>
      <c r="HA13" s="59">
        <f t="shared" si="52"/>
        <v>242.62852778451929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>
        <f>EXP(-LN(2)/35)*HG12+(1-EXP(-LN(2)/35))/(LN(2)/35)*HC13*HD13*VLOOKUP('Données projet'!$B$18,Paramètres!$A$1:$I$89,3,0)*0.475*44/12</f>
        <v>0</v>
      </c>
      <c r="HH13" s="21">
        <f>EXP(-LN(2)/25)*HH12+(1-EXP(-LN(2)/25))/(LN(2)/25)*Calculateur!HC13*Calculateur!HE13*VLOOKUP('Données projet'!$B$18,Paramètres!$A$1:$I$89,3,0)*0.475*44/12</f>
        <v>0</v>
      </c>
      <c r="HI13" s="21">
        <f>EXP(-LN(2)/2)*HI12+(1-EXP(-LN(2)/2))/(LN(2)/2)*HC13*HF13*VLOOKUP('Données projet'!$B$18,Paramètres!$A$1:$I$89,3,0)*0.475*44/12</f>
        <v>0</v>
      </c>
      <c r="HJ13" s="22">
        <f t="shared" si="30"/>
        <v>0</v>
      </c>
    </row>
    <row r="14" spans="1:218" x14ac:dyDescent="0.2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9.7812000000000001</v>
      </c>
      <c r="D14" s="11">
        <f t="shared" si="32"/>
        <v>3.4567069199829903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102.18735166302658</v>
      </c>
      <c r="H14" s="67">
        <f t="shared" si="1"/>
        <v>316.3893545523037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9.3968325791855207</v>
      </c>
      <c r="N14" s="13">
        <f>IF('Données projet'!$A$36&gt;35,N13+M14-V13,IF(A14&lt;'Données projet'!$A$36,$K$205^A14,IF(A14='Données projet'!$A$36,'Données projet'!$B$36,N13+M14-V13)))</f>
        <v>26.653183494001031</v>
      </c>
      <c r="O14" s="13">
        <f>N14*VLOOKUP('Données projet'!$B$9,Paramètres!$A$1:$I$89,3,0)*VLOOKUP('Données projet'!$B$9,Paramètres!$A$1:$I$89,5,0)</f>
        <v>14.899129573146578</v>
      </c>
      <c r="P14" s="13">
        <f t="shared" si="33"/>
        <v>5.013684872256877</v>
      </c>
      <c r="Q14" s="20">
        <f t="shared" si="2"/>
        <v>34.681485159077681</v>
      </c>
      <c r="R14" s="59">
        <f t="shared" si="0"/>
        <v>328.014818492411</v>
      </c>
      <c r="S14" s="59">
        <f ca="1">AVERAGE(OFFSET($R$3,0,0,'Données projet'!$E$9+1,1))-AVERAGE(OFFSET($H$3,0,0,'Données projet'!$E$9+1,1))</f>
        <v>255.5374979188561</v>
      </c>
      <c r="T14" s="59">
        <f t="shared" si="34"/>
        <v>343.10418468620901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7.7987854251012134</v>
      </c>
      <c r="AI14" s="13">
        <f>IF('Données projet'!$A$62&gt;35,AI13+AH14-AQ13,IF(A14&lt;'Données projet'!$A$62,$AF$205^A14,IF(A14='Données projet'!$A$62,'Données projet'!$B$62,AI13+AH14-AQ13)))</f>
        <v>18.062077432272524</v>
      </c>
      <c r="AJ14" s="13">
        <f>AI14*VLOOKUP('Données projet'!$B$10,Paramètres!$A$1:$I$89,3,0)*VLOOKUP('Données projet'!$B$10,Paramètres!$A$1:$I$89,5,0)</f>
        <v>10.096701284640341</v>
      </c>
      <c r="AK14" s="13">
        <f t="shared" si="35"/>
        <v>3.5550447986697691</v>
      </c>
      <c r="AL14" s="20">
        <f t="shared" si="4"/>
        <v>23.776791095098442</v>
      </c>
      <c r="AM14" s="59">
        <f t="shared" si="5"/>
        <v>317.11012442843173</v>
      </c>
      <c r="AN14" s="59">
        <f ca="1">AVERAGE(OFFSET($AM$3,0,0,'Données projet'!$E$10+1,1))-AVERAGE(OFFSET($H$3,0,0,'Données projet'!$E$10+1,1))</f>
        <v>224.7049802939942</v>
      </c>
      <c r="AO14" s="59">
        <f t="shared" si="36"/>
        <v>203.48513862195352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14.1</v>
      </c>
      <c r="BD14" s="12">
        <f>IF('Données projet'!$A$88&gt;35,BD13+BC14-BL13,IF(A14&lt;'Données projet'!$A$88,$BA$205^A14,IF(A14='Données projet'!$A$88,'Données projet'!$B$88,BD13+BC14-BL13)))</f>
        <v>50.1</v>
      </c>
      <c r="BE14" s="13">
        <f>BD14*VLOOKUP('Données projet'!$B$11,Paramètres!$A$1:$I$89,3,0)*VLOOKUP('Données projet'!$B$11,Paramètres!$A$1:$I$89,5,0)</f>
        <v>27.354600000000001</v>
      </c>
      <c r="BF14" s="13">
        <f t="shared" si="37"/>
        <v>8.5765396264451574</v>
      </c>
      <c r="BG14" s="20">
        <f t="shared" si="7"/>
        <v>62.580068182725313</v>
      </c>
      <c r="BH14" s="59">
        <f t="shared" si="8"/>
        <v>355.91340151605863</v>
      </c>
      <c r="BI14" s="59">
        <f ca="1">AVERAGE(OFFSET($BH$3,0,0,'Données projet'!$E$11+1,1))-AVERAGE(OFFSET($H$3,0,0,'Données projet'!$E$11+1,1))</f>
        <v>210.04871822652808</v>
      </c>
      <c r="BJ14" s="59">
        <f t="shared" si="38"/>
        <v>250.17540614049324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11.4</v>
      </c>
      <c r="BY14" s="12">
        <f>IF('Données projet'!$A$114&gt;35,BY13+BX14-CG13,IF(A14&lt;'Données projet'!$A$114,$BV$205^A14,IF(A14='Données projet'!$A$114,'Données projet'!$B$114,BY13+BX14-CG13)))</f>
        <v>34.4</v>
      </c>
      <c r="BZ14" s="13">
        <f>BY14*VLOOKUP('Données projet'!$B$12,Paramètres!$A$1:$I$89,3,0)*VLOOKUP('Données projet'!$B$12,Paramètres!$A$1:$I$89,5,0)</f>
        <v>18.782399999999999</v>
      </c>
      <c r="CA14" s="13">
        <f t="shared" si="39"/>
        <v>6.1523144400889027</v>
      </c>
      <c r="CB14" s="20">
        <f t="shared" si="10"/>
        <v>43.42796098315484</v>
      </c>
      <c r="CC14" s="59">
        <f t="shared" si="11"/>
        <v>336.76129431648815</v>
      </c>
      <c r="CD14" s="59">
        <f ca="1">AVERAGE(OFFSET($CC$3,0,0,'Données projet'!$E$12+1,1))-AVERAGE(OFFSET($H$3,0,0,'Données projet'!$E$12+1,1))</f>
        <v>168.72306536277267</v>
      </c>
      <c r="CE14" s="59">
        <f t="shared" si="40"/>
        <v>203.35476578922339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5.6730769230769225</v>
      </c>
      <c r="CT14" s="12">
        <f>IF('Données projet'!$A$140&gt;35,CT13+CS14-DB13,IF(A14&lt;'Données projet'!$A$140,$CQ$205^A14,IF(A14='Données projet'!$A$140,'Données projet'!$B$140,CT13+CS14-DB13)))</f>
        <v>62.403846153846132</v>
      </c>
      <c r="CU14" s="17">
        <f>CT14*VLOOKUP('Données projet'!$B$13,Paramètres!$A$1:$I$89,3,0)*VLOOKUP('Données projet'!$B$13,Paramètres!$A$1:$I$89,5,0)</f>
        <v>30.016249999999989</v>
      </c>
      <c r="CV14" s="13">
        <f t="shared" si="41"/>
        <v>9.3098827155541919</v>
      </c>
      <c r="CW14" s="20">
        <f t="shared" si="13"/>
        <v>68.493014479590201</v>
      </c>
      <c r="CX14" s="59">
        <f t="shared" si="14"/>
        <v>361.82634781292353</v>
      </c>
      <c r="CY14" s="59">
        <f ca="1">AVERAGE(OFFSET($CX$3,0,0,'Données projet'!$E$13+1,1))-AVERAGE(OFFSET($H$3,0,0,'Données projet'!$E$13+1,1))</f>
        <v>304.15237106473313</v>
      </c>
      <c r="CZ14" s="59">
        <f t="shared" si="42"/>
        <v>120.85458928724336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>
        <f>EXP(-LN(2)/35)*DF13+(1-EXP(-LN(2)/35))/(LN(2)/35)*DB14*DC14*VLOOKUP('Données projet'!$B$13,Paramètres!$A$1:$I$89,3,0)*0.475*44/12</f>
        <v>0</v>
      </c>
      <c r="DG14" s="21">
        <f>EXP(-LN(2)/25)*DG13+(1-EXP(-LN(2)/25))/(LN(2)/25)*Calculateur!DB14*Calculateur!DD14*VLOOKUP('Données projet'!$B$13,Paramètres!$A$1:$I$89,3,0)*0.475*44/12</f>
        <v>0</v>
      </c>
      <c r="DH14" s="21">
        <f>EXP(-LN(2)/2)*DH13+(1-EXP(-LN(2)/2))/(LN(2)/2)*DB14*DE14*VLOOKUP('Données projet'!$B$13,Paramètres!$A$1:$I$89,3,0)*0.475*44/12</f>
        <v>0</v>
      </c>
      <c r="DI14" s="22">
        <f t="shared" si="15"/>
        <v>0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3.8846153846153846</v>
      </c>
      <c r="DO14" s="12">
        <f>IF('Données projet'!$A$166&gt;35,DO13+DN14-DW13,IF(A14&lt;'Données projet'!$A$166,$DL$205^A14,IF(A14='Données projet'!$A$166,'Données projet'!$B$166,DO13+DN14-DW13)))</f>
        <v>42.730769230769234</v>
      </c>
      <c r="DP14" s="17">
        <f>DO14*VLOOKUP('Données projet'!$B$14,Paramètres!$A$1:$I$89,3,0)*VLOOKUP('Données projet'!$B$14,Paramètres!$A$1:$I$89,5,0)</f>
        <v>20.553500000000003</v>
      </c>
      <c r="DQ14" s="13">
        <f t="shared" si="43"/>
        <v>6.6622043021240573</v>
      </c>
      <c r="DR14" s="20">
        <f t="shared" si="16"/>
        <v>47.400684992866069</v>
      </c>
      <c r="DS14" s="59">
        <f t="shared" si="17"/>
        <v>340.73401832619936</v>
      </c>
      <c r="DT14" s="59">
        <f ca="1">AVERAGE(OFFSET($DS$3,0,0,'Données projet'!$E$14+1,1))-AVERAGE(OFFSET($H$3,0,0,'Données projet'!$E$14+1,1))</f>
        <v>91.053246648097399</v>
      </c>
      <c r="DU14" s="59">
        <f t="shared" si="44"/>
        <v>64.716270355703955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>
        <f>EXP(-LN(2)/35)*EA13+(1-EXP(-LN(2)/35))/(LN(2)/35)*DW14*DX14*VLOOKUP('Données projet'!$B$14,Paramètres!$A$1:$I$89,3,0)*0.475*44/12</f>
        <v>0</v>
      </c>
      <c r="EB14" s="21">
        <f>EXP(-LN(2)/25)*EB13+(1-EXP(-LN(2)/25))/(LN(2)/25)*Calculateur!DW14*Calculateur!DY14*VLOOKUP('Données projet'!$B$14,Paramètres!$A$1:$I$89,3,0)*0.475*44/12</f>
        <v>0</v>
      </c>
      <c r="EC14" s="21">
        <f>EXP(-LN(2)/2)*EC13+(1-EXP(-LN(2)/2))/(LN(2)/2)*DW14*DZ14*VLOOKUP('Données projet'!$B$14,Paramètres!$A$1:$I$89,3,0)*0.475*44/12</f>
        <v>0</v>
      </c>
      <c r="ED14" s="22">
        <f t="shared" si="18"/>
        <v>0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5.3</v>
      </c>
      <c r="EJ14" s="12">
        <f>IF('Données projet'!$A$192&gt;35,EJ13+EI14-ER13,IF(A14&lt;'Données projet'!$A$192,$EG$205^A14,IF(A14='Données projet'!$A$192,'Données projet'!$B$192,EJ13+EI14-ER13)))</f>
        <v>12.999247897658208</v>
      </c>
      <c r="EK14" s="17">
        <f>EJ14*VLOOKUP('Données projet'!$B$15,Paramètres!$A$1:$I$89,3,0)*VLOOKUP('Données projet'!$B$15,Paramètres!$A$1:$I$89,5,0)</f>
        <v>7.7735502427996082</v>
      </c>
      <c r="EL14" s="13">
        <f t="shared" si="45"/>
        <v>2.8216515135722404</v>
      </c>
      <c r="EM14" s="20">
        <f t="shared" si="19"/>
        <v>18.453309725680967</v>
      </c>
      <c r="EN14" s="59">
        <f t="shared" si="20"/>
        <v>311.7866430590143</v>
      </c>
      <c r="EO14" s="59">
        <f ca="1">AVERAGE(OFFSET($EN$3,0,0,'Données projet'!$E$15+1,1))-AVERAGE(OFFSET($H$3,0,0,'Données projet'!$E$15+1,1))</f>
        <v>316.58509520829671</v>
      </c>
      <c r="EP14" s="59">
        <f t="shared" si="46"/>
        <v>240.71332110643596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>
        <f>EXP(-LN(2)/35)*EV13+(1-EXP(-LN(2)/35))/(LN(2)/35)*ER14*ES14*VLOOKUP('Données projet'!$B$15,Paramètres!$A$1:$I$89,3,0)*0.475*44/12</f>
        <v>0</v>
      </c>
      <c r="EW14" s="21">
        <f>EXP(-LN(2)/25)*EW13+(1-EXP(-LN(2)/25))/(LN(2)/25)*Calculateur!ER14*Calculateur!ET14*VLOOKUP('Données projet'!$B$15,Paramètres!$A$1:$I$89,3,0)*0.475*44/12</f>
        <v>0</v>
      </c>
      <c r="EX14" s="21">
        <f>EXP(-LN(2)/2)*EX13+(1-EXP(-LN(2)/2))/(LN(2)/2)*ER14*EU14*VLOOKUP('Données projet'!$B$15,Paramètres!$A$1:$I$89,3,0)*0.475*44/12</f>
        <v>0</v>
      </c>
      <c r="EY14" s="22">
        <f t="shared" si="21"/>
        <v>0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4.3499999999999996</v>
      </c>
      <c r="FE14" s="12">
        <f>IF('Données projet'!$A$218&gt;35,FE13+FD14-FM13,IF(A14&lt;'Données projet'!$A$218,$FB$205^A14,IF(A14='Données projet'!$A$218,'Données projet'!$B$218,FE13+FD14-FM13)))</f>
        <v>11.660994457782511</v>
      </c>
      <c r="FF14" s="17">
        <f>FE14*VLOOKUP('Données projet'!$B$16,Paramètres!$A$1:$I$89,3,0)*VLOOKUP('Données projet'!$B$16,Paramètres!$A$1:$I$89,5,0)</f>
        <v>6.9732746857539425</v>
      </c>
      <c r="FG14" s="13">
        <f t="shared" si="47"/>
        <v>2.563378854273346</v>
      </c>
      <c r="FH14" s="20">
        <f t="shared" si="22"/>
        <v>16.609671582214194</v>
      </c>
      <c r="FI14" s="59">
        <f t="shared" si="23"/>
        <v>309.94300491554753</v>
      </c>
      <c r="FJ14" s="59">
        <f ca="1">AVERAGE(OFFSET($FI$3,0,0,'Données projet'!$E$16+1,1))-AVERAGE(OFFSET($H$3,0,0,'Données projet'!$E$16+1,1))</f>
        <v>270.30888762640245</v>
      </c>
      <c r="FK14" s="59">
        <f t="shared" si="48"/>
        <v>202.23783851977691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>
        <f>EXP(-LN(2)/35)*FQ13+(1-EXP(-LN(2)/35))/(LN(2)/35)*FM14*FN14*VLOOKUP('Données projet'!$B$16,Paramètres!$A$1:$I$89,3,0)*0.475*44/12</f>
        <v>0</v>
      </c>
      <c r="FR14" s="21">
        <f>EXP(-LN(2)/25)*FR13+(1-EXP(-LN(2)/25))/(LN(2)/25)*Calculateur!FM14*Calculateur!FO14*VLOOKUP('Données projet'!$B$16,Paramètres!$A$1:$I$89,3,0)*0.475*44/12</f>
        <v>0</v>
      </c>
      <c r="FS14" s="21">
        <f>EXP(-LN(2)/2)*FS13+(1-EXP(-LN(2)/2))/(LN(2)/2)*FM14*FP14*VLOOKUP('Données projet'!$B$16,Paramètres!$A$1:$I$89,3,0)*0.475*44/12</f>
        <v>0</v>
      </c>
      <c r="FT14" s="22">
        <f t="shared" si="24"/>
        <v>0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12.3</v>
      </c>
      <c r="FZ14" s="12">
        <f>IF('Données projet'!$A$244&gt;35,FZ13+FY14-GH13,IF(A14&lt;'Données projet'!$A$244,$FW$205^A14,IF(A14='Données projet'!$A$244,'Données projet'!$B$244,FZ13+FY14-GH13)))</f>
        <v>23.3</v>
      </c>
      <c r="GA14" s="17">
        <f>FZ14*VLOOKUP('Données projet'!$B$17,Paramètres!$A$1:$I$89,3,0)*VLOOKUP('Données projet'!$B$17,Paramètres!$A$1:$I$89,5,0)</f>
        <v>18.537480000000002</v>
      </c>
      <c r="GB14" s="13">
        <f t="shared" si="49"/>
        <v>6.0813732490407499</v>
      </c>
      <c r="GC14" s="20">
        <f t="shared" si="25"/>
        <v>42.877836075412638</v>
      </c>
      <c r="GD14" s="59">
        <f t="shared" si="26"/>
        <v>336.21116940874595</v>
      </c>
      <c r="GE14" s="59">
        <f ca="1">AVERAGE(OFFSET($GD$3,0,0,'Données projet'!$E$17+1,1))-AVERAGE(OFFSET($H$3,0,0,'Données projet'!$E$17+1,1))</f>
        <v>260.20517190557814</v>
      </c>
      <c r="GF14" s="59">
        <f t="shared" si="50"/>
        <v>307.22009971147133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>
        <f>EXP(-LN(2)/35)*GL13+(1-EXP(-LN(2)/35))/(LN(2)/35)*GH14*GI14*VLOOKUP('Données projet'!$B$17,Paramètres!$A$1:$I$89,3,0)*0.475*44/12</f>
        <v>0</v>
      </c>
      <c r="GM14" s="21">
        <f>EXP(-LN(2)/25)*GM13+(1-EXP(-LN(2)/25))/(LN(2)/25)*Calculateur!GH14*Calculateur!GJ14*VLOOKUP('Données projet'!$B$17,Paramètres!$A$1:$I$89,3,0)*0.475*44/12</f>
        <v>0</v>
      </c>
      <c r="GN14" s="21">
        <f>EXP(-LN(2)/2)*GN13+(1-EXP(-LN(2)/2))/(LN(2)/2)*GH14*GK14*VLOOKUP('Données projet'!$B$17,Paramètres!$A$1:$I$89,3,0)*0.475*44/12</f>
        <v>0</v>
      </c>
      <c r="GO14" s="21">
        <f t="shared" si="27"/>
        <v>0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4.75</v>
      </c>
      <c r="GU14" s="12">
        <f>IF('Données projet'!$A$270&gt;35,GU13+GT14-HC13,IF(A14&lt;'Données projet'!$A$270,$GR$205^A14,IF(A14='Données projet'!$A$270,'Données projet'!$B$270,GU13+GT14-HC13)))</f>
        <v>12.239057719016479</v>
      </c>
      <c r="GV14" s="17">
        <f>GU14*VLOOKUP('Données projet'!$B$18,Paramètres!$A$1:$I$89,3,0)*VLOOKUP('Données projet'!$B$18,Paramètres!$A$1:$I$89,5,0)</f>
        <v>9.7373943212495124</v>
      </c>
      <c r="GW14" s="13">
        <f t="shared" si="51"/>
        <v>3.4430242795238799</v>
      </c>
      <c r="GX14" s="20">
        <f t="shared" si="28"/>
        <v>22.955895729680325</v>
      </c>
      <c r="GY14" s="59">
        <f t="shared" si="29"/>
        <v>316.28922906301364</v>
      </c>
      <c r="GZ14" s="59">
        <f ca="1">AVERAGE(OFFSET($GY$3,0,0,'Données projet'!$E$18+1,1))-AVERAGE(OFFSET($H$3,0,0,'Données projet'!$E$18+1,1))</f>
        <v>199.58763537752952</v>
      </c>
      <c r="HA14" s="59">
        <f t="shared" si="52"/>
        <v>242.62852778451929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>
        <f>EXP(-LN(2)/35)*HG13+(1-EXP(-LN(2)/35))/(LN(2)/35)*HC14*HD14*VLOOKUP('Données projet'!$B$18,Paramètres!$A$1:$I$89,3,0)*0.475*44/12</f>
        <v>0</v>
      </c>
      <c r="HH14" s="21">
        <f>EXP(-LN(2)/25)*HH13+(1-EXP(-LN(2)/25))/(LN(2)/25)*Calculateur!HC14*Calculateur!HE14*VLOOKUP('Données projet'!$B$18,Paramètres!$A$1:$I$89,3,0)*0.475*44/12</f>
        <v>0</v>
      </c>
      <c r="HI14" s="21">
        <f>EXP(-LN(2)/2)*HI13+(1-EXP(-LN(2)/2))/(LN(2)/2)*HC14*HF14*VLOOKUP('Données projet'!$B$18,Paramètres!$A$1:$I$89,3,0)*0.475*44/12</f>
        <v>0</v>
      </c>
      <c r="HJ14" s="22">
        <f t="shared" si="30"/>
        <v>0</v>
      </c>
    </row>
    <row r="15" spans="1:218" x14ac:dyDescent="0.2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10.670400000000001</v>
      </c>
      <c r="D15" s="11">
        <f t="shared" si="32"/>
        <v>3.7329530817348471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111.18377817479534</v>
      </c>
      <c r="H15" s="67">
        <f t="shared" si="1"/>
        <v>318.4191732840215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9.3968325791855207</v>
      </c>
      <c r="N15" s="13">
        <f>IF('Données projet'!$A$36&gt;35,N14+M15-V14,IF(A15&lt;'Données projet'!$A$36,$K$205^A15,IF(A15='Données projet'!$A$36,'Données projet'!$B$36,N14+M15-V14)))</f>
        <v>35.922176531151678</v>
      </c>
      <c r="O15" s="13">
        <f>N15*VLOOKUP('Données projet'!$B$9,Paramètres!$A$1:$I$89,3,0)*VLOOKUP('Données projet'!$B$9,Paramètres!$A$1:$I$89,5,0)</f>
        <v>20.080496680913789</v>
      </c>
      <c r="P15" s="13">
        <f t="shared" si="33"/>
        <v>6.5265484968269822</v>
      </c>
      <c r="Q15" s="20">
        <f t="shared" si="2"/>
        <v>46.340603684565174</v>
      </c>
      <c r="R15" s="59">
        <f t="shared" si="0"/>
        <v>339.67393701789848</v>
      </c>
      <c r="S15" s="59">
        <f ca="1">AVERAGE(OFFSET($R$3,0,0,'Données projet'!$E$9+1,1))-AVERAGE(OFFSET($H$3,0,0,'Données projet'!$E$9+1,1))</f>
        <v>255.5374979188561</v>
      </c>
      <c r="T15" s="59">
        <f t="shared" si="34"/>
        <v>343.10418468620901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7.7987854251012134</v>
      </c>
      <c r="AI15" s="13">
        <f>IF('Données projet'!$A$62&gt;35,AI14+AH15-AQ14,IF(A15&lt;'Données projet'!$A$62,$AF$205^A15,IF(A15='Données projet'!$A$62,'Données projet'!$B$62,AI14+AH15-AQ14)))</f>
        <v>23.497372884242115</v>
      </c>
      <c r="AJ15" s="13">
        <f>AI15*VLOOKUP('Données projet'!$B$10,Paramètres!$A$1:$I$89,3,0)*VLOOKUP('Données projet'!$B$10,Paramètres!$A$1:$I$89,5,0)</f>
        <v>13.135031442291343</v>
      </c>
      <c r="AK15" s="13">
        <f t="shared" si="35"/>
        <v>4.4853651006518103</v>
      </c>
      <c r="AL15" s="20">
        <f t="shared" si="4"/>
        <v>30.688857312292658</v>
      </c>
      <c r="AM15" s="59">
        <f t="shared" si="5"/>
        <v>324.02219064562598</v>
      </c>
      <c r="AN15" s="59">
        <f ca="1">AVERAGE(OFFSET($AM$3,0,0,'Données projet'!$E$10+1,1))-AVERAGE(OFFSET($H$3,0,0,'Données projet'!$E$10+1,1))</f>
        <v>224.7049802939942</v>
      </c>
      <c r="AO15" s="59">
        <f t="shared" si="36"/>
        <v>203.48513862195352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14.1</v>
      </c>
      <c r="BD15" s="12">
        <f>IF('Données projet'!$A$88&gt;35,BD14+BC15-BL14,IF(A15&lt;'Données projet'!$A$88,$BA$205^A15,IF(A15='Données projet'!$A$88,'Données projet'!$B$88,BD14+BC15-BL14)))</f>
        <v>64.2</v>
      </c>
      <c r="BE15" s="13">
        <f>BD15*VLOOKUP('Données projet'!$B$11,Paramètres!$A$1:$I$89,3,0)*VLOOKUP('Données projet'!$B$11,Paramètres!$A$1:$I$89,5,0)</f>
        <v>35.053199999999997</v>
      </c>
      <c r="BF15" s="13">
        <f t="shared" si="37"/>
        <v>10.677594770675379</v>
      </c>
      <c r="BG15" s="20">
        <f t="shared" si="7"/>
        <v>79.64780089225961</v>
      </c>
      <c r="BH15" s="59">
        <f t="shared" si="8"/>
        <v>372.98113422559294</v>
      </c>
      <c r="BI15" s="59">
        <f ca="1">AVERAGE(OFFSET($BH$3,0,0,'Données projet'!$E$11+1,1))-AVERAGE(OFFSET($H$3,0,0,'Données projet'!$E$11+1,1))</f>
        <v>210.04871822652808</v>
      </c>
      <c r="BJ15" s="59">
        <f t="shared" si="38"/>
        <v>250.17540614049324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11.4</v>
      </c>
      <c r="BY15" s="12">
        <f>IF('Données projet'!$A$114&gt;35,BY14+BX15-CG14,IF(A15&lt;'Données projet'!$A$114,$BV$205^A15,IF(A15='Données projet'!$A$114,'Données projet'!$B$114,BY14+BX15-CG14)))</f>
        <v>45.8</v>
      </c>
      <c r="BZ15" s="13">
        <f>BY15*VLOOKUP('Données projet'!$B$12,Paramètres!$A$1:$I$89,3,0)*VLOOKUP('Données projet'!$B$12,Paramètres!$A$1:$I$89,5,0)</f>
        <v>25.006799999999998</v>
      </c>
      <c r="CA15" s="13">
        <f t="shared" si="39"/>
        <v>7.9227548930322165</v>
      </c>
      <c r="CB15" s="20">
        <f t="shared" si="10"/>
        <v>57.352308105364443</v>
      </c>
      <c r="CC15" s="59">
        <f t="shared" si="11"/>
        <v>350.68564143869776</v>
      </c>
      <c r="CD15" s="59">
        <f ca="1">AVERAGE(OFFSET($CC$3,0,0,'Données projet'!$E$12+1,1))-AVERAGE(OFFSET($H$3,0,0,'Données projet'!$E$12+1,1))</f>
        <v>168.72306536277267</v>
      </c>
      <c r="CE15" s="59">
        <f t="shared" si="40"/>
        <v>203.35476578922339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5.6730769230769225</v>
      </c>
      <c r="CT15" s="12">
        <f>IF('Données projet'!$A$140&gt;35,CT14+CS15-DB14,IF(A15&lt;'Données projet'!$A$140,$CQ$205^A15,IF(A15='Données projet'!$A$140,'Données projet'!$B$140,CT14+CS15-DB14)))</f>
        <v>68.076923076923052</v>
      </c>
      <c r="CU15" s="17">
        <f>CT15*VLOOKUP('Données projet'!$B$13,Paramètres!$A$1:$I$89,3,0)*VLOOKUP('Données projet'!$B$13,Paramètres!$A$1:$I$89,5,0)</f>
        <v>32.74499999999999</v>
      </c>
      <c r="CV15" s="13">
        <f t="shared" si="41"/>
        <v>10.053891225984819</v>
      </c>
      <c r="CW15" s="20">
        <f t="shared" si="13"/>
        <v>74.541402218590207</v>
      </c>
      <c r="CX15" s="59">
        <f t="shared" si="14"/>
        <v>367.87473555192355</v>
      </c>
      <c r="CY15" s="59">
        <f ca="1">AVERAGE(OFFSET($CX$3,0,0,'Données projet'!$E$13+1,1))-AVERAGE(OFFSET($H$3,0,0,'Données projet'!$E$13+1,1))</f>
        <v>304.15237106473313</v>
      </c>
      <c r="CZ15" s="59">
        <f t="shared" si="42"/>
        <v>120.85458928724336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>
        <f>EXP(-LN(2)/35)*DF14+(1-EXP(-LN(2)/35))/(LN(2)/35)*DB15*DC15*VLOOKUP('Données projet'!$B$13,Paramètres!$A$1:$I$89,3,0)*0.475*44/12</f>
        <v>0</v>
      </c>
      <c r="DG15" s="21">
        <f>EXP(-LN(2)/25)*DG14+(1-EXP(-LN(2)/25))/(LN(2)/25)*Calculateur!DB15*Calculateur!DD15*VLOOKUP('Données projet'!$B$13,Paramètres!$A$1:$I$89,3,0)*0.475*44/12</f>
        <v>0</v>
      </c>
      <c r="DH15" s="21">
        <f>EXP(-LN(2)/2)*DH14+(1-EXP(-LN(2)/2))/(LN(2)/2)*DB15*DE15*VLOOKUP('Données projet'!$B$13,Paramètres!$A$1:$I$89,3,0)*0.475*44/12</f>
        <v>0</v>
      </c>
      <c r="DI15" s="22">
        <f t="shared" si="15"/>
        <v>0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3.8846153846153846</v>
      </c>
      <c r="DO15" s="12">
        <f>IF('Données projet'!$A$166&gt;35,DO14+DN15-DW14,IF(A15&lt;'Données projet'!$A$166,$DL$205^A15,IF(A15='Données projet'!$A$166,'Données projet'!$B$166,DO14+DN15-DW14)))</f>
        <v>46.61538461538462</v>
      </c>
      <c r="DP15" s="17">
        <f>DO15*VLOOKUP('Données projet'!$B$14,Paramètres!$A$1:$I$89,3,0)*VLOOKUP('Données projet'!$B$14,Paramètres!$A$1:$I$89,5,0)</f>
        <v>22.422000000000001</v>
      </c>
      <c r="DQ15" s="13">
        <f t="shared" si="43"/>
        <v>7.1946209662702687</v>
      </c>
      <c r="DR15" s="20">
        <f t="shared" si="16"/>
        <v>51.582281516254049</v>
      </c>
      <c r="DS15" s="59">
        <f t="shared" si="17"/>
        <v>344.91561484958737</v>
      </c>
      <c r="DT15" s="59">
        <f ca="1">AVERAGE(OFFSET($DS$3,0,0,'Données projet'!$E$14+1,1))-AVERAGE(OFFSET($H$3,0,0,'Données projet'!$E$14+1,1))</f>
        <v>91.053246648097399</v>
      </c>
      <c r="DU15" s="59">
        <f t="shared" si="44"/>
        <v>64.716270355703955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>
        <f>EXP(-LN(2)/35)*EA14+(1-EXP(-LN(2)/35))/(LN(2)/35)*DW15*DX15*VLOOKUP('Données projet'!$B$14,Paramètres!$A$1:$I$89,3,0)*0.475*44/12</f>
        <v>0</v>
      </c>
      <c r="EB15" s="21">
        <f>EXP(-LN(2)/25)*EB14+(1-EXP(-LN(2)/25))/(LN(2)/25)*Calculateur!DW15*Calculateur!DY15*VLOOKUP('Données projet'!$B$14,Paramètres!$A$1:$I$89,3,0)*0.475*44/12</f>
        <v>0</v>
      </c>
      <c r="EC15" s="21">
        <f>EXP(-LN(2)/2)*EC14+(1-EXP(-LN(2)/2))/(LN(2)/2)*DW15*DZ15*VLOOKUP('Données projet'!$B$14,Paramètres!$A$1:$I$89,3,0)*0.475*44/12</f>
        <v>0</v>
      </c>
      <c r="ED15" s="22">
        <f t="shared" si="18"/>
        <v>0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5.3</v>
      </c>
      <c r="EJ15" s="12">
        <f>IF('Données projet'!$A$192&gt;35,EJ14+EI15-ER14,IF(A15&lt;'Données projet'!$A$192,$EG$205^A15,IF(A15='Données projet'!$A$192,'Données projet'!$B$192,EJ14+EI15-ER14)))</f>
        <v>16.412831812213092</v>
      </c>
      <c r="EK15" s="17">
        <f>EJ15*VLOOKUP('Données projet'!$B$15,Paramètres!$A$1:$I$89,3,0)*VLOOKUP('Données projet'!$B$15,Paramètres!$A$1:$I$89,5,0)</f>
        <v>9.8148734237034301</v>
      </c>
      <c r="EL15" s="13">
        <f t="shared" si="45"/>
        <v>3.4672199157117518</v>
      </c>
      <c r="EM15" s="20">
        <f t="shared" si="19"/>
        <v>23.132979232814776</v>
      </c>
      <c r="EN15" s="59">
        <f t="shared" si="20"/>
        <v>316.46631256614808</v>
      </c>
      <c r="EO15" s="59">
        <f ca="1">AVERAGE(OFFSET($EN$3,0,0,'Données projet'!$E$15+1,1))-AVERAGE(OFFSET($H$3,0,0,'Données projet'!$E$15+1,1))</f>
        <v>316.58509520829671</v>
      </c>
      <c r="EP15" s="59">
        <f t="shared" si="46"/>
        <v>240.71332110643596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>
        <f>EXP(-LN(2)/35)*EV14+(1-EXP(-LN(2)/35))/(LN(2)/35)*ER15*ES15*VLOOKUP('Données projet'!$B$15,Paramètres!$A$1:$I$89,3,0)*0.475*44/12</f>
        <v>0</v>
      </c>
      <c r="EW15" s="21">
        <f>EXP(-LN(2)/25)*EW14+(1-EXP(-LN(2)/25))/(LN(2)/25)*Calculateur!ER15*Calculateur!ET15*VLOOKUP('Données projet'!$B$15,Paramètres!$A$1:$I$89,3,0)*0.475*44/12</f>
        <v>0</v>
      </c>
      <c r="EX15" s="21">
        <f>EXP(-LN(2)/2)*EX14+(1-EXP(-LN(2)/2))/(LN(2)/2)*ER15*EU15*VLOOKUP('Données projet'!$B$15,Paramètres!$A$1:$I$89,3,0)*0.475*44/12</f>
        <v>0</v>
      </c>
      <c r="EY15" s="22">
        <f t="shared" si="21"/>
        <v>0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4.3499999999999996</v>
      </c>
      <c r="FE15" s="12">
        <f>IF('Données projet'!$A$218&gt;35,FE14+FD15-FM14,IF(A15&lt;'Données projet'!$A$218,$FB$205^A15,IF(A15='Données projet'!$A$218,'Données projet'!$B$218,FE14+FD15-FM14)))</f>
        <v>14.578456710130634</v>
      </c>
      <c r="FF15" s="17">
        <f>FE15*VLOOKUP('Données projet'!$B$16,Paramètres!$A$1:$I$89,3,0)*VLOOKUP('Données projet'!$B$16,Paramètres!$A$1:$I$89,5,0)</f>
        <v>8.7179171126581192</v>
      </c>
      <c r="FG15" s="13">
        <f t="shared" si="47"/>
        <v>3.1224878561542369</v>
      </c>
      <c r="FH15" s="20">
        <f t="shared" si="22"/>
        <v>20.622038654014851</v>
      </c>
      <c r="FI15" s="59">
        <f t="shared" si="23"/>
        <v>313.95537198734814</v>
      </c>
      <c r="FJ15" s="59">
        <f ca="1">AVERAGE(OFFSET($FI$3,0,0,'Données projet'!$E$16+1,1))-AVERAGE(OFFSET($H$3,0,0,'Données projet'!$E$16+1,1))</f>
        <v>270.30888762640245</v>
      </c>
      <c r="FK15" s="59">
        <f t="shared" si="48"/>
        <v>202.23783851977691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>
        <f>EXP(-LN(2)/35)*FQ14+(1-EXP(-LN(2)/35))/(LN(2)/35)*FM15*FN15*VLOOKUP('Données projet'!$B$16,Paramètres!$A$1:$I$89,3,0)*0.475*44/12</f>
        <v>0</v>
      </c>
      <c r="FR15" s="21">
        <f>EXP(-LN(2)/25)*FR14+(1-EXP(-LN(2)/25))/(LN(2)/25)*Calculateur!FM15*Calculateur!FO15*VLOOKUP('Données projet'!$B$16,Paramètres!$A$1:$I$89,3,0)*0.475*44/12</f>
        <v>0</v>
      </c>
      <c r="FS15" s="21">
        <f>EXP(-LN(2)/2)*FS14+(1-EXP(-LN(2)/2))/(LN(2)/2)*FM15*FP15*VLOOKUP('Données projet'!$B$16,Paramètres!$A$1:$I$89,3,0)*0.475*44/12</f>
        <v>0</v>
      </c>
      <c r="FT15" s="22">
        <f t="shared" si="24"/>
        <v>0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12.3</v>
      </c>
      <c r="FZ15" s="12">
        <f>IF('Données projet'!$A$244&gt;35,FZ14+FY15-GH14,IF(A15&lt;'Données projet'!$A$244,$FW$205^A15,IF(A15='Données projet'!$A$244,'Données projet'!$B$244,FZ14+FY15-GH14)))</f>
        <v>35.6</v>
      </c>
      <c r="GA15" s="17">
        <f>FZ15*VLOOKUP('Données projet'!$B$17,Paramètres!$A$1:$I$89,3,0)*VLOOKUP('Données projet'!$B$17,Paramètres!$A$1:$I$89,5,0)</f>
        <v>28.323360000000005</v>
      </c>
      <c r="GB15" s="13">
        <f t="shared" si="49"/>
        <v>8.8443757631773217</v>
      </c>
      <c r="GC15" s="20">
        <f t="shared" si="25"/>
        <v>64.733806454200504</v>
      </c>
      <c r="GD15" s="59">
        <f t="shared" si="26"/>
        <v>358.06713978753385</v>
      </c>
      <c r="GE15" s="59">
        <f ca="1">AVERAGE(OFFSET($GD$3,0,0,'Données projet'!$E$17+1,1))-AVERAGE(OFFSET($H$3,0,0,'Données projet'!$E$17+1,1))</f>
        <v>260.20517190557814</v>
      </c>
      <c r="GF15" s="59">
        <f t="shared" si="50"/>
        <v>307.22009971147133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>
        <f>EXP(-LN(2)/35)*GL14+(1-EXP(-LN(2)/35))/(LN(2)/35)*GH15*GI15*VLOOKUP('Données projet'!$B$17,Paramètres!$A$1:$I$89,3,0)*0.475*44/12</f>
        <v>0</v>
      </c>
      <c r="GM15" s="21">
        <f>EXP(-LN(2)/25)*GM14+(1-EXP(-LN(2)/25))/(LN(2)/25)*Calculateur!GH15*Calculateur!GJ15*VLOOKUP('Données projet'!$B$17,Paramètres!$A$1:$I$89,3,0)*0.475*44/12</f>
        <v>0</v>
      </c>
      <c r="GN15" s="21">
        <f>EXP(-LN(2)/2)*GN14+(1-EXP(-LN(2)/2))/(LN(2)/2)*GH15*GK15*VLOOKUP('Données projet'!$B$17,Paramètres!$A$1:$I$89,3,0)*0.475*44/12</f>
        <v>0</v>
      </c>
      <c r="GO15" s="21">
        <f t="shared" si="27"/>
        <v>0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4.75</v>
      </c>
      <c r="GU15" s="12">
        <f>IF('Données projet'!$A$270&gt;35,GU14+GT15-HC14,IF(A15&lt;'Données projet'!$A$270,$GR$205^A15,IF(A15='Données projet'!$A$270,'Données projet'!$B$270,GU14+GT15-HC14)))</f>
        <v>15.368594899018873</v>
      </c>
      <c r="GV15" s="17">
        <f>GU15*VLOOKUP('Données projet'!$B$18,Paramètres!$A$1:$I$89,3,0)*VLOOKUP('Données projet'!$B$18,Paramètres!$A$1:$I$89,5,0)</f>
        <v>12.227254101659417</v>
      </c>
      <c r="GW15" s="13">
        <f t="shared" si="51"/>
        <v>4.2103278436094334</v>
      </c>
      <c r="GX15" s="20">
        <f t="shared" si="28"/>
        <v>28.628788554676579</v>
      </c>
      <c r="GY15" s="59">
        <f t="shared" si="29"/>
        <v>321.9621218880099</v>
      </c>
      <c r="GZ15" s="59">
        <f ca="1">AVERAGE(OFFSET($GY$3,0,0,'Données projet'!$E$18+1,1))-AVERAGE(OFFSET($H$3,0,0,'Données projet'!$E$18+1,1))</f>
        <v>199.58763537752952</v>
      </c>
      <c r="HA15" s="59">
        <f t="shared" si="52"/>
        <v>242.62852778451929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>
        <f>EXP(-LN(2)/35)*HG14+(1-EXP(-LN(2)/35))/(LN(2)/35)*HC15*HD15*VLOOKUP('Données projet'!$B$18,Paramètres!$A$1:$I$89,3,0)*0.475*44/12</f>
        <v>0</v>
      </c>
      <c r="HH15" s="21">
        <f>EXP(-LN(2)/25)*HH14+(1-EXP(-LN(2)/25))/(LN(2)/25)*Calculateur!HC15*Calculateur!HE15*VLOOKUP('Données projet'!$B$18,Paramètres!$A$1:$I$89,3,0)*0.475*44/12</f>
        <v>0</v>
      </c>
      <c r="HI15" s="21">
        <f>EXP(-LN(2)/2)*HI14+(1-EXP(-LN(2)/2))/(LN(2)/2)*HC15*HF15*VLOOKUP('Données projet'!$B$18,Paramètres!$A$1:$I$89,3,0)*0.475*44/12</f>
        <v>0</v>
      </c>
      <c r="HJ15" s="22">
        <f t="shared" si="30"/>
        <v>0</v>
      </c>
    </row>
    <row r="16" spans="1:218" x14ac:dyDescent="0.2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11.559600000000001</v>
      </c>
      <c r="D16" s="11">
        <f t="shared" si="32"/>
        <v>4.0065293501366055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120.15959498351064</v>
      </c>
      <c r="H16" s="67">
        <f t="shared" si="1"/>
        <v>320.4443419514879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9.3968325791855207</v>
      </c>
      <c r="N16" s="13">
        <f>IF('Données projet'!$A$36&gt;35,N15+M16-V15,IF(A16&lt;'Données projet'!$A$36,$K$205^A16,IF(A16='Données projet'!$A$36,'Données projet'!$B$36,N15+M16-V15)))</f>
        <v>48.414583084443251</v>
      </c>
      <c r="O16" s="13">
        <f>N16*VLOOKUP('Données projet'!$B$9,Paramètres!$A$1:$I$89,3,0)*VLOOKUP('Données projet'!$B$9,Paramètres!$A$1:$I$89,5,0)</f>
        <v>27.063751944203776</v>
      </c>
      <c r="P16" s="13">
        <f t="shared" si="33"/>
        <v>8.4959139568459339</v>
      </c>
      <c r="Q16" s="20">
        <f t="shared" si="2"/>
        <v>61.933084777661577</v>
      </c>
      <c r="R16" s="59">
        <f t="shared" si="0"/>
        <v>355.26641811099489</v>
      </c>
      <c r="S16" s="59">
        <f ca="1">AVERAGE(OFFSET($R$3,0,0,'Données projet'!$E$9+1,1))-AVERAGE(OFFSET($H$3,0,0,'Données projet'!$E$9+1,1))</f>
        <v>255.5374979188561</v>
      </c>
      <c r="T16" s="59">
        <f t="shared" si="34"/>
        <v>343.10418468620901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7.7987854251012134</v>
      </c>
      <c r="AI16" s="13">
        <f>IF('Données projet'!$A$62&gt;35,AI15+AH16-AQ15,IF(A16&lt;'Données projet'!$A$62,$AF$205^A16,IF(A16='Données projet'!$A$62,'Données projet'!$B$62,AI15+AH16-AQ15)))</f>
        <v>30.56827402780376</v>
      </c>
      <c r="AJ16" s="13">
        <f>AI16*VLOOKUP('Données projet'!$B$10,Paramètres!$A$1:$I$89,3,0)*VLOOKUP('Données projet'!$B$10,Paramètres!$A$1:$I$89,5,0)</f>
        <v>17.087665181542302</v>
      </c>
      <c r="AK16" s="13">
        <f t="shared" si="35"/>
        <v>5.6591410869627277</v>
      </c>
      <c r="AL16" s="20">
        <f t="shared" si="4"/>
        <v>39.617354250979595</v>
      </c>
      <c r="AM16" s="59">
        <f t="shared" si="5"/>
        <v>332.9506875843129</v>
      </c>
      <c r="AN16" s="59">
        <f ca="1">AVERAGE(OFFSET($AM$3,0,0,'Données projet'!$E$10+1,1))-AVERAGE(OFFSET($H$3,0,0,'Données projet'!$E$10+1,1))</f>
        <v>224.7049802939942</v>
      </c>
      <c r="AO16" s="59">
        <f t="shared" si="36"/>
        <v>203.48513862195352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14.1</v>
      </c>
      <c r="BD16" s="12">
        <f>IF('Données projet'!$A$88&gt;35,BD15+BC16-BL15,IF(A16&lt;'Données projet'!$A$88,$BA$205^A16,IF(A16='Données projet'!$A$88,'Données projet'!$B$88,BD15+BC16-BL15)))</f>
        <v>78.3</v>
      </c>
      <c r="BE16" s="13">
        <f>BD16*VLOOKUP('Données projet'!$B$11,Paramètres!$A$1:$I$89,3,0)*VLOOKUP('Données projet'!$B$11,Paramètres!$A$1:$I$89,5,0)</f>
        <v>42.751799999999996</v>
      </c>
      <c r="BF16" s="13">
        <f t="shared" si="37"/>
        <v>12.725163670396148</v>
      </c>
      <c r="BG16" s="20">
        <f t="shared" si="7"/>
        <v>96.622378392606606</v>
      </c>
      <c r="BH16" s="59">
        <f t="shared" si="8"/>
        <v>389.95571172593992</v>
      </c>
      <c r="BI16" s="59">
        <f ca="1">AVERAGE(OFFSET($BH$3,0,0,'Données projet'!$E$11+1,1))-AVERAGE(OFFSET($H$3,0,0,'Données projet'!$E$11+1,1))</f>
        <v>210.04871822652808</v>
      </c>
      <c r="BJ16" s="59">
        <f t="shared" si="38"/>
        <v>250.17540614049324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11.4</v>
      </c>
      <c r="BY16" s="12">
        <f>IF('Données projet'!$A$114&gt;35,BY15+BX16-CG15,IF(A16&lt;'Données projet'!$A$114,$BV$205^A16,IF(A16='Données projet'!$A$114,'Données projet'!$B$114,BY15+BX16-CG15)))</f>
        <v>57.199999999999996</v>
      </c>
      <c r="BZ16" s="13">
        <f>BY16*VLOOKUP('Données projet'!$B$12,Paramètres!$A$1:$I$89,3,0)*VLOOKUP('Données projet'!$B$12,Paramètres!$A$1:$I$89,5,0)</f>
        <v>31.231199999999998</v>
      </c>
      <c r="CA16" s="13">
        <f t="shared" si="39"/>
        <v>9.6420774360788197</v>
      </c>
      <c r="CB16" s="20">
        <f t="shared" si="10"/>
        <v>71.187624867837272</v>
      </c>
      <c r="CC16" s="59">
        <f t="shared" si="11"/>
        <v>364.52095820117057</v>
      </c>
      <c r="CD16" s="59">
        <f ca="1">AVERAGE(OFFSET($CC$3,0,0,'Données projet'!$E$12+1,1))-AVERAGE(OFFSET($H$3,0,0,'Données projet'!$E$12+1,1))</f>
        <v>168.72306536277267</v>
      </c>
      <c r="CE16" s="59">
        <f t="shared" si="40"/>
        <v>203.35476578922339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5.6730769230769225</v>
      </c>
      <c r="CT16" s="12">
        <f>IF('Données projet'!$A$140&gt;35,CT15+CS16-DB15,IF(A16&lt;'Données projet'!$A$140,$CQ$205^A16,IF(A16='Données projet'!$A$140,'Données projet'!$B$140,CT15+CS16-DB15)))</f>
        <v>73.749999999999972</v>
      </c>
      <c r="CU16" s="17">
        <f>CT16*VLOOKUP('Données projet'!$B$13,Paramètres!$A$1:$I$89,3,0)*VLOOKUP('Données projet'!$B$13,Paramètres!$A$1:$I$89,5,0)</f>
        <v>35.473749999999988</v>
      </c>
      <c r="CV16" s="13">
        <f t="shared" si="41"/>
        <v>10.790708963657492</v>
      </c>
      <c r="CW16" s="20">
        <f t="shared" si="13"/>
        <v>80.577266028370119</v>
      </c>
      <c r="CX16" s="59">
        <f t="shared" si="14"/>
        <v>373.91059936170342</v>
      </c>
      <c r="CY16" s="59">
        <f ca="1">AVERAGE(OFFSET($CX$3,0,0,'Données projet'!$E$13+1,1))-AVERAGE(OFFSET($H$3,0,0,'Données projet'!$E$13+1,1))</f>
        <v>304.15237106473313</v>
      </c>
      <c r="CZ16" s="59">
        <f t="shared" si="42"/>
        <v>120.85458928724336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>
        <f>EXP(-LN(2)/35)*DF15+(1-EXP(-LN(2)/35))/(LN(2)/35)*DB16*DC16*VLOOKUP('Données projet'!$B$13,Paramètres!$A$1:$I$89,3,0)*0.475*44/12</f>
        <v>0</v>
      </c>
      <c r="DG16" s="21">
        <f>EXP(-LN(2)/25)*DG15+(1-EXP(-LN(2)/25))/(LN(2)/25)*Calculateur!DB16*Calculateur!DD16*VLOOKUP('Données projet'!$B$13,Paramètres!$A$1:$I$89,3,0)*0.475*44/12</f>
        <v>0</v>
      </c>
      <c r="DH16" s="21">
        <f>EXP(-LN(2)/2)*DH15+(1-EXP(-LN(2)/2))/(LN(2)/2)*DB16*DE16*VLOOKUP('Données projet'!$B$13,Paramètres!$A$1:$I$89,3,0)*0.475*44/12</f>
        <v>0</v>
      </c>
      <c r="DI16" s="22">
        <f t="shared" si="15"/>
        <v>0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3.8846153846153846</v>
      </c>
      <c r="DO16" s="12">
        <f>IF('Données projet'!$A$166&gt;35,DO15+DN16-DW15,IF(A16&lt;'Données projet'!$A$166,$DL$205^A16,IF(A16='Données projet'!$A$166,'Données projet'!$B$166,DO15+DN16-DW15)))</f>
        <v>50.500000000000007</v>
      </c>
      <c r="DP16" s="17">
        <f>DO16*VLOOKUP('Données projet'!$B$14,Paramètres!$A$1:$I$89,3,0)*VLOOKUP('Données projet'!$B$14,Paramètres!$A$1:$I$89,5,0)</f>
        <v>24.290500000000005</v>
      </c>
      <c r="DQ16" s="13">
        <f t="shared" si="43"/>
        <v>7.7218918730887776</v>
      </c>
      <c r="DR16" s="20">
        <f t="shared" si="16"/>
        <v>55.754915845629625</v>
      </c>
      <c r="DS16" s="59">
        <f t="shared" si="17"/>
        <v>349.08824917896294</v>
      </c>
      <c r="DT16" s="59">
        <f ca="1">AVERAGE(OFFSET($DS$3,0,0,'Données projet'!$E$14+1,1))-AVERAGE(OFFSET($H$3,0,0,'Données projet'!$E$14+1,1))</f>
        <v>91.053246648097399</v>
      </c>
      <c r="DU16" s="59">
        <f t="shared" si="44"/>
        <v>64.716270355703955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>
        <f>EXP(-LN(2)/35)*EA15+(1-EXP(-LN(2)/35))/(LN(2)/35)*DW16*DX16*VLOOKUP('Données projet'!$B$14,Paramètres!$A$1:$I$89,3,0)*0.475*44/12</f>
        <v>0</v>
      </c>
      <c r="EB16" s="21">
        <f>EXP(-LN(2)/25)*EB15+(1-EXP(-LN(2)/25))/(LN(2)/25)*Calculateur!DW16*Calculateur!DY16*VLOOKUP('Données projet'!$B$14,Paramètres!$A$1:$I$89,3,0)*0.475*44/12</f>
        <v>0</v>
      </c>
      <c r="EC16" s="21">
        <f>EXP(-LN(2)/2)*EC15+(1-EXP(-LN(2)/2))/(LN(2)/2)*DW16*DZ16*VLOOKUP('Données projet'!$B$14,Paramètres!$A$1:$I$89,3,0)*0.475*44/12</f>
        <v>0</v>
      </c>
      <c r="ED16" s="22">
        <f t="shared" si="18"/>
        <v>0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5.3</v>
      </c>
      <c r="EJ16" s="12">
        <f>IF('Données projet'!$A$192&gt;35,EJ15+EI16-ER15,IF(A16&lt;'Données projet'!$A$192,$EG$205^A16,IF(A16='Données projet'!$A$192,'Données projet'!$B$192,EJ15+EI16-ER15)))</f>
        <v>20.722817982763658</v>
      </c>
      <c r="EK16" s="17">
        <f>EJ16*VLOOKUP('Données projet'!$B$15,Paramètres!$A$1:$I$89,3,0)*VLOOKUP('Données projet'!$B$15,Paramètres!$A$1:$I$89,5,0)</f>
        <v>12.392245153692668</v>
      </c>
      <c r="EL16" s="13">
        <f t="shared" si="45"/>
        <v>4.2604885422894494</v>
      </c>
      <c r="EM16" s="20">
        <f t="shared" si="19"/>
        <v>29.003511187168854</v>
      </c>
      <c r="EN16" s="59">
        <f t="shared" si="20"/>
        <v>322.33684452050215</v>
      </c>
      <c r="EO16" s="59">
        <f ca="1">AVERAGE(OFFSET($EN$3,0,0,'Données projet'!$E$15+1,1))-AVERAGE(OFFSET($H$3,0,0,'Données projet'!$E$15+1,1))</f>
        <v>316.58509520829671</v>
      </c>
      <c r="EP16" s="59">
        <f t="shared" si="46"/>
        <v>240.71332110643596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>
        <f>EXP(-LN(2)/35)*EV15+(1-EXP(-LN(2)/35))/(LN(2)/35)*ER16*ES16*VLOOKUP('Données projet'!$B$15,Paramètres!$A$1:$I$89,3,0)*0.475*44/12</f>
        <v>0</v>
      </c>
      <c r="EW16" s="21">
        <f>EXP(-LN(2)/25)*EW15+(1-EXP(-LN(2)/25))/(LN(2)/25)*Calculateur!ER16*Calculateur!ET16*VLOOKUP('Données projet'!$B$15,Paramètres!$A$1:$I$89,3,0)*0.475*44/12</f>
        <v>0</v>
      </c>
      <c r="EX16" s="21">
        <f>EXP(-LN(2)/2)*EX15+(1-EXP(-LN(2)/2))/(LN(2)/2)*ER16*EU16*VLOOKUP('Données projet'!$B$15,Paramètres!$A$1:$I$89,3,0)*0.475*44/12</f>
        <v>0</v>
      </c>
      <c r="EY16" s="22">
        <f t="shared" si="21"/>
        <v>0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4.3499999999999996</v>
      </c>
      <c r="FE16" s="12">
        <f>IF('Données projet'!$A$218&gt;35,FE15+FD16-FM15,IF(A16&lt;'Données projet'!$A$218,$FB$205^A16,IF(A16='Données projet'!$A$218,'Données projet'!$B$218,FE15+FD16-FM15)))</f>
        <v>18.22583835526224</v>
      </c>
      <c r="FF16" s="17">
        <f>FE16*VLOOKUP('Données projet'!$B$16,Paramètres!$A$1:$I$89,3,0)*VLOOKUP('Données projet'!$B$16,Paramètres!$A$1:$I$89,5,0)</f>
        <v>10.899051336446822</v>
      </c>
      <c r="FG16" s="13">
        <f t="shared" si="47"/>
        <v>3.8035463995409109</v>
      </c>
      <c r="FH16" s="20">
        <f t="shared" si="22"/>
        <v>25.607024390178637</v>
      </c>
      <c r="FI16" s="59">
        <f t="shared" si="23"/>
        <v>318.94035772351197</v>
      </c>
      <c r="FJ16" s="59">
        <f ca="1">AVERAGE(OFFSET($FI$3,0,0,'Données projet'!$E$16+1,1))-AVERAGE(OFFSET($H$3,0,0,'Données projet'!$E$16+1,1))</f>
        <v>270.30888762640245</v>
      </c>
      <c r="FK16" s="59">
        <f t="shared" si="48"/>
        <v>202.23783851977691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>
        <f>EXP(-LN(2)/35)*FQ15+(1-EXP(-LN(2)/35))/(LN(2)/35)*FM16*FN16*VLOOKUP('Données projet'!$B$16,Paramètres!$A$1:$I$89,3,0)*0.475*44/12</f>
        <v>0</v>
      </c>
      <c r="FR16" s="21">
        <f>EXP(-LN(2)/25)*FR15+(1-EXP(-LN(2)/25))/(LN(2)/25)*Calculateur!FM16*Calculateur!FO16*VLOOKUP('Données projet'!$B$16,Paramètres!$A$1:$I$89,3,0)*0.475*44/12</f>
        <v>0</v>
      </c>
      <c r="FS16" s="21">
        <f>EXP(-LN(2)/2)*FS15+(1-EXP(-LN(2)/2))/(LN(2)/2)*FM16*FP16*VLOOKUP('Données projet'!$B$16,Paramètres!$A$1:$I$89,3,0)*0.475*44/12</f>
        <v>0</v>
      </c>
      <c r="FT16" s="22">
        <f t="shared" si="24"/>
        <v>0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12.3</v>
      </c>
      <c r="FZ16" s="12">
        <f>IF('Données projet'!$A$244&gt;35,FZ15+FY16-GH15,IF(A16&lt;'Données projet'!$A$244,$FW$205^A16,IF(A16='Données projet'!$A$244,'Données projet'!$B$244,FZ15+FY16-GH15)))</f>
        <v>47.900000000000006</v>
      </c>
      <c r="GA16" s="17">
        <f>FZ16*VLOOKUP('Données projet'!$B$17,Paramètres!$A$1:$I$89,3,0)*VLOOKUP('Données projet'!$B$17,Paramètres!$A$1:$I$89,5,0)</f>
        <v>38.109240000000007</v>
      </c>
      <c r="GB16" s="13">
        <f t="shared" si="49"/>
        <v>11.496097202870512</v>
      </c>
      <c r="GC16" s="20">
        <f t="shared" si="25"/>
        <v>86.395962294999478</v>
      </c>
      <c r="GD16" s="59">
        <f t="shared" si="26"/>
        <v>379.72929562833281</v>
      </c>
      <c r="GE16" s="59">
        <f ca="1">AVERAGE(OFFSET($GD$3,0,0,'Données projet'!$E$17+1,1))-AVERAGE(OFFSET($H$3,0,0,'Données projet'!$E$17+1,1))</f>
        <v>260.20517190557814</v>
      </c>
      <c r="GF16" s="59">
        <f t="shared" si="50"/>
        <v>307.22009971147133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>
        <f>EXP(-LN(2)/35)*GL15+(1-EXP(-LN(2)/35))/(LN(2)/35)*GH16*GI16*VLOOKUP('Données projet'!$B$17,Paramètres!$A$1:$I$89,3,0)*0.475*44/12</f>
        <v>0</v>
      </c>
      <c r="GM16" s="21">
        <f>EXP(-LN(2)/25)*GM15+(1-EXP(-LN(2)/25))/(LN(2)/25)*Calculateur!GH16*Calculateur!GJ16*VLOOKUP('Données projet'!$B$17,Paramètres!$A$1:$I$89,3,0)*0.475*44/12</f>
        <v>0</v>
      </c>
      <c r="GN16" s="21">
        <f>EXP(-LN(2)/2)*GN15+(1-EXP(-LN(2)/2))/(LN(2)/2)*GH16*GK16*VLOOKUP('Données projet'!$B$17,Paramètres!$A$1:$I$89,3,0)*0.475*44/12</f>
        <v>0</v>
      </c>
      <c r="GO16" s="21">
        <f t="shared" si="27"/>
        <v>0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4.75</v>
      </c>
      <c r="GU16" s="12">
        <f>IF('Données projet'!$A$270&gt;35,GU15+GT16-HC15,IF(A16&lt;'Données projet'!$A$270,$GR$205^A16,IF(A16='Données projet'!$A$270,'Données projet'!$B$270,GU15+GT16-HC15)))</f>
        <v>19.298357323959845</v>
      </c>
      <c r="GV16" s="17">
        <f>GU16*VLOOKUP('Données projet'!$B$18,Paramètres!$A$1:$I$89,3,0)*VLOOKUP('Données projet'!$B$18,Paramètres!$A$1:$I$89,5,0)</f>
        <v>15.353773086942452</v>
      </c>
      <c r="GW16" s="13">
        <f t="shared" si="51"/>
        <v>5.1486307128581252</v>
      </c>
      <c r="GX16" s="20">
        <f t="shared" si="28"/>
        <v>35.708353284652667</v>
      </c>
      <c r="GY16" s="59">
        <f t="shared" si="29"/>
        <v>329.04168661798599</v>
      </c>
      <c r="GZ16" s="59">
        <f ca="1">AVERAGE(OFFSET($GY$3,0,0,'Données projet'!$E$18+1,1))-AVERAGE(OFFSET($H$3,0,0,'Données projet'!$E$18+1,1))</f>
        <v>199.58763537752952</v>
      </c>
      <c r="HA16" s="59">
        <f t="shared" si="52"/>
        <v>242.62852778451929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>
        <f>EXP(-LN(2)/35)*HG15+(1-EXP(-LN(2)/35))/(LN(2)/35)*HC16*HD16*VLOOKUP('Données projet'!$B$18,Paramètres!$A$1:$I$89,3,0)*0.475*44/12</f>
        <v>0</v>
      </c>
      <c r="HH16" s="21">
        <f>EXP(-LN(2)/25)*HH15+(1-EXP(-LN(2)/25))/(LN(2)/25)*Calculateur!HC16*Calculateur!HE16*VLOOKUP('Données projet'!$B$18,Paramètres!$A$1:$I$89,3,0)*0.475*44/12</f>
        <v>0</v>
      </c>
      <c r="HI16" s="21">
        <f>EXP(-LN(2)/2)*HI15+(1-EXP(-LN(2)/2))/(LN(2)/2)*HC16*HF16*VLOOKUP('Données projet'!$B$18,Paramètres!$A$1:$I$89,3,0)*0.475*44/12</f>
        <v>0</v>
      </c>
      <c r="HJ16" s="22">
        <f t="shared" si="30"/>
        <v>0</v>
      </c>
    </row>
    <row r="17" spans="1:218" x14ac:dyDescent="0.2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12.448800000000002</v>
      </c>
      <c r="D17" s="11">
        <f t="shared" si="32"/>
        <v>4.2776644527179633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129.11656770519133</v>
      </c>
      <c r="H17" s="67">
        <f t="shared" si="1"/>
        <v>322.46525892181711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9.3968325791855207</v>
      </c>
      <c r="N17" s="13">
        <f>IF('Données projet'!$A$36&gt;35,N16+M17-V16,IF(A17&lt;'Données projet'!$A$36,$K$205^A17,IF(A17='Données projet'!$A$36,'Données projet'!$B$36,N16+M17-V16)))</f>
        <v>65.251387348641543</v>
      </c>
      <c r="O17" s="13">
        <f>N17*VLOOKUP('Données projet'!$B$9,Paramètres!$A$1:$I$89,3,0)*VLOOKUP('Données projet'!$B$9,Paramètres!$A$1:$I$89,5,0)</f>
        <v>36.475525527890625</v>
      </c>
      <c r="P17" s="13">
        <f t="shared" si="33"/>
        <v>11.059529243860162</v>
      </c>
      <c r="Q17" s="20">
        <f t="shared" si="2"/>
        <v>82.790220394132618</v>
      </c>
      <c r="R17" s="59">
        <f t="shared" si="0"/>
        <v>376.12355372746595</v>
      </c>
      <c r="S17" s="59">
        <f ca="1">AVERAGE(OFFSET($R$3,0,0,'Données projet'!$E$9+1,1))-AVERAGE(OFFSET($H$3,0,0,'Données projet'!$E$9+1,1))</f>
        <v>255.5374979188561</v>
      </c>
      <c r="T17" s="59">
        <f t="shared" si="34"/>
        <v>343.10418468620901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7.7987854251012134</v>
      </c>
      <c r="AI17" s="13">
        <f>IF('Données projet'!$A$62&gt;35,AI16+AH17-AQ16,IF(A17&lt;'Données projet'!$A$62,$AF$205^A17,IF(A17='Données projet'!$A$62,'Données projet'!$B$62,AI16+AH17-AQ16)))</f>
        <v>39.766972318234998</v>
      </c>
      <c r="AJ17" s="13">
        <f>AI17*VLOOKUP('Données projet'!$B$10,Paramètres!$A$1:$I$89,3,0)*VLOOKUP('Données projet'!$B$10,Paramètres!$A$1:$I$89,5,0)</f>
        <v>22.229737525893363</v>
      </c>
      <c r="AK17" s="13">
        <f t="shared" si="35"/>
        <v>7.1400827186834128</v>
      </c>
      <c r="AL17" s="20">
        <f t="shared" si="4"/>
        <v>51.152436925971216</v>
      </c>
      <c r="AM17" s="59">
        <f t="shared" si="5"/>
        <v>344.48577025930456</v>
      </c>
      <c r="AN17" s="59">
        <f ca="1">AVERAGE(OFFSET($AM$3,0,0,'Données projet'!$E$10+1,1))-AVERAGE(OFFSET($H$3,0,0,'Données projet'!$E$10+1,1))</f>
        <v>224.7049802939942</v>
      </c>
      <c r="AO17" s="59">
        <f t="shared" si="36"/>
        <v>203.48513862195352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14.1</v>
      </c>
      <c r="BD17" s="12">
        <f>IF('Données projet'!$A$88&gt;35,BD16+BC17-BL16,IF(A17&lt;'Données projet'!$A$88,$BA$205^A17,IF(A17='Données projet'!$A$88,'Données projet'!$B$88,BD16+BC17-BL16)))</f>
        <v>92.399999999999991</v>
      </c>
      <c r="BE17" s="13">
        <f>BD17*VLOOKUP('Données projet'!$B$11,Paramètres!$A$1:$I$89,3,0)*VLOOKUP('Données projet'!$B$11,Paramètres!$A$1:$I$89,5,0)</f>
        <v>50.450399999999995</v>
      </c>
      <c r="BF17" s="13">
        <f t="shared" si="37"/>
        <v>14.730016649594965</v>
      </c>
      <c r="BG17" s="20">
        <f t="shared" si="7"/>
        <v>113.52255899804454</v>
      </c>
      <c r="BH17" s="59">
        <f t="shared" si="8"/>
        <v>406.85589233137785</v>
      </c>
      <c r="BI17" s="59">
        <f ca="1">AVERAGE(OFFSET($BH$3,0,0,'Données projet'!$E$11+1,1))-AVERAGE(OFFSET($H$3,0,0,'Données projet'!$E$11+1,1))</f>
        <v>210.04871822652808</v>
      </c>
      <c r="BJ17" s="59">
        <f t="shared" si="38"/>
        <v>250.17540614049324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11.4</v>
      </c>
      <c r="BY17" s="12">
        <f>IF('Données projet'!$A$114&gt;35,BY16+BX17-CG16,IF(A17&lt;'Données projet'!$A$114,$BV$205^A17,IF(A17='Données projet'!$A$114,'Données projet'!$B$114,BY16+BX17-CG16)))</f>
        <v>68.599999999999994</v>
      </c>
      <c r="BZ17" s="13">
        <f>BY17*VLOOKUP('Données projet'!$B$12,Paramètres!$A$1:$I$89,3,0)*VLOOKUP('Données projet'!$B$12,Paramètres!$A$1:$I$89,5,0)</f>
        <v>37.455599999999997</v>
      </c>
      <c r="CA17" s="13">
        <f t="shared" si="39"/>
        <v>11.321695561560951</v>
      </c>
      <c r="CB17" s="20">
        <f t="shared" si="10"/>
        <v>84.953789769718654</v>
      </c>
      <c r="CC17" s="59">
        <f t="shared" si="11"/>
        <v>378.28712310305195</v>
      </c>
      <c r="CD17" s="59">
        <f ca="1">AVERAGE(OFFSET($CC$3,0,0,'Données projet'!$E$12+1,1))-AVERAGE(OFFSET($H$3,0,0,'Données projet'!$E$12+1,1))</f>
        <v>168.72306536277267</v>
      </c>
      <c r="CE17" s="59">
        <f t="shared" si="40"/>
        <v>203.35476578922339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5.6730769230769225</v>
      </c>
      <c r="CT17" s="12">
        <f>IF('Données projet'!$A$140&gt;35,CT16+CS17-DB16,IF(A17&lt;'Données projet'!$A$140,$CQ$205^A17,IF(A17='Données projet'!$A$140,'Données projet'!$B$140,CT16+CS17-DB16)))</f>
        <v>79.423076923076891</v>
      </c>
      <c r="CU17" s="17">
        <f>CT17*VLOOKUP('Données projet'!$B$13,Paramètres!$A$1:$I$89,3,0)*VLOOKUP('Données projet'!$B$13,Paramètres!$A$1:$I$89,5,0)</f>
        <v>38.202499999999986</v>
      </c>
      <c r="CV17" s="13">
        <f t="shared" si="41"/>
        <v>11.520951956058662</v>
      </c>
      <c r="CW17" s="20">
        <f t="shared" si="13"/>
        <v>86.601678823468816</v>
      </c>
      <c r="CX17" s="59">
        <f t="shared" si="14"/>
        <v>379.93501215680215</v>
      </c>
      <c r="CY17" s="59">
        <f ca="1">AVERAGE(OFFSET($CX$3,0,0,'Données projet'!$E$13+1,1))-AVERAGE(OFFSET($H$3,0,0,'Données projet'!$E$13+1,1))</f>
        <v>304.15237106473313</v>
      </c>
      <c r="CZ17" s="59">
        <f t="shared" si="42"/>
        <v>120.85458928724336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>
        <f>EXP(-LN(2)/35)*DF16+(1-EXP(-LN(2)/35))/(LN(2)/35)*DB17*DC17*VLOOKUP('Données projet'!$B$13,Paramètres!$A$1:$I$89,3,0)*0.475*44/12</f>
        <v>0</v>
      </c>
      <c r="DG17" s="21">
        <f>EXP(-LN(2)/25)*DG16+(1-EXP(-LN(2)/25))/(LN(2)/25)*Calculateur!DB17*Calculateur!DD17*VLOOKUP('Données projet'!$B$13,Paramètres!$A$1:$I$89,3,0)*0.475*44/12</f>
        <v>0</v>
      </c>
      <c r="DH17" s="21">
        <f>EXP(-LN(2)/2)*DH16+(1-EXP(-LN(2)/2))/(LN(2)/2)*DB17*DE17*VLOOKUP('Données projet'!$B$13,Paramètres!$A$1:$I$89,3,0)*0.475*44/12</f>
        <v>0</v>
      </c>
      <c r="DI17" s="22">
        <f t="shared" si="15"/>
        <v>0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3.8846153846153846</v>
      </c>
      <c r="DO17" s="12">
        <f>IF('Données projet'!$A$166&gt;35,DO16+DN17-DW16,IF(A17&lt;'Données projet'!$A$166,$DL$205^A17,IF(A17='Données projet'!$A$166,'Données projet'!$B$166,DO16+DN17-DW16)))</f>
        <v>54.384615384615394</v>
      </c>
      <c r="DP17" s="17">
        <f>DO17*VLOOKUP('Données projet'!$B$14,Paramètres!$A$1:$I$89,3,0)*VLOOKUP('Données projet'!$B$14,Paramètres!$A$1:$I$89,5,0)</f>
        <v>26.159000000000006</v>
      </c>
      <c r="DQ17" s="13">
        <f t="shared" si="43"/>
        <v>8.2444578553049546</v>
      </c>
      <c r="DR17" s="20">
        <f t="shared" si="16"/>
        <v>59.919355764656153</v>
      </c>
      <c r="DS17" s="59">
        <f t="shared" si="17"/>
        <v>353.25268909798945</v>
      </c>
      <c r="DT17" s="59">
        <f ca="1">AVERAGE(OFFSET($DS$3,0,0,'Données projet'!$E$14+1,1))-AVERAGE(OFFSET($H$3,0,0,'Données projet'!$E$14+1,1))</f>
        <v>91.053246648097399</v>
      </c>
      <c r="DU17" s="59">
        <f t="shared" si="44"/>
        <v>64.716270355703955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>
        <f>EXP(-LN(2)/35)*EA16+(1-EXP(-LN(2)/35))/(LN(2)/35)*DW17*DX17*VLOOKUP('Données projet'!$B$14,Paramètres!$A$1:$I$89,3,0)*0.475*44/12</f>
        <v>0</v>
      </c>
      <c r="EB17" s="21">
        <f>EXP(-LN(2)/25)*EB16+(1-EXP(-LN(2)/25))/(LN(2)/25)*Calculateur!DW17*Calculateur!DY17*VLOOKUP('Données projet'!$B$14,Paramètres!$A$1:$I$89,3,0)*0.475*44/12</f>
        <v>0</v>
      </c>
      <c r="EC17" s="21">
        <f>EXP(-LN(2)/2)*EC16+(1-EXP(-LN(2)/2))/(LN(2)/2)*DW17*DZ17*VLOOKUP('Données projet'!$B$14,Paramètres!$A$1:$I$89,3,0)*0.475*44/12</f>
        <v>0</v>
      </c>
      <c r="ED17" s="22">
        <f t="shared" si="18"/>
        <v>0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5.3</v>
      </c>
      <c r="EJ17" s="12">
        <f>IF('Données projet'!$A$192&gt;35,EJ16+EI17-ER16,IF(A17&lt;'Données projet'!$A$192,$EG$205^A17,IF(A17='Données projet'!$A$192,'Données projet'!$B$192,EJ16+EI17-ER16)))</f>
        <v>26.164600360262149</v>
      </c>
      <c r="EK17" s="17">
        <f>EJ17*VLOOKUP('Données projet'!$B$15,Paramètres!$A$1:$I$89,3,0)*VLOOKUP('Données projet'!$B$15,Paramètres!$A$1:$I$89,5,0)</f>
        <v>15.646431015436765</v>
      </c>
      <c r="EL17" s="13">
        <f t="shared" si="45"/>
        <v>5.235249871727123</v>
      </c>
      <c r="EM17" s="20">
        <f t="shared" si="19"/>
        <v>36.368927545143769</v>
      </c>
      <c r="EN17" s="59">
        <f t="shared" si="20"/>
        <v>329.70226087847709</v>
      </c>
      <c r="EO17" s="59">
        <f ca="1">AVERAGE(OFFSET($EN$3,0,0,'Données projet'!$E$15+1,1))-AVERAGE(OFFSET($H$3,0,0,'Données projet'!$E$15+1,1))</f>
        <v>316.58509520829671</v>
      </c>
      <c r="EP17" s="59">
        <f t="shared" si="46"/>
        <v>240.71332110643596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>
        <f>EXP(-LN(2)/35)*EV16+(1-EXP(-LN(2)/35))/(LN(2)/35)*ER17*ES17*VLOOKUP('Données projet'!$B$15,Paramètres!$A$1:$I$89,3,0)*0.475*44/12</f>
        <v>0</v>
      </c>
      <c r="EW17" s="21">
        <f>EXP(-LN(2)/25)*EW16+(1-EXP(-LN(2)/25))/(LN(2)/25)*Calculateur!ER17*Calculateur!ET17*VLOOKUP('Données projet'!$B$15,Paramètres!$A$1:$I$89,3,0)*0.475*44/12</f>
        <v>0</v>
      </c>
      <c r="EX17" s="21">
        <f>EXP(-LN(2)/2)*EX16+(1-EXP(-LN(2)/2))/(LN(2)/2)*ER17*EU17*VLOOKUP('Données projet'!$B$15,Paramètres!$A$1:$I$89,3,0)*0.475*44/12</f>
        <v>0</v>
      </c>
      <c r="EY17" s="22">
        <f t="shared" si="21"/>
        <v>0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4.3499999999999996</v>
      </c>
      <c r="FE17" s="12">
        <f>IF('Données projet'!$A$218&gt;35,FE16+FD17-FM16,IF(A17&lt;'Données projet'!$A$218,$FB$205^A17,IF(A17='Données projet'!$A$218,'Données projet'!$B$218,FE16+FD17-FM16)))</f>
        <v>22.785757803932292</v>
      </c>
      <c r="FF17" s="17">
        <f>FE17*VLOOKUP('Données projet'!$B$16,Paramètres!$A$1:$I$89,3,0)*VLOOKUP('Données projet'!$B$16,Paramètres!$A$1:$I$89,5,0)</f>
        <v>13.625883166751512</v>
      </c>
      <c r="FG17" s="13">
        <f t="shared" si="47"/>
        <v>4.6331533955999511</v>
      </c>
      <c r="FH17" s="20">
        <f t="shared" si="22"/>
        <v>31.801155346095459</v>
      </c>
      <c r="FI17" s="59">
        <f t="shared" si="23"/>
        <v>325.13448867942878</v>
      </c>
      <c r="FJ17" s="59">
        <f ca="1">AVERAGE(OFFSET($FI$3,0,0,'Données projet'!$E$16+1,1))-AVERAGE(OFFSET($H$3,0,0,'Données projet'!$E$16+1,1))</f>
        <v>270.30888762640245</v>
      </c>
      <c r="FK17" s="59">
        <f t="shared" si="48"/>
        <v>202.23783851977691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>
        <f>EXP(-LN(2)/35)*FQ16+(1-EXP(-LN(2)/35))/(LN(2)/35)*FM17*FN17*VLOOKUP('Données projet'!$B$16,Paramètres!$A$1:$I$89,3,0)*0.475*44/12</f>
        <v>0</v>
      </c>
      <c r="FR17" s="21">
        <f>EXP(-LN(2)/25)*FR16+(1-EXP(-LN(2)/25))/(LN(2)/25)*Calculateur!FM17*Calculateur!FO17*VLOOKUP('Données projet'!$B$16,Paramètres!$A$1:$I$89,3,0)*0.475*44/12</f>
        <v>0</v>
      </c>
      <c r="FS17" s="21">
        <f>EXP(-LN(2)/2)*FS16+(1-EXP(-LN(2)/2))/(LN(2)/2)*FM17*FP17*VLOOKUP('Données projet'!$B$16,Paramètres!$A$1:$I$89,3,0)*0.475*44/12</f>
        <v>0</v>
      </c>
      <c r="FT17" s="22">
        <f t="shared" si="24"/>
        <v>0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12.3</v>
      </c>
      <c r="FZ17" s="12">
        <f>IF('Données projet'!$A$244&gt;35,FZ16+FY17-GH16,IF(A17&lt;'Données projet'!$A$244,$FW$205^A17,IF(A17='Données projet'!$A$244,'Données projet'!$B$244,FZ16+FY17-GH16)))</f>
        <v>60.2</v>
      </c>
      <c r="GA17" s="17">
        <f>FZ17*VLOOKUP('Données projet'!$B$17,Paramètres!$A$1:$I$89,3,0)*VLOOKUP('Données projet'!$B$17,Paramètres!$A$1:$I$89,5,0)</f>
        <v>47.895120000000006</v>
      </c>
      <c r="GB17" s="13">
        <f t="shared" si="49"/>
        <v>14.068812032564205</v>
      </c>
      <c r="GC17" s="20">
        <f t="shared" si="25"/>
        <v>107.92051495671599</v>
      </c>
      <c r="GD17" s="59">
        <f t="shared" si="26"/>
        <v>401.25384829004929</v>
      </c>
      <c r="GE17" s="59">
        <f ca="1">AVERAGE(OFFSET($GD$3,0,0,'Données projet'!$E$17+1,1))-AVERAGE(OFFSET($H$3,0,0,'Données projet'!$E$17+1,1))</f>
        <v>260.20517190557814</v>
      </c>
      <c r="GF17" s="59">
        <f t="shared" si="50"/>
        <v>307.22009971147133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>
        <f>EXP(-LN(2)/35)*GL16+(1-EXP(-LN(2)/35))/(LN(2)/35)*GH17*GI17*VLOOKUP('Données projet'!$B$17,Paramètres!$A$1:$I$89,3,0)*0.475*44/12</f>
        <v>0</v>
      </c>
      <c r="GM17" s="21">
        <f>EXP(-LN(2)/25)*GM16+(1-EXP(-LN(2)/25))/(LN(2)/25)*Calculateur!GH17*Calculateur!GJ17*VLOOKUP('Données projet'!$B$17,Paramètres!$A$1:$I$89,3,0)*0.475*44/12</f>
        <v>0</v>
      </c>
      <c r="GN17" s="21">
        <f>EXP(-LN(2)/2)*GN16+(1-EXP(-LN(2)/2))/(LN(2)/2)*GH17*GK17*VLOOKUP('Données projet'!$B$17,Paramètres!$A$1:$I$89,3,0)*0.475*44/12</f>
        <v>0</v>
      </c>
      <c r="GO17" s="21">
        <f t="shared" si="27"/>
        <v>0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4.75</v>
      </c>
      <c r="GU17" s="12">
        <f>IF('Données projet'!$A$270&gt;35,GU16+GT17-HC16,IF(A17&lt;'Données projet'!$A$270,$GR$205^A17,IF(A17='Données projet'!$A$270,'Données projet'!$B$270,GU16+GT17-HC16)))</f>
        <v>24.232963250726986</v>
      </c>
      <c r="GV17" s="17">
        <f>GU17*VLOOKUP('Données projet'!$B$18,Paramètres!$A$1:$I$89,3,0)*VLOOKUP('Données projet'!$B$18,Paramètres!$A$1:$I$89,5,0)</f>
        <v>19.279745562278389</v>
      </c>
      <c r="GW17" s="13">
        <f t="shared" si="51"/>
        <v>6.2960413540292901</v>
      </c>
      <c r="GX17" s="20">
        <f t="shared" si="28"/>
        <v>44.544495545902528</v>
      </c>
      <c r="GY17" s="59">
        <f t="shared" si="29"/>
        <v>337.87782887923584</v>
      </c>
      <c r="GZ17" s="59">
        <f ca="1">AVERAGE(OFFSET($GY$3,0,0,'Données projet'!$E$18+1,1))-AVERAGE(OFFSET($H$3,0,0,'Données projet'!$E$18+1,1))</f>
        <v>199.58763537752952</v>
      </c>
      <c r="HA17" s="59">
        <f t="shared" si="52"/>
        <v>242.62852778451929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>
        <f>EXP(-LN(2)/35)*HG16+(1-EXP(-LN(2)/35))/(LN(2)/35)*HC17*HD17*VLOOKUP('Données projet'!$B$18,Paramètres!$A$1:$I$89,3,0)*0.475*44/12</f>
        <v>0</v>
      </c>
      <c r="HH17" s="21">
        <f>EXP(-LN(2)/25)*HH16+(1-EXP(-LN(2)/25))/(LN(2)/25)*Calculateur!HC17*Calculateur!HE17*VLOOKUP('Données projet'!$B$18,Paramètres!$A$1:$I$89,3,0)*0.475*44/12</f>
        <v>0</v>
      </c>
      <c r="HI17" s="21">
        <f>EXP(-LN(2)/2)*HI16+(1-EXP(-LN(2)/2))/(LN(2)/2)*HC17*HF17*VLOOKUP('Données projet'!$B$18,Paramètres!$A$1:$I$89,3,0)*0.475*44/12</f>
        <v>0</v>
      </c>
      <c r="HJ17" s="22">
        <f t="shared" si="30"/>
        <v>0</v>
      </c>
    </row>
    <row r="18" spans="1:218" x14ac:dyDescent="0.2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13.338000000000003</v>
      </c>
      <c r="D18" s="11">
        <f t="shared" si="32"/>
        <v>4.5465525901071517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138.0561954324061</v>
      </c>
      <c r="H18" s="67">
        <f t="shared" si="1"/>
        <v>324.48226242776991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9.3968325791855207</v>
      </c>
      <c r="N18" s="13">
        <f>IF('Données projet'!$A$36&gt;35,N17+M18-V17,IF(A18&lt;'Données projet'!$A$36,$K$205^A18,IF(A18='Données projet'!$A$36,'Données projet'!$B$36,N17+M18-V17)))</f>
        <v>87.943410428552681</v>
      </c>
      <c r="O18" s="13">
        <f>N18*VLOOKUP('Données projet'!$B$9,Paramètres!$A$1:$I$89,3,0)*VLOOKUP('Données projet'!$B$9,Paramètres!$A$1:$I$89,5,0)</f>
        <v>49.160366429560945</v>
      </c>
      <c r="P18" s="13">
        <f t="shared" si="33"/>
        <v>14.396707372164377</v>
      </c>
      <c r="Q18" s="20">
        <f t="shared" si="2"/>
        <v>110.69523687133828</v>
      </c>
      <c r="R18" s="59">
        <f t="shared" si="0"/>
        <v>404.02857020467161</v>
      </c>
      <c r="S18" s="59">
        <f ca="1">AVERAGE(OFFSET($R$3,0,0,'Données projet'!$E$9+1,1))-AVERAGE(OFFSET($H$3,0,0,'Données projet'!$E$9+1,1))</f>
        <v>255.5374979188561</v>
      </c>
      <c r="T18" s="59">
        <f t="shared" si="34"/>
        <v>343.10418468620901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7.7987854251012134</v>
      </c>
      <c r="AI18" s="13">
        <f>IF('Données projet'!$A$62&gt;35,AI17+AH18-AQ17,IF(A18&lt;'Données projet'!$A$62,$AF$205^A18,IF(A18='Données projet'!$A$62,'Données projet'!$B$62,AI17+AH18-AQ17)))</f>
        <v>51.73377096531113</v>
      </c>
      <c r="AJ18" s="13">
        <f>AI18*VLOOKUP('Données projet'!$B$10,Paramètres!$A$1:$I$89,3,0)*VLOOKUP('Données projet'!$B$10,Paramètres!$A$1:$I$89,5,0)</f>
        <v>28.919177969608924</v>
      </c>
      <c r="AK18" s="13">
        <f t="shared" si="35"/>
        <v>9.0085722278754812</v>
      </c>
      <c r="AL18" s="20">
        <f t="shared" si="4"/>
        <v>66.057498260618672</v>
      </c>
      <c r="AM18" s="59">
        <f t="shared" si="5"/>
        <v>359.39083159395199</v>
      </c>
      <c r="AN18" s="59">
        <f ca="1">AVERAGE(OFFSET($AM$3,0,0,'Données projet'!$E$10+1,1))-AVERAGE(OFFSET($H$3,0,0,'Données projet'!$E$10+1,1))</f>
        <v>224.7049802939942</v>
      </c>
      <c r="AO18" s="59">
        <f t="shared" si="36"/>
        <v>203.48513862195352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14.1</v>
      </c>
      <c r="BD18" s="12">
        <f>IF('Données projet'!$A$88&gt;35,BD17+BC18-BL17,IF(A18&lt;'Données projet'!$A$88,$BA$205^A18,IF(A18='Données projet'!$A$88,'Données projet'!$B$88,BD17+BC18-BL17)))</f>
        <v>106.49999999999999</v>
      </c>
      <c r="BE18" s="13">
        <f>BD18*VLOOKUP('Données projet'!$B$11,Paramètres!$A$1:$I$89,3,0)*VLOOKUP('Données projet'!$B$11,Paramètres!$A$1:$I$89,5,0)</f>
        <v>58.148999999999987</v>
      </c>
      <c r="BF18" s="13">
        <f t="shared" si="37"/>
        <v>16.699428066773574</v>
      </c>
      <c r="BG18" s="20">
        <f t="shared" si="7"/>
        <v>130.36101221629727</v>
      </c>
      <c r="BH18" s="59">
        <f t="shared" si="8"/>
        <v>423.69434554963061</v>
      </c>
      <c r="BI18" s="59">
        <f ca="1">AVERAGE(OFFSET($BH$3,0,0,'Données projet'!$E$11+1,1))-AVERAGE(OFFSET($H$3,0,0,'Données projet'!$E$11+1,1))</f>
        <v>210.04871822652808</v>
      </c>
      <c r="BJ18" s="59">
        <f t="shared" si="38"/>
        <v>250.17540614049324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11.4</v>
      </c>
      <c r="BY18" s="12">
        <f>IF('Données projet'!$A$114&gt;35,BY17+BX18-CG17,IF(A18&lt;'Données projet'!$A$114,$BV$205^A18,IF(A18='Données projet'!$A$114,'Données projet'!$B$114,BY17+BX18-CG17)))</f>
        <v>80</v>
      </c>
      <c r="BZ18" s="13">
        <f>BY18*VLOOKUP('Données projet'!$B$12,Paramètres!$A$1:$I$89,3,0)*VLOOKUP('Données projet'!$B$12,Paramètres!$A$1:$I$89,5,0)</f>
        <v>43.680000000000007</v>
      </c>
      <c r="CA18" s="13">
        <f t="shared" si="39"/>
        <v>12.968979282088577</v>
      </c>
      <c r="CB18" s="20">
        <f t="shared" si="10"/>
        <v>98.663638916304294</v>
      </c>
      <c r="CC18" s="59">
        <f t="shared" si="11"/>
        <v>391.99697224963762</v>
      </c>
      <c r="CD18" s="59">
        <f ca="1">AVERAGE(OFFSET($CC$3,0,0,'Données projet'!$E$12+1,1))-AVERAGE(OFFSET($H$3,0,0,'Données projet'!$E$12+1,1))</f>
        <v>168.72306536277267</v>
      </c>
      <c r="CE18" s="59">
        <f t="shared" si="40"/>
        <v>203.35476578922339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5.6730769230769225</v>
      </c>
      <c r="CT18" s="12">
        <f>IF('Données projet'!$A$140&gt;35,CT17+CS18-DB17,IF(A18&lt;'Données projet'!$A$140,$CQ$205^A18,IF(A18='Données projet'!$A$140,'Données projet'!$B$140,CT17+CS18-DB17)))</f>
        <v>85.096153846153811</v>
      </c>
      <c r="CU18" s="17">
        <f>CT18*VLOOKUP('Données projet'!$B$13,Paramètres!$A$1:$I$89,3,0)*VLOOKUP('Données projet'!$B$13,Paramètres!$A$1:$I$89,5,0)</f>
        <v>40.931249999999984</v>
      </c>
      <c r="CV18" s="13">
        <f t="shared" si="41"/>
        <v>12.245143240030602</v>
      </c>
      <c r="CW18" s="20">
        <f t="shared" si="13"/>
        <v>92.615551559719918</v>
      </c>
      <c r="CX18" s="59">
        <f t="shared" si="14"/>
        <v>385.94888489305322</v>
      </c>
      <c r="CY18" s="59">
        <f ca="1">AVERAGE(OFFSET($CX$3,0,0,'Données projet'!$E$13+1,1))-AVERAGE(OFFSET($H$3,0,0,'Données projet'!$E$13+1,1))</f>
        <v>304.15237106473313</v>
      </c>
      <c r="CZ18" s="59">
        <f t="shared" si="42"/>
        <v>120.85458928724336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>
        <f>EXP(-LN(2)/35)*DF17+(1-EXP(-LN(2)/35))/(LN(2)/35)*DB18*DC18*VLOOKUP('Données projet'!$B$13,Paramètres!$A$1:$I$89,3,0)*0.475*44/12</f>
        <v>0</v>
      </c>
      <c r="DG18" s="21">
        <f>EXP(-LN(2)/25)*DG17+(1-EXP(-LN(2)/25))/(LN(2)/25)*Calculateur!DB18*Calculateur!DD18*VLOOKUP('Données projet'!$B$13,Paramètres!$A$1:$I$89,3,0)*0.475*44/12</f>
        <v>0</v>
      </c>
      <c r="DH18" s="21">
        <f>EXP(-LN(2)/2)*DH17+(1-EXP(-LN(2)/2))/(LN(2)/2)*DB18*DE18*VLOOKUP('Données projet'!$B$13,Paramètres!$A$1:$I$89,3,0)*0.475*44/12</f>
        <v>0</v>
      </c>
      <c r="DI18" s="22">
        <f t="shared" si="15"/>
        <v>0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3.8846153846153846</v>
      </c>
      <c r="DO18" s="12">
        <f>IF('Données projet'!$A$166&gt;35,DO17+DN18-DW17,IF(A18&lt;'Données projet'!$A$166,$DL$205^A18,IF(A18='Données projet'!$A$166,'Données projet'!$B$166,DO17+DN18-DW17)))</f>
        <v>58.269230769230781</v>
      </c>
      <c r="DP18" s="17">
        <f>DO18*VLOOKUP('Données projet'!$B$14,Paramètres!$A$1:$I$89,3,0)*VLOOKUP('Données projet'!$B$14,Paramètres!$A$1:$I$89,5,0)</f>
        <v>28.027500000000003</v>
      </c>
      <c r="DQ18" s="13">
        <f t="shared" si="43"/>
        <v>8.7626932010175143</v>
      </c>
      <c r="DR18" s="20">
        <f t="shared" si="16"/>
        <v>64.076253158438831</v>
      </c>
      <c r="DS18" s="59">
        <f t="shared" si="17"/>
        <v>357.40958649177213</v>
      </c>
      <c r="DT18" s="59">
        <f ca="1">AVERAGE(OFFSET($DS$3,0,0,'Données projet'!$E$14+1,1))-AVERAGE(OFFSET($H$3,0,0,'Données projet'!$E$14+1,1))</f>
        <v>91.053246648097399</v>
      </c>
      <c r="DU18" s="59">
        <f t="shared" si="44"/>
        <v>64.716270355703955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>
        <f>EXP(-LN(2)/35)*EA17+(1-EXP(-LN(2)/35))/(LN(2)/35)*DW18*DX18*VLOOKUP('Données projet'!$B$14,Paramètres!$A$1:$I$89,3,0)*0.475*44/12</f>
        <v>0</v>
      </c>
      <c r="EB18" s="21">
        <f>EXP(-LN(2)/25)*EB17+(1-EXP(-LN(2)/25))/(LN(2)/25)*Calculateur!DW18*Calculateur!DY18*VLOOKUP('Données projet'!$B$14,Paramètres!$A$1:$I$89,3,0)*0.475*44/12</f>
        <v>0</v>
      </c>
      <c r="EC18" s="21">
        <f>EXP(-LN(2)/2)*EC17+(1-EXP(-LN(2)/2))/(LN(2)/2)*DW18*DZ18*VLOOKUP('Données projet'!$B$14,Paramètres!$A$1:$I$89,3,0)*0.475*44/12</f>
        <v>0</v>
      </c>
      <c r="ED18" s="22">
        <f t="shared" si="18"/>
        <v>0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5.3</v>
      </c>
      <c r="EJ18" s="12">
        <f>IF('Données projet'!$A$192&gt;35,EJ17+EI18-ER17,IF(A18&lt;'Données projet'!$A$192,$EG$205^A18,IF(A18='Données projet'!$A$192,'Données projet'!$B$192,EJ17+EI18-ER17)))</f>
        <v>33.035387010668124</v>
      </c>
      <c r="EK18" s="17">
        <f>EJ18*VLOOKUP('Données projet'!$B$15,Paramètres!$A$1:$I$89,3,0)*VLOOKUP('Données projet'!$B$15,Paramètres!$A$1:$I$89,5,0)</f>
        <v>19.755161432379541</v>
      </c>
      <c r="EL18" s="13">
        <f t="shared" si="45"/>
        <v>6.4330277965471954</v>
      </c>
      <c r="EM18" s="20">
        <f t="shared" si="19"/>
        <v>45.611096240380732</v>
      </c>
      <c r="EN18" s="59">
        <f t="shared" si="20"/>
        <v>338.94442957371405</v>
      </c>
      <c r="EO18" s="59">
        <f ca="1">AVERAGE(OFFSET($EN$3,0,0,'Données projet'!$E$15+1,1))-AVERAGE(OFFSET($H$3,0,0,'Données projet'!$E$15+1,1))</f>
        <v>316.58509520829671</v>
      </c>
      <c r="EP18" s="59">
        <f t="shared" si="46"/>
        <v>240.71332110643596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>
        <f>EXP(-LN(2)/35)*EV17+(1-EXP(-LN(2)/35))/(LN(2)/35)*ER18*ES18*VLOOKUP('Données projet'!$B$15,Paramètres!$A$1:$I$89,3,0)*0.475*44/12</f>
        <v>0</v>
      </c>
      <c r="EW18" s="21">
        <f>EXP(-LN(2)/25)*EW17+(1-EXP(-LN(2)/25))/(LN(2)/25)*Calculateur!ER18*Calculateur!ET18*VLOOKUP('Données projet'!$B$15,Paramètres!$A$1:$I$89,3,0)*0.475*44/12</f>
        <v>0</v>
      </c>
      <c r="EX18" s="21">
        <f>EXP(-LN(2)/2)*EX17+(1-EXP(-LN(2)/2))/(LN(2)/2)*ER18*EU18*VLOOKUP('Données projet'!$B$15,Paramètres!$A$1:$I$89,3,0)*0.475*44/12</f>
        <v>0</v>
      </c>
      <c r="EY18" s="22">
        <f t="shared" si="21"/>
        <v>0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4.3499999999999996</v>
      </c>
      <c r="FE18" s="12">
        <f>IF('Données projet'!$A$218&gt;35,FE17+FD18-FM17,IF(A18&lt;'Données projet'!$A$218,$FB$205^A18,IF(A18='Données projet'!$A$218,'Données projet'!$B$218,FE17+FD18-FM17)))</f>
        <v>28.48652273652797</v>
      </c>
      <c r="FF18" s="17">
        <f>FE18*VLOOKUP('Données projet'!$B$16,Paramètres!$A$1:$I$89,3,0)*VLOOKUP('Données projet'!$B$16,Paramètres!$A$1:$I$89,5,0)</f>
        <v>17.034940596443729</v>
      </c>
      <c r="FG18" s="13">
        <f t="shared" si="47"/>
        <v>5.6437093523429409</v>
      </c>
      <c r="FH18" s="20">
        <f t="shared" si="22"/>
        <v>39.498648660803447</v>
      </c>
      <c r="FI18" s="59">
        <f t="shared" si="23"/>
        <v>332.83198199413675</v>
      </c>
      <c r="FJ18" s="59">
        <f ca="1">AVERAGE(OFFSET($FI$3,0,0,'Données projet'!$E$16+1,1))-AVERAGE(OFFSET($H$3,0,0,'Données projet'!$E$16+1,1))</f>
        <v>270.30888762640245</v>
      </c>
      <c r="FK18" s="59">
        <f t="shared" si="48"/>
        <v>202.23783851977691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>
        <f>EXP(-LN(2)/35)*FQ17+(1-EXP(-LN(2)/35))/(LN(2)/35)*FM18*FN18*VLOOKUP('Données projet'!$B$16,Paramètres!$A$1:$I$89,3,0)*0.475*44/12</f>
        <v>0</v>
      </c>
      <c r="FR18" s="21">
        <f>EXP(-LN(2)/25)*FR17+(1-EXP(-LN(2)/25))/(LN(2)/25)*Calculateur!FM18*Calculateur!FO18*VLOOKUP('Données projet'!$B$16,Paramètres!$A$1:$I$89,3,0)*0.475*44/12</f>
        <v>0</v>
      </c>
      <c r="FS18" s="21">
        <f>EXP(-LN(2)/2)*FS17+(1-EXP(-LN(2)/2))/(LN(2)/2)*FM18*FP18*VLOOKUP('Données projet'!$B$16,Paramètres!$A$1:$I$89,3,0)*0.475*44/12</f>
        <v>0</v>
      </c>
      <c r="FT18" s="22">
        <f t="shared" si="24"/>
        <v>0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12.3</v>
      </c>
      <c r="FZ18" s="12">
        <f>IF('Données projet'!$A$244&gt;35,FZ17+FY18-GH17,IF(A18&lt;'Données projet'!$A$244,$FW$205^A18,IF(A18='Données projet'!$A$244,'Données projet'!$B$244,FZ17+FY18-GH17)))</f>
        <v>72.5</v>
      </c>
      <c r="GA18" s="17">
        <f>FZ18*VLOOKUP('Données projet'!$B$17,Paramètres!$A$1:$I$89,3,0)*VLOOKUP('Données projet'!$B$17,Paramètres!$A$1:$I$89,5,0)</f>
        <v>57.681000000000004</v>
      </c>
      <c r="GB18" s="13">
        <f t="shared" si="49"/>
        <v>16.580614810327479</v>
      </c>
      <c r="GC18" s="20">
        <f t="shared" si="25"/>
        <v>129.33897912798705</v>
      </c>
      <c r="GD18" s="59">
        <f t="shared" si="26"/>
        <v>422.67231246132036</v>
      </c>
      <c r="GE18" s="59">
        <f ca="1">AVERAGE(OFFSET($GD$3,0,0,'Données projet'!$E$17+1,1))-AVERAGE(OFFSET($H$3,0,0,'Données projet'!$E$17+1,1))</f>
        <v>260.20517190557814</v>
      </c>
      <c r="GF18" s="59">
        <f t="shared" si="50"/>
        <v>307.22009971147133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>
        <f>EXP(-LN(2)/35)*GL17+(1-EXP(-LN(2)/35))/(LN(2)/35)*GH18*GI18*VLOOKUP('Données projet'!$B$17,Paramètres!$A$1:$I$89,3,0)*0.475*44/12</f>
        <v>0</v>
      </c>
      <c r="GM18" s="21">
        <f>EXP(-LN(2)/25)*GM17+(1-EXP(-LN(2)/25))/(LN(2)/25)*Calculateur!GH18*Calculateur!GJ18*VLOOKUP('Données projet'!$B$17,Paramètres!$A$1:$I$89,3,0)*0.475*44/12</f>
        <v>0</v>
      </c>
      <c r="GN18" s="21">
        <f>EXP(-LN(2)/2)*GN17+(1-EXP(-LN(2)/2))/(LN(2)/2)*GH18*GK18*VLOOKUP('Données projet'!$B$17,Paramètres!$A$1:$I$89,3,0)*0.475*44/12</f>
        <v>0</v>
      </c>
      <c r="GO18" s="21">
        <f t="shared" si="27"/>
        <v>0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4.75</v>
      </c>
      <c r="GU18" s="12">
        <f>IF('Données projet'!$A$270&gt;35,GU17+GT18-HC17,IF(A18&lt;'Données projet'!$A$270,$GR$205^A18,IF(A18='Données projet'!$A$270,'Données projet'!$B$270,GU17+GT18-HC17)))</f>
        <v>30.429351993705815</v>
      </c>
      <c r="GV18" s="17">
        <f>GU18*VLOOKUP('Données projet'!$B$18,Paramètres!$A$1:$I$89,3,0)*VLOOKUP('Données projet'!$B$18,Paramètres!$A$1:$I$89,5,0)</f>
        <v>24.209592446192346</v>
      </c>
      <c r="GW18" s="13">
        <f t="shared" si="51"/>
        <v>7.6991609890859385</v>
      </c>
      <c r="GX18" s="20">
        <f t="shared" si="28"/>
        <v>55.574412233109683</v>
      </c>
      <c r="GY18" s="59">
        <f t="shared" si="29"/>
        <v>348.907745566443</v>
      </c>
      <c r="GZ18" s="59">
        <f ca="1">AVERAGE(OFFSET($GY$3,0,0,'Données projet'!$E$18+1,1))-AVERAGE(OFFSET($H$3,0,0,'Données projet'!$E$18+1,1))</f>
        <v>199.58763537752952</v>
      </c>
      <c r="HA18" s="59">
        <f t="shared" si="52"/>
        <v>242.62852778451929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>
        <f>EXP(-LN(2)/35)*HG17+(1-EXP(-LN(2)/35))/(LN(2)/35)*HC18*HD18*VLOOKUP('Données projet'!$B$18,Paramètres!$A$1:$I$89,3,0)*0.475*44/12</f>
        <v>0</v>
      </c>
      <c r="HH18" s="21">
        <f>EXP(-LN(2)/25)*HH17+(1-EXP(-LN(2)/25))/(LN(2)/25)*Calculateur!HC18*Calculateur!HE18*VLOOKUP('Données projet'!$B$18,Paramètres!$A$1:$I$89,3,0)*0.475*44/12</f>
        <v>0</v>
      </c>
      <c r="HI18" s="21">
        <f>EXP(-LN(2)/2)*HI17+(1-EXP(-LN(2)/2))/(LN(2)/2)*HC18*HF18*VLOOKUP('Données projet'!$B$18,Paramètres!$A$1:$I$89,3,0)*0.475*44/12</f>
        <v>0</v>
      </c>
      <c r="HJ18" s="22">
        <f t="shared" si="30"/>
        <v>0</v>
      </c>
    </row>
    <row r="19" spans="1:218" x14ac:dyDescent="0.2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14.227200000000003</v>
      </c>
      <c r="D19" s="11">
        <f t="shared" si="32"/>
        <v>4.81336060460516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146.97976607063634</v>
      </c>
      <c r="H19" s="67">
        <f t="shared" si="1"/>
        <v>326.49564305302061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9.3968325791855207</v>
      </c>
      <c r="N19" s="13">
        <f>IF('Données projet'!$A$36&gt;35,N18+M19-V18,IF(A19&lt;'Données projet'!$A$36,$K$205^A19,IF(A19='Données projet'!$A$36,'Données projet'!$B$36,N18+M19-V18)))</f>
        <v>118.52688122141336</v>
      </c>
      <c r="O19" s="13">
        <f>N19*VLOOKUP('Données projet'!$B$9,Paramètres!$A$1:$I$89,3,0)*VLOOKUP('Données projet'!$B$9,Paramètres!$A$1:$I$89,5,0)</f>
        <v>66.256526602770066</v>
      </c>
      <c r="P19" s="13">
        <f t="shared" si="33"/>
        <v>18.740868493548042</v>
      </c>
      <c r="Q19" s="20">
        <f t="shared" si="2"/>
        <v>148.03712979275406</v>
      </c>
      <c r="R19" s="59">
        <f t="shared" si="0"/>
        <v>441.37046312608737</v>
      </c>
      <c r="S19" s="59">
        <f ca="1">AVERAGE(OFFSET($R$3,0,0,'Données projet'!$E$9+1,1))-AVERAGE(OFFSET($H$3,0,0,'Données projet'!$E$9+1,1))</f>
        <v>255.5374979188561</v>
      </c>
      <c r="T19" s="59">
        <f t="shared" si="34"/>
        <v>343.10418468620901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0</v>
      </c>
      <c r="AC19" s="22">
        <f t="shared" si="3"/>
        <v>0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7.7987854251012134</v>
      </c>
      <c r="AI19" s="13">
        <f>IF('Données projet'!$A$62&gt;35,AI18+AH19-AQ18,IF(A19&lt;'Données projet'!$A$62,$AF$205^A19,IF(A19='Données projet'!$A$62,'Données projet'!$B$62,AI18+AH19-AQ18)))</f>
        <v>67.301655174387619</v>
      </c>
      <c r="AJ19" s="13">
        <f>AI19*VLOOKUP('Données projet'!$B$10,Paramètres!$A$1:$I$89,3,0)*VLOOKUP('Données projet'!$B$10,Paramètres!$A$1:$I$89,5,0)</f>
        <v>37.621625242482679</v>
      </c>
      <c r="AK19" s="13">
        <f t="shared" si="35"/>
        <v>11.366027087122298</v>
      </c>
      <c r="AL19" s="20">
        <f t="shared" si="4"/>
        <v>85.320161140728672</v>
      </c>
      <c r="AM19" s="59">
        <f t="shared" si="5"/>
        <v>378.65349447406197</v>
      </c>
      <c r="AN19" s="59">
        <f ca="1">AVERAGE(OFFSET($AM$3,0,0,'Données projet'!$E$10+1,1))-AVERAGE(OFFSET($H$3,0,0,'Données projet'!$E$10+1,1))</f>
        <v>224.7049802939942</v>
      </c>
      <c r="AO19" s="59">
        <f t="shared" si="36"/>
        <v>203.48513862195352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14.1</v>
      </c>
      <c r="BD19" s="12">
        <f>IF('Données projet'!$A$88&gt;35,BD18+BC19-BL18,IF(A19&lt;'Données projet'!$A$88,$BA$205^A19,IF(A19='Données projet'!$A$88,'Données projet'!$B$88,BD18+BC19-BL18)))</f>
        <v>120.59999999999998</v>
      </c>
      <c r="BE19" s="13">
        <f>BD19*VLOOKUP('Données projet'!$B$11,Paramètres!$A$1:$I$89,3,0)*VLOOKUP('Données projet'!$B$11,Paramètres!$A$1:$I$89,5,0)</f>
        <v>65.847599999999986</v>
      </c>
      <c r="BF19" s="13">
        <f t="shared" si="37"/>
        <v>18.63862905611526</v>
      </c>
      <c r="BG19" s="20">
        <f t="shared" si="7"/>
        <v>147.14684893940071</v>
      </c>
      <c r="BH19" s="59">
        <f t="shared" si="8"/>
        <v>440.48018227273406</v>
      </c>
      <c r="BI19" s="59">
        <f ca="1">AVERAGE(OFFSET($BH$3,0,0,'Données projet'!$E$11+1,1))-AVERAGE(OFFSET($H$3,0,0,'Données projet'!$E$11+1,1))</f>
        <v>210.04871822652808</v>
      </c>
      <c r="BJ19" s="59">
        <f t="shared" si="38"/>
        <v>250.17540614049324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11.4</v>
      </c>
      <c r="BY19" s="12">
        <f>IF('Données projet'!$A$114&gt;35,BY18+BX19-CG18,IF(A19&lt;'Données projet'!$A$114,$BV$205^A19,IF(A19='Données projet'!$A$114,'Données projet'!$B$114,BY18+BX19-CG18)))</f>
        <v>91.4</v>
      </c>
      <c r="BZ19" s="13">
        <f>BY19*VLOOKUP('Données projet'!$B$12,Paramètres!$A$1:$I$89,3,0)*VLOOKUP('Données projet'!$B$12,Paramètres!$A$1:$I$89,5,0)</f>
        <v>49.904400000000003</v>
      </c>
      <c r="CA19" s="13">
        <f t="shared" si="39"/>
        <v>14.589067797241727</v>
      </c>
      <c r="CB19" s="20">
        <f t="shared" si="10"/>
        <v>112.32612308019601</v>
      </c>
      <c r="CC19" s="59">
        <f t="shared" si="11"/>
        <v>405.65945641352931</v>
      </c>
      <c r="CD19" s="59">
        <f ca="1">AVERAGE(OFFSET($CC$3,0,0,'Données projet'!$E$12+1,1))-AVERAGE(OFFSET($H$3,0,0,'Données projet'!$E$12+1,1))</f>
        <v>168.72306536277267</v>
      </c>
      <c r="CE19" s="59">
        <f t="shared" si="40"/>
        <v>203.35476578922339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5.6730769230769225</v>
      </c>
      <c r="CT19" s="12">
        <f>IF('Données projet'!$A$140&gt;35,CT18+CS19-DB18,IF(A19&lt;'Données projet'!$A$140,$CQ$205^A19,IF(A19='Données projet'!$A$140,'Données projet'!$B$140,CT18+CS19-DB18)))</f>
        <v>90.769230769230731</v>
      </c>
      <c r="CU19" s="17">
        <f>CT19*VLOOKUP('Données projet'!$B$13,Paramètres!$A$1:$I$89,3,0)*VLOOKUP('Données projet'!$B$13,Paramètres!$A$1:$I$89,5,0)</f>
        <v>43.659999999999982</v>
      </c>
      <c r="CV19" s="13">
        <f t="shared" si="41"/>
        <v>12.963732168755445</v>
      </c>
      <c r="CW19" s="20">
        <f t="shared" si="13"/>
        <v>98.619666860582356</v>
      </c>
      <c r="CX19" s="59">
        <f t="shared" si="14"/>
        <v>391.95300019391567</v>
      </c>
      <c r="CY19" s="59">
        <f ca="1">AVERAGE(OFFSET($CX$3,0,0,'Données projet'!$E$13+1,1))-AVERAGE(OFFSET($H$3,0,0,'Données projet'!$E$13+1,1))</f>
        <v>304.15237106473313</v>
      </c>
      <c r="CZ19" s="59">
        <f t="shared" si="42"/>
        <v>120.85458928724336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>
        <f>EXP(-LN(2)/35)*DF18+(1-EXP(-LN(2)/35))/(LN(2)/35)*DB19*DC19*VLOOKUP('Données projet'!$B$13,Paramètres!$A$1:$I$89,3,0)*0.475*44/12</f>
        <v>0</v>
      </c>
      <c r="DG19" s="21">
        <f>EXP(-LN(2)/25)*DG18+(1-EXP(-LN(2)/25))/(LN(2)/25)*Calculateur!DB19*Calculateur!DD19*VLOOKUP('Données projet'!$B$13,Paramètres!$A$1:$I$89,3,0)*0.475*44/12</f>
        <v>0</v>
      </c>
      <c r="DH19" s="21">
        <f>EXP(-LN(2)/2)*DH18+(1-EXP(-LN(2)/2))/(LN(2)/2)*DB19*DE19*VLOOKUP('Données projet'!$B$13,Paramètres!$A$1:$I$89,3,0)*0.475*44/12</f>
        <v>0</v>
      </c>
      <c r="DI19" s="22">
        <f t="shared" si="15"/>
        <v>0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3.8846153846153846</v>
      </c>
      <c r="DO19" s="12">
        <f>IF('Données projet'!$A$166&gt;35,DO18+DN19-DW18,IF(A19&lt;'Données projet'!$A$166,$DL$205^A19,IF(A19='Données projet'!$A$166,'Données projet'!$B$166,DO18+DN19-DW18)))</f>
        <v>62.153846153846168</v>
      </c>
      <c r="DP19" s="17">
        <f>DO19*VLOOKUP('Données projet'!$B$14,Paramètres!$A$1:$I$89,3,0)*VLOOKUP('Données projet'!$B$14,Paramètres!$A$1:$I$89,5,0)</f>
        <v>29.896000000000008</v>
      </c>
      <c r="DQ19" s="13">
        <f t="shared" si="43"/>
        <v>9.2769194698845752</v>
      </c>
      <c r="DR19" s="20">
        <f t="shared" si="16"/>
        <v>68.226168076715652</v>
      </c>
      <c r="DS19" s="59">
        <f t="shared" si="17"/>
        <v>361.55950141004894</v>
      </c>
      <c r="DT19" s="59">
        <f ca="1">AVERAGE(OFFSET($DS$3,0,0,'Données projet'!$E$14+1,1))-AVERAGE(OFFSET($H$3,0,0,'Données projet'!$E$14+1,1))</f>
        <v>91.053246648097399</v>
      </c>
      <c r="DU19" s="59">
        <f t="shared" si="44"/>
        <v>64.716270355703955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>
        <f>EXP(-LN(2)/35)*EA18+(1-EXP(-LN(2)/35))/(LN(2)/35)*DW19*DX19*VLOOKUP('Données projet'!$B$14,Paramètres!$A$1:$I$89,3,0)*0.475*44/12</f>
        <v>0</v>
      </c>
      <c r="EB19" s="21">
        <f>EXP(-LN(2)/25)*EB18+(1-EXP(-LN(2)/25))/(LN(2)/25)*Calculateur!DW19*Calculateur!DY19*VLOOKUP('Données projet'!$B$14,Paramètres!$A$1:$I$89,3,0)*0.475*44/12</f>
        <v>0</v>
      </c>
      <c r="EC19" s="21">
        <f>EXP(-LN(2)/2)*EC18+(1-EXP(-LN(2)/2))/(LN(2)/2)*DW19*DZ19*VLOOKUP('Données projet'!$B$14,Paramètres!$A$1:$I$89,3,0)*0.475*44/12</f>
        <v>0</v>
      </c>
      <c r="ED19" s="22">
        <f t="shared" si="18"/>
        <v>0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5.3</v>
      </c>
      <c r="EJ19" s="12">
        <f>IF('Données projet'!$A$192&gt;35,EJ18+EI19-ER18,IF(A19&lt;'Données projet'!$A$192,$EG$205^A19,IF(A19='Données projet'!$A$192,'Données projet'!$B$192,EJ18+EI19-ER18)))</f>
        <v>41.710432413181543</v>
      </c>
      <c r="EK19" s="17">
        <f>EJ19*VLOOKUP('Données projet'!$B$15,Paramètres!$A$1:$I$89,3,0)*VLOOKUP('Données projet'!$B$15,Paramètres!$A$1:$I$89,5,0)</f>
        <v>24.942838583082565</v>
      </c>
      <c r="EL19" s="13">
        <f t="shared" si="45"/>
        <v>7.9048465011463138</v>
      </c>
      <c r="EM19" s="20">
        <f t="shared" si="19"/>
        <v>57.209718188365294</v>
      </c>
      <c r="EN19" s="59">
        <f t="shared" si="20"/>
        <v>350.5430515216986</v>
      </c>
      <c r="EO19" s="59">
        <f ca="1">AVERAGE(OFFSET($EN$3,0,0,'Données projet'!$E$15+1,1))-AVERAGE(OFFSET($H$3,0,0,'Données projet'!$E$15+1,1))</f>
        <v>316.58509520829671</v>
      </c>
      <c r="EP19" s="59">
        <f t="shared" si="46"/>
        <v>240.71332110643596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>
        <f>EXP(-LN(2)/35)*EV18+(1-EXP(-LN(2)/35))/(LN(2)/35)*ER19*ES19*VLOOKUP('Données projet'!$B$15,Paramètres!$A$1:$I$89,3,0)*0.475*44/12</f>
        <v>0</v>
      </c>
      <c r="EW19" s="21">
        <f>EXP(-LN(2)/25)*EW18+(1-EXP(-LN(2)/25))/(LN(2)/25)*Calculateur!ER19*Calculateur!ET19*VLOOKUP('Données projet'!$B$15,Paramètres!$A$1:$I$89,3,0)*0.475*44/12</f>
        <v>0</v>
      </c>
      <c r="EX19" s="21">
        <f>EXP(-LN(2)/2)*EX18+(1-EXP(-LN(2)/2))/(LN(2)/2)*ER19*EU19*VLOOKUP('Données projet'!$B$15,Paramètres!$A$1:$I$89,3,0)*0.475*44/12</f>
        <v>0</v>
      </c>
      <c r="EY19" s="22">
        <f t="shared" si="21"/>
        <v>0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4.3499999999999996</v>
      </c>
      <c r="FE19" s="12">
        <f>IF('Données projet'!$A$218&gt;35,FE18+FD19-FM18,IF(A19&lt;'Données projet'!$A$218,$FB$205^A19,IF(A19='Données projet'!$A$218,'Données projet'!$B$218,FE18+FD19-FM18)))</f>
        <v>35.613561093793514</v>
      </c>
      <c r="FF19" s="17">
        <f>FE19*VLOOKUP('Données projet'!$B$16,Paramètres!$A$1:$I$89,3,0)*VLOOKUP('Données projet'!$B$16,Paramètres!$A$1:$I$89,5,0)</f>
        <v>21.296909534088524</v>
      </c>
      <c r="FG19" s="13">
        <f t="shared" si="47"/>
        <v>6.874681784542708</v>
      </c>
      <c r="FH19" s="20">
        <f t="shared" si="22"/>
        <v>49.065521546616061</v>
      </c>
      <c r="FI19" s="59">
        <f t="shared" si="23"/>
        <v>342.3988548799494</v>
      </c>
      <c r="FJ19" s="59">
        <f ca="1">AVERAGE(OFFSET($FI$3,0,0,'Données projet'!$E$16+1,1))-AVERAGE(OFFSET($H$3,0,0,'Données projet'!$E$16+1,1))</f>
        <v>270.30888762640245</v>
      </c>
      <c r="FK19" s="59">
        <f t="shared" si="48"/>
        <v>202.23783851977691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>
        <f>EXP(-LN(2)/35)*FQ18+(1-EXP(-LN(2)/35))/(LN(2)/35)*FM19*FN19*VLOOKUP('Données projet'!$B$16,Paramètres!$A$1:$I$89,3,0)*0.475*44/12</f>
        <v>0</v>
      </c>
      <c r="FR19" s="21">
        <f>EXP(-LN(2)/25)*FR18+(1-EXP(-LN(2)/25))/(LN(2)/25)*Calculateur!FM19*Calculateur!FO19*VLOOKUP('Données projet'!$B$16,Paramètres!$A$1:$I$89,3,0)*0.475*44/12</f>
        <v>0</v>
      </c>
      <c r="FS19" s="21">
        <f>EXP(-LN(2)/2)*FS18+(1-EXP(-LN(2)/2))/(LN(2)/2)*FM19*FP19*VLOOKUP('Données projet'!$B$16,Paramètres!$A$1:$I$89,3,0)*0.475*44/12</f>
        <v>0</v>
      </c>
      <c r="FT19" s="22">
        <f t="shared" si="24"/>
        <v>0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12.3</v>
      </c>
      <c r="FZ19" s="12">
        <f>IF('Données projet'!$A$244&gt;35,FZ18+FY19-GH18,IF(A19&lt;'Données projet'!$A$244,$FW$205^A19,IF(A19='Données projet'!$A$244,'Données projet'!$B$244,FZ18+FY19-GH18)))</f>
        <v>84.8</v>
      </c>
      <c r="GA19" s="17">
        <f>FZ19*VLOOKUP('Données projet'!$B$17,Paramètres!$A$1:$I$89,3,0)*VLOOKUP('Données projet'!$B$17,Paramètres!$A$1:$I$89,5,0)</f>
        <v>67.466880000000003</v>
      </c>
      <c r="GB19" s="13">
        <f t="shared" si="49"/>
        <v>19.043051531232432</v>
      </c>
      <c r="GC19" s="20">
        <f t="shared" si="25"/>
        <v>150.67146408356317</v>
      </c>
      <c r="GD19" s="59">
        <f t="shared" si="26"/>
        <v>444.00479741689651</v>
      </c>
      <c r="GE19" s="59">
        <f ca="1">AVERAGE(OFFSET($GD$3,0,0,'Données projet'!$E$17+1,1))-AVERAGE(OFFSET($H$3,0,0,'Données projet'!$E$17+1,1))</f>
        <v>260.20517190557814</v>
      </c>
      <c r="GF19" s="59">
        <f t="shared" si="50"/>
        <v>307.22009971147133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>
        <f>EXP(-LN(2)/35)*GL18+(1-EXP(-LN(2)/35))/(LN(2)/35)*GH19*GI19*VLOOKUP('Données projet'!$B$17,Paramètres!$A$1:$I$89,3,0)*0.475*44/12</f>
        <v>0</v>
      </c>
      <c r="GM19" s="21">
        <f>EXP(-LN(2)/25)*GM18+(1-EXP(-LN(2)/25))/(LN(2)/25)*Calculateur!GH19*Calculateur!GJ19*VLOOKUP('Données projet'!$B$17,Paramètres!$A$1:$I$89,3,0)*0.475*44/12</f>
        <v>0</v>
      </c>
      <c r="GN19" s="21">
        <f>EXP(-LN(2)/2)*GN18+(1-EXP(-LN(2)/2))/(LN(2)/2)*GH19*GK19*VLOOKUP('Données projet'!$B$17,Paramètres!$A$1:$I$89,3,0)*0.475*44/12</f>
        <v>0</v>
      </c>
      <c r="GO19" s="21">
        <f t="shared" si="27"/>
        <v>0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4.75</v>
      </c>
      <c r="GU19" s="12">
        <f>IF('Données projet'!$A$270&gt;35,GU18+GT19-HC18,IF(A19&lt;'Données projet'!$A$270,$GR$205^A19,IF(A19='Données projet'!$A$270,'Données projet'!$B$270,GU18+GT19-HC18)))</f>
        <v>38.21016246244956</v>
      </c>
      <c r="GV19" s="17">
        <f>GU19*VLOOKUP('Données projet'!$B$18,Paramètres!$A$1:$I$89,3,0)*VLOOKUP('Données projet'!$B$18,Paramètres!$A$1:$I$89,5,0)</f>
        <v>30.400005255124871</v>
      </c>
      <c r="GW19" s="13">
        <f t="shared" si="51"/>
        <v>9.4149762688466279</v>
      </c>
      <c r="GX19" s="20">
        <f t="shared" si="28"/>
        <v>69.344426154250357</v>
      </c>
      <c r="GY19" s="59">
        <f t="shared" si="29"/>
        <v>362.67775948758367</v>
      </c>
      <c r="GZ19" s="59">
        <f ca="1">AVERAGE(OFFSET($GY$3,0,0,'Données projet'!$E$18+1,1))-AVERAGE(OFFSET($H$3,0,0,'Données projet'!$E$18+1,1))</f>
        <v>199.58763537752952</v>
      </c>
      <c r="HA19" s="59">
        <f t="shared" si="52"/>
        <v>242.62852778451929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>
        <f>EXP(-LN(2)/35)*HG18+(1-EXP(-LN(2)/35))/(LN(2)/35)*HC19*HD19*VLOOKUP('Données projet'!$B$18,Paramètres!$A$1:$I$89,3,0)*0.475*44/12</f>
        <v>0</v>
      </c>
      <c r="HH19" s="21">
        <f>EXP(-LN(2)/25)*HH18+(1-EXP(-LN(2)/25))/(LN(2)/25)*Calculateur!HC19*Calculateur!HE19*VLOOKUP('Données projet'!$B$18,Paramètres!$A$1:$I$89,3,0)*0.475*44/12</f>
        <v>0</v>
      </c>
      <c r="HI19" s="21">
        <f>EXP(-LN(2)/2)*HI18+(1-EXP(-LN(2)/2))/(LN(2)/2)*HC19*HF19*VLOOKUP('Données projet'!$B$18,Paramètres!$A$1:$I$89,3,0)*0.475*44/12</f>
        <v>0</v>
      </c>
      <c r="HJ19" s="22">
        <f t="shared" si="30"/>
        <v>0</v>
      </c>
    </row>
    <row r="20" spans="1:218" x14ac:dyDescent="0.2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15.116400000000004</v>
      </c>
      <c r="D20" s="11">
        <f t="shared" si="32"/>
        <v>5.0782333044806931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155.8883974380966</v>
      </c>
      <c r="H20" s="67">
        <f t="shared" si="1"/>
        <v>328.50565300530388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159.74615384615385</v>
      </c>
      <c r="L20" s="12">
        <f>VLOOKUP(A20,'Données projet'!$A$35:$I$55,9,0)</f>
        <v>9.3968325791855207</v>
      </c>
      <c r="M20" s="12">
        <f t="array" ref="M20">INDEX(L:L,MIN(IF(ISNUMBER(L20:L216),ROW(L20:L216),"")))</f>
        <v>9.3968325791855207</v>
      </c>
      <c r="N20" s="13">
        <f>IF('Données projet'!$A$36&gt;35,N19+M20-V19,IF(A20&lt;'Données projet'!$A$36,$K$205^A20,IF(A20='Données projet'!$A$36,'Données projet'!$B$36,N19+M20-V19)))</f>
        <v>159.74615384615385</v>
      </c>
      <c r="O20" s="13">
        <f>N20*VLOOKUP('Données projet'!$B$9,Paramètres!$A$1:$I$89,3,0)*VLOOKUP('Données projet'!$B$9,Paramètres!$A$1:$I$89,5,0)</f>
        <v>89.298100000000005</v>
      </c>
      <c r="P20" s="13">
        <f t="shared" si="33"/>
        <v>24.395866555677571</v>
      </c>
      <c r="Q20" s="20">
        <f t="shared" si="2"/>
        <v>198.01699175113845</v>
      </c>
      <c r="R20" s="59">
        <f t="shared" si="0"/>
        <v>491.35032508447176</v>
      </c>
      <c r="S20" s="59">
        <f ca="1">AVERAGE(OFFSET($R$3,0,0,'Données projet'!$E$9+1,1))-AVERAGE(OFFSET($H$3,0,0,'Données projet'!$E$9+1,1))</f>
        <v>255.5374979188561</v>
      </c>
      <c r="T20" s="59">
        <f t="shared" si="34"/>
        <v>343.10418468620901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0</v>
      </c>
      <c r="AC20" s="22">
        <f t="shared" si="3"/>
        <v>0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7.7987854251012134</v>
      </c>
      <c r="AI20" s="13">
        <f>IF('Données projet'!$A$62&gt;35,AI19+AH20-AQ19,IF(A20&lt;'Données projet'!$A$62,$AF$205^A20,IF(A20='Données projet'!$A$62,'Données projet'!$B$62,AI19+AH20-AQ19)))</f>
        <v>87.554274600421721</v>
      </c>
      <c r="AJ20" s="13">
        <f>AI20*VLOOKUP('Données projet'!$B$10,Paramètres!$A$1:$I$89,3,0)*VLOOKUP('Données projet'!$B$10,Paramètres!$A$1:$I$89,5,0)</f>
        <v>48.942839501635746</v>
      </c>
      <c r="AK20" s="13">
        <f t="shared" si="35"/>
        <v>14.340404725340607</v>
      </c>
      <c r="AL20" s="20">
        <f t="shared" si="4"/>
        <v>110.21831702865047</v>
      </c>
      <c r="AM20" s="59">
        <f t="shared" si="5"/>
        <v>403.55165036198377</v>
      </c>
      <c r="AN20" s="59">
        <f ca="1">AVERAGE(OFFSET($AM$3,0,0,'Données projet'!$E$10+1,1))-AVERAGE(OFFSET($H$3,0,0,'Données projet'!$E$10+1,1))</f>
        <v>224.7049802939942</v>
      </c>
      <c r="AO20" s="59">
        <f t="shared" si="36"/>
        <v>203.48513862195352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14.1</v>
      </c>
      <c r="BD20" s="12">
        <f>IF('Données projet'!$A$88&gt;35,BD19+BC20-BL19,IF(A20&lt;'Données projet'!$A$88,$BA$205^A20,IF(A20='Données projet'!$A$88,'Données projet'!$B$88,BD19+BC20-BL19)))</f>
        <v>134.69999999999999</v>
      </c>
      <c r="BE20" s="13">
        <f>BD20*VLOOKUP('Données projet'!$B$11,Paramètres!$A$1:$I$89,3,0)*VLOOKUP('Données projet'!$B$11,Paramètres!$A$1:$I$89,5,0)</f>
        <v>73.546199999999985</v>
      </c>
      <c r="BF20" s="13">
        <f t="shared" si="37"/>
        <v>20.551555184696866</v>
      </c>
      <c r="BG20" s="20">
        <f t="shared" si="7"/>
        <v>163.88692361334699</v>
      </c>
      <c r="BH20" s="59">
        <f t="shared" si="8"/>
        <v>457.22025694668031</v>
      </c>
      <c r="BI20" s="59">
        <f ca="1">AVERAGE(OFFSET($BH$3,0,0,'Données projet'!$E$11+1,1))-AVERAGE(OFFSET($H$3,0,0,'Données projet'!$E$11+1,1))</f>
        <v>210.04871822652808</v>
      </c>
      <c r="BJ20" s="59">
        <f t="shared" si="38"/>
        <v>250.17540614049324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11.4</v>
      </c>
      <c r="BY20" s="12">
        <f>IF('Données projet'!$A$114&gt;35,BY19+BX20-CG19,IF(A20&lt;'Données projet'!$A$114,$BV$205^A20,IF(A20='Données projet'!$A$114,'Données projet'!$B$114,BY19+BX20-CG19)))</f>
        <v>102.80000000000001</v>
      </c>
      <c r="BZ20" s="13">
        <f>BY20*VLOOKUP('Données projet'!$B$12,Paramètres!$A$1:$I$89,3,0)*VLOOKUP('Données projet'!$B$12,Paramètres!$A$1:$I$89,5,0)</f>
        <v>56.128800000000005</v>
      </c>
      <c r="CA20" s="13">
        <f t="shared" si="39"/>
        <v>16.185741500564642</v>
      </c>
      <c r="CB20" s="20">
        <f t="shared" si="10"/>
        <v>125.94782644681675</v>
      </c>
      <c r="CC20" s="59">
        <f t="shared" si="11"/>
        <v>419.28115978015006</v>
      </c>
      <c r="CD20" s="59">
        <f ca="1">AVERAGE(OFFSET($CC$3,0,0,'Données projet'!$E$12+1,1))-AVERAGE(OFFSET($H$3,0,0,'Données projet'!$E$12+1,1))</f>
        <v>168.72306536277267</v>
      </c>
      <c r="CE20" s="59">
        <f t="shared" si="40"/>
        <v>203.35476578922339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5.6730769230769225</v>
      </c>
      <c r="CT20" s="12">
        <f>IF('Données projet'!$A$140&gt;35,CT19+CS20-DB19,IF(A20&lt;'Données projet'!$A$140,$CQ$205^A20,IF(A20='Données projet'!$A$140,'Données projet'!$B$140,CT19+CS20-DB19)))</f>
        <v>96.442307692307651</v>
      </c>
      <c r="CU20" s="17">
        <f>CT20*VLOOKUP('Données projet'!$B$13,Paramètres!$A$1:$I$89,3,0)*VLOOKUP('Données projet'!$B$13,Paramètres!$A$1:$I$89,5,0)</f>
        <v>46.38874999999998</v>
      </c>
      <c r="CV20" s="13">
        <f t="shared" si="41"/>
        <v>13.677108751577085</v>
      </c>
      <c r="CW20" s="20">
        <f t="shared" si="13"/>
        <v>104.61470399233006</v>
      </c>
      <c r="CX20" s="59">
        <f t="shared" si="14"/>
        <v>397.94803732566339</v>
      </c>
      <c r="CY20" s="59">
        <f ca="1">AVERAGE(OFFSET($CX$3,0,0,'Données projet'!$E$13+1,1))-AVERAGE(OFFSET($H$3,0,0,'Données projet'!$E$13+1,1))</f>
        <v>304.15237106473313</v>
      </c>
      <c r="CZ20" s="59">
        <f t="shared" si="42"/>
        <v>120.85458928724336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>
        <f>EXP(-LN(2)/35)*DF19+(1-EXP(-LN(2)/35))/(LN(2)/35)*DB20*DC20*VLOOKUP('Données projet'!$B$13,Paramètres!$A$1:$I$89,3,0)*0.475*44/12</f>
        <v>0</v>
      </c>
      <c r="DG20" s="21">
        <f>EXP(-LN(2)/25)*DG19+(1-EXP(-LN(2)/25))/(LN(2)/25)*Calculateur!DB20*Calculateur!DD20*VLOOKUP('Données projet'!$B$13,Paramètres!$A$1:$I$89,3,0)*0.475*44/12</f>
        <v>0</v>
      </c>
      <c r="DH20" s="21">
        <f>EXP(-LN(2)/2)*DH19+(1-EXP(-LN(2)/2))/(LN(2)/2)*DB20*DE20*VLOOKUP('Données projet'!$B$13,Paramètres!$A$1:$I$89,3,0)*0.475*44/12</f>
        <v>0</v>
      </c>
      <c r="DI20" s="22">
        <f t="shared" si="15"/>
        <v>0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3.8846153846153846</v>
      </c>
      <c r="DO20" s="12">
        <f>IF('Données projet'!$A$166&gt;35,DO19+DN20-DW19,IF(A20&lt;'Données projet'!$A$166,$DL$205^A20,IF(A20='Données projet'!$A$166,'Données projet'!$B$166,DO19+DN20-DW19)))</f>
        <v>66.038461538461547</v>
      </c>
      <c r="DP20" s="17">
        <f>DO20*VLOOKUP('Données projet'!$B$14,Paramètres!$A$1:$I$89,3,0)*VLOOKUP('Données projet'!$B$14,Paramètres!$A$1:$I$89,5,0)</f>
        <v>31.764500000000005</v>
      </c>
      <c r="DQ20" s="13">
        <f t="shared" si="43"/>
        <v>9.7874157547806853</v>
      </c>
      <c r="DR20" s="20">
        <f t="shared" si="16"/>
        <v>72.369586606243033</v>
      </c>
      <c r="DS20" s="59">
        <f t="shared" si="17"/>
        <v>365.70291993957636</v>
      </c>
      <c r="DT20" s="59">
        <f ca="1">AVERAGE(OFFSET($DS$3,0,0,'Données projet'!$E$14+1,1))-AVERAGE(OFFSET($H$3,0,0,'Données projet'!$E$14+1,1))</f>
        <v>91.053246648097399</v>
      </c>
      <c r="DU20" s="59">
        <f t="shared" si="44"/>
        <v>64.716270355703955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>
        <f>EXP(-LN(2)/35)*EA19+(1-EXP(-LN(2)/35))/(LN(2)/35)*DW20*DX20*VLOOKUP('Données projet'!$B$14,Paramètres!$A$1:$I$89,3,0)*0.475*44/12</f>
        <v>0</v>
      </c>
      <c r="EB20" s="21">
        <f>EXP(-LN(2)/25)*EB19+(1-EXP(-LN(2)/25))/(LN(2)/25)*Calculateur!DW20*Calculateur!DY20*VLOOKUP('Données projet'!$B$14,Paramètres!$A$1:$I$89,3,0)*0.475*44/12</f>
        <v>0</v>
      </c>
      <c r="EC20" s="21">
        <f>EXP(-LN(2)/2)*EC19+(1-EXP(-LN(2)/2))/(LN(2)/2)*DW20*DZ20*VLOOKUP('Données projet'!$B$14,Paramètres!$A$1:$I$89,3,0)*0.475*44/12</f>
        <v>0</v>
      </c>
      <c r="ED20" s="22">
        <f t="shared" si="18"/>
        <v>0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5.3</v>
      </c>
      <c r="EJ20" s="12">
        <f>IF('Données projet'!$A$192&gt;35,EJ19+EI20-ER19,IF(A20&lt;'Données projet'!$A$192,$EG$205^A20,IF(A20='Données projet'!$A$192,'Données projet'!$B$192,EJ19+EI20-ER19)))</f>
        <v>52.663532336786751</v>
      </c>
      <c r="EK20" s="17">
        <f>EJ20*VLOOKUP('Données projet'!$B$15,Paramètres!$A$1:$I$89,3,0)*VLOOKUP('Données projet'!$B$15,Paramètres!$A$1:$I$89,5,0)</f>
        <v>31.49279233739848</v>
      </c>
      <c r="EL20" s="13">
        <f t="shared" si="45"/>
        <v>9.7134040428402315</v>
      </c>
      <c r="EM20" s="20">
        <f t="shared" si="19"/>
        <v>71.76745869558242</v>
      </c>
      <c r="EN20" s="59">
        <f t="shared" si="20"/>
        <v>365.10079202891575</v>
      </c>
      <c r="EO20" s="59">
        <f ca="1">AVERAGE(OFFSET($EN$3,0,0,'Données projet'!$E$15+1,1))-AVERAGE(OFFSET($H$3,0,0,'Données projet'!$E$15+1,1))</f>
        <v>316.58509520829671</v>
      </c>
      <c r="EP20" s="59">
        <f t="shared" si="46"/>
        <v>240.71332110643596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>
        <f>EXP(-LN(2)/35)*EV19+(1-EXP(-LN(2)/35))/(LN(2)/35)*ER20*ES20*VLOOKUP('Données projet'!$B$15,Paramètres!$A$1:$I$89,3,0)*0.475*44/12</f>
        <v>0</v>
      </c>
      <c r="EW20" s="21">
        <f>EXP(-LN(2)/25)*EW19+(1-EXP(-LN(2)/25))/(LN(2)/25)*Calculateur!ER20*Calculateur!ET20*VLOOKUP('Données projet'!$B$15,Paramètres!$A$1:$I$89,3,0)*0.475*44/12</f>
        <v>0</v>
      </c>
      <c r="EX20" s="21">
        <f>EXP(-LN(2)/2)*EX19+(1-EXP(-LN(2)/2))/(LN(2)/2)*ER20*EU20*VLOOKUP('Données projet'!$B$15,Paramètres!$A$1:$I$89,3,0)*0.475*44/12</f>
        <v>0</v>
      </c>
      <c r="EY20" s="22">
        <f t="shared" si="21"/>
        <v>0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4.3499999999999996</v>
      </c>
      <c r="FE20" s="12">
        <f>IF('Données projet'!$A$218&gt;35,FE19+FD20-FM19,IF(A20&lt;'Données projet'!$A$218,$FB$205^A20,IF(A20='Données projet'!$A$218,'Données projet'!$B$218,FE19+FD20-FM19)))</f>
        <v>44.523711985211953</v>
      </c>
      <c r="FF20" s="17">
        <f>FE20*VLOOKUP('Données projet'!$B$16,Paramètres!$A$1:$I$89,3,0)*VLOOKUP('Données projet'!$B$16,Paramètres!$A$1:$I$89,5,0)</f>
        <v>26.625179767156752</v>
      </c>
      <c r="FG20" s="13">
        <f t="shared" si="47"/>
        <v>8.3741466273601048</v>
      </c>
      <c r="FH20" s="20">
        <f t="shared" si="22"/>
        <v>60.957160137116858</v>
      </c>
      <c r="FI20" s="59">
        <f t="shared" si="23"/>
        <v>354.2904934704502</v>
      </c>
      <c r="FJ20" s="59">
        <f ca="1">AVERAGE(OFFSET($FI$3,0,0,'Données projet'!$E$16+1,1))-AVERAGE(OFFSET($H$3,0,0,'Données projet'!$E$16+1,1))</f>
        <v>270.30888762640245</v>
      </c>
      <c r="FK20" s="59">
        <f t="shared" si="48"/>
        <v>202.23783851977691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>
        <f>EXP(-LN(2)/35)*FQ19+(1-EXP(-LN(2)/35))/(LN(2)/35)*FM20*FN20*VLOOKUP('Données projet'!$B$16,Paramètres!$A$1:$I$89,3,0)*0.475*44/12</f>
        <v>0</v>
      </c>
      <c r="FR20" s="21">
        <f>EXP(-LN(2)/25)*FR19+(1-EXP(-LN(2)/25))/(LN(2)/25)*Calculateur!FM20*Calculateur!FO20*VLOOKUP('Données projet'!$B$16,Paramètres!$A$1:$I$89,3,0)*0.475*44/12</f>
        <v>0</v>
      </c>
      <c r="FS20" s="21">
        <f>EXP(-LN(2)/2)*FS19+(1-EXP(-LN(2)/2))/(LN(2)/2)*FM20*FP20*VLOOKUP('Données projet'!$B$16,Paramètres!$A$1:$I$89,3,0)*0.475*44/12</f>
        <v>0</v>
      </c>
      <c r="FT20" s="22">
        <f t="shared" si="24"/>
        <v>0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12.3</v>
      </c>
      <c r="FZ20" s="12">
        <f>IF('Données projet'!$A$244&gt;35,FZ19+FY20-GH19,IF(A20&lt;'Données projet'!$A$244,$FW$205^A20,IF(A20='Données projet'!$A$244,'Données projet'!$B$244,FZ19+FY20-GH19)))</f>
        <v>97.1</v>
      </c>
      <c r="GA20" s="17">
        <f>FZ20*VLOOKUP('Données projet'!$B$17,Paramètres!$A$1:$I$89,3,0)*VLOOKUP('Données projet'!$B$17,Paramètres!$A$1:$I$89,5,0)</f>
        <v>77.252760000000009</v>
      </c>
      <c r="GB20" s="13">
        <f t="shared" si="49"/>
        <v>21.4641096918828</v>
      </c>
      <c r="GC20" s="20">
        <f t="shared" si="25"/>
        <v>171.93188138002924</v>
      </c>
      <c r="GD20" s="59">
        <f t="shared" si="26"/>
        <v>465.26521471336252</v>
      </c>
      <c r="GE20" s="59">
        <f ca="1">AVERAGE(OFFSET($GD$3,0,0,'Données projet'!$E$17+1,1))-AVERAGE(OFFSET($H$3,0,0,'Données projet'!$E$17+1,1))</f>
        <v>260.20517190557814</v>
      </c>
      <c r="GF20" s="59">
        <f t="shared" si="50"/>
        <v>307.22009971147133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>
        <f>EXP(-LN(2)/35)*GL19+(1-EXP(-LN(2)/35))/(LN(2)/35)*GH20*GI20*VLOOKUP('Données projet'!$B$17,Paramètres!$A$1:$I$89,3,0)*0.475*44/12</f>
        <v>0</v>
      </c>
      <c r="GM20" s="21">
        <f>EXP(-LN(2)/25)*GM19+(1-EXP(-LN(2)/25))/(LN(2)/25)*Calculateur!GH20*Calculateur!GJ20*VLOOKUP('Données projet'!$B$17,Paramètres!$A$1:$I$89,3,0)*0.475*44/12</f>
        <v>0</v>
      </c>
      <c r="GN20" s="21">
        <f>EXP(-LN(2)/2)*GN19+(1-EXP(-LN(2)/2))/(LN(2)/2)*GH20*GK20*VLOOKUP('Données projet'!$B$17,Paramètres!$A$1:$I$89,3,0)*0.475*44/12</f>
        <v>0</v>
      </c>
      <c r="GO20" s="21">
        <f t="shared" si="27"/>
        <v>0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4.75</v>
      </c>
      <c r="GU20" s="12">
        <f>IF('Données projet'!$A$270&gt;35,GU19+GT20-HC19,IF(A20&lt;'Données projet'!$A$270,$GR$205^A20,IF(A20='Données projet'!$A$270,'Données projet'!$B$270,GU19+GT20-HC19)))</f>
        <v>47.980532602494719</v>
      </c>
      <c r="GV20" s="17">
        <f>GU20*VLOOKUP('Données projet'!$B$18,Paramètres!$A$1:$I$89,3,0)*VLOOKUP('Données projet'!$B$18,Paramètres!$A$1:$I$89,5,0)</f>
        <v>38.173311738544804</v>
      </c>
      <c r="GW20" s="13">
        <f t="shared" si="51"/>
        <v>11.513173743035207</v>
      </c>
      <c r="GX20" s="20">
        <f t="shared" si="28"/>
        <v>86.537295547085179</v>
      </c>
      <c r="GY20" s="59">
        <f t="shared" si="29"/>
        <v>379.87062888041851</v>
      </c>
      <c r="GZ20" s="59">
        <f ca="1">AVERAGE(OFFSET($GY$3,0,0,'Données projet'!$E$18+1,1))-AVERAGE(OFFSET($H$3,0,0,'Données projet'!$E$18+1,1))</f>
        <v>199.58763537752952</v>
      </c>
      <c r="HA20" s="59">
        <f t="shared" si="52"/>
        <v>242.62852778451929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>
        <f>EXP(-LN(2)/35)*HG19+(1-EXP(-LN(2)/35))/(LN(2)/35)*HC20*HD20*VLOOKUP('Données projet'!$B$18,Paramètres!$A$1:$I$89,3,0)*0.475*44/12</f>
        <v>0</v>
      </c>
      <c r="HH20" s="21">
        <f>EXP(-LN(2)/25)*HH19+(1-EXP(-LN(2)/25))/(LN(2)/25)*Calculateur!HC20*Calculateur!HE20*VLOOKUP('Données projet'!$B$18,Paramètres!$A$1:$I$89,3,0)*0.475*44/12</f>
        <v>0</v>
      </c>
      <c r="HI20" s="21">
        <f>EXP(-LN(2)/2)*HI19+(1-EXP(-LN(2)/2))/(LN(2)/2)*HC20*HF20*VLOOKUP('Données projet'!$B$18,Paramètres!$A$1:$I$89,3,0)*0.475*44/12</f>
        <v>0</v>
      </c>
      <c r="HJ20" s="22">
        <f t="shared" si="30"/>
        <v>0</v>
      </c>
    </row>
    <row r="21" spans="1:218" x14ac:dyDescent="0.2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16.005600000000005</v>
      </c>
      <c r="D21" s="11">
        <f t="shared" si="32"/>
        <v>5.3412974993444182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164.78306841599206</v>
      </c>
      <c r="H21" s="67">
        <f t="shared" si="1"/>
        <v>330.51251314469152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182.89230769230767</v>
      </c>
      <c r="L21" s="12">
        <f>VLOOKUP(A21,'Données projet'!$A$35:$I$55,9,0)</f>
        <v>23.146153846153823</v>
      </c>
      <c r="M21" s="12">
        <f t="array" ref="M21">INDEX(L:L,MIN(IF(ISNUMBER(L21:L217),ROW(L21:L217),"")))</f>
        <v>23.146153846153823</v>
      </c>
      <c r="N21" s="13">
        <f>IF('Données projet'!$A$36&gt;35,N20+M21-V20,IF(A21&lt;'Données projet'!$A$36,$K$205^A21,IF(A21='Données projet'!$A$36,'Données projet'!$B$36,N20+M21-V20)))</f>
        <v>182.89230769230767</v>
      </c>
      <c r="O21" s="13">
        <f>N21*VLOOKUP('Données projet'!$B$9,Paramètres!$A$1:$I$89,3,0)*VLOOKUP('Données projet'!$B$9,Paramètres!$A$1:$I$89,5,0)</f>
        <v>102.23679999999999</v>
      </c>
      <c r="P21" s="13">
        <f t="shared" si="33"/>
        <v>27.494196289326943</v>
      </c>
      <c r="Q21" s="20">
        <f t="shared" si="2"/>
        <v>225.9481518705777</v>
      </c>
      <c r="R21" s="59">
        <f t="shared" si="0"/>
        <v>519.28148520391096</v>
      </c>
      <c r="S21" s="59">
        <f ca="1">AVERAGE(OFFSET($R$3,0,0,'Données projet'!$E$9+1,1))-AVERAGE(OFFSET($H$3,0,0,'Données projet'!$E$9+1,1))</f>
        <v>255.5374979188561</v>
      </c>
      <c r="T21" s="59">
        <f t="shared" si="34"/>
        <v>343.10418468620901</v>
      </c>
      <c r="U21" s="15">
        <f>IF(ISNA(VLOOKUP(A21,'Données projet'!$A$35:$I$55,3,0)),0,VLOOKUP(A21,'Données projet'!$A$35:$I$55,3,0))</f>
        <v>1</v>
      </c>
      <c r="V21" s="15">
        <f>IF(ISNA(VLOOKUP(A21,'Données projet'!$A$35:$I$55,4,0)),0,VLOOKUP(A21,'Données projet'!$A$35:$I$55,4,0))</f>
        <v>69.284615384615378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0.27500000000000002</v>
      </c>
      <c r="Y21" s="16">
        <f>IF(ISNA(VLOOKUP(A21,'Données projet'!$A$35:$I$55,7,0)),0%,VLOOKUP(A21,'Données projet'!$A$35:$I$55,7,0))</f>
        <v>0.5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14.073311822728558</v>
      </c>
      <c r="AB21" s="21">
        <f>EXP(-LN(2)/2)*AB20+(1-EXP(-LN(2)/2))/(LN(2)/2)*V21*Y21*VLOOKUP('Données projet'!$B$9,Paramètres!$A$1:$I$89,3,0)*0.475*44/12</f>
        <v>21.925735053214883</v>
      </c>
      <c r="AC21" s="22">
        <f t="shared" si="3"/>
        <v>35.999046875943442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7.7987854251012134</v>
      </c>
      <c r="AI21" s="13">
        <f>IF('Données projet'!$A$62&gt;35,AI20+AH21-AQ20,IF(A21&lt;'Données projet'!$A$62,$AF$205^A21,IF(A21='Données projet'!$A$62,'Données projet'!$B$62,AI20+AH21-AQ20)))</f>
        <v>113.90137405897467</v>
      </c>
      <c r="AJ21" s="13">
        <f>AI21*VLOOKUP('Données projet'!$B$10,Paramètres!$A$1:$I$89,3,0)*VLOOKUP('Données projet'!$B$10,Paramètres!$A$1:$I$89,5,0)</f>
        <v>63.670868098966835</v>
      </c>
      <c r="AK21" s="13">
        <f t="shared" si="35"/>
        <v>18.093147773646375</v>
      </c>
      <c r="AL21" s="20">
        <f t="shared" si="4"/>
        <v>142.40566097813468</v>
      </c>
      <c r="AM21" s="59">
        <f t="shared" si="5"/>
        <v>435.73899431146799</v>
      </c>
      <c r="AN21" s="59">
        <f ca="1">AVERAGE(OFFSET($AM$3,0,0,'Données projet'!$E$10+1,1))-AVERAGE(OFFSET($H$3,0,0,'Données projet'!$E$10+1,1))</f>
        <v>224.7049802939942</v>
      </c>
      <c r="AO21" s="59">
        <f t="shared" si="36"/>
        <v>203.48513862195352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14.1</v>
      </c>
      <c r="BD21" s="12">
        <f>IF('Données projet'!$A$88&gt;35,BD20+BC21-BL20,IF(A21&lt;'Données projet'!$A$88,$BA$205^A21,IF(A21='Données projet'!$A$88,'Données projet'!$B$88,BD20+BC21-BL20)))</f>
        <v>148.79999999999998</v>
      </c>
      <c r="BE21" s="13">
        <f>BD21*VLOOKUP('Données projet'!$B$11,Paramètres!$A$1:$I$89,3,0)*VLOOKUP('Données projet'!$B$11,Paramètres!$A$1:$I$89,5,0)</f>
        <v>81.244799999999984</v>
      </c>
      <c r="BF21" s="13">
        <f t="shared" si="37"/>
        <v>22.441270156928962</v>
      </c>
      <c r="BG21" s="20">
        <f t="shared" si="7"/>
        <v>180.58657218998459</v>
      </c>
      <c r="BH21" s="59">
        <f t="shared" si="8"/>
        <v>473.91990552331788</v>
      </c>
      <c r="BI21" s="59">
        <f ca="1">AVERAGE(OFFSET($BH$3,0,0,'Données projet'!$E$11+1,1))-AVERAGE(OFFSET($H$3,0,0,'Données projet'!$E$11+1,1))</f>
        <v>210.04871822652808</v>
      </c>
      <c r="BJ21" s="59">
        <f t="shared" si="38"/>
        <v>250.17540614049324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11.4</v>
      </c>
      <c r="BY21" s="12">
        <f>IF('Données projet'!$A$114&gt;35,BY20+BX21-CG20,IF(A21&lt;'Données projet'!$A$114,$BV$205^A21,IF(A21='Données projet'!$A$114,'Données projet'!$B$114,BY20+BX21-CG20)))</f>
        <v>114.20000000000002</v>
      </c>
      <c r="BZ21" s="13">
        <f>BY21*VLOOKUP('Données projet'!$B$12,Paramètres!$A$1:$I$89,3,0)*VLOOKUP('Données projet'!$B$12,Paramètres!$A$1:$I$89,5,0)</f>
        <v>62.353200000000008</v>
      </c>
      <c r="CA21" s="13">
        <f t="shared" si="39"/>
        <v>17.761893159201268</v>
      </c>
      <c r="CB21" s="20">
        <f t="shared" si="10"/>
        <v>139.53378725227557</v>
      </c>
      <c r="CC21" s="59">
        <f t="shared" si="11"/>
        <v>432.86712058560886</v>
      </c>
      <c r="CD21" s="59">
        <f ca="1">AVERAGE(OFFSET($CC$3,0,0,'Données projet'!$E$12+1,1))-AVERAGE(OFFSET($H$3,0,0,'Données projet'!$E$12+1,1))</f>
        <v>168.72306536277267</v>
      </c>
      <c r="CE21" s="59">
        <f t="shared" si="40"/>
        <v>203.35476578922339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5.6730769230769225</v>
      </c>
      <c r="CT21" s="12">
        <f>IF('Données projet'!$A$140&gt;35,CT20+CS21-DB20,IF(A21&lt;'Données projet'!$A$140,$CQ$205^A21,IF(A21='Données projet'!$A$140,'Données projet'!$B$140,CT20+CS21-DB20)))</f>
        <v>102.11538461538457</v>
      </c>
      <c r="CU21" s="17">
        <f>CT21*VLOOKUP('Données projet'!$B$13,Paramètres!$A$1:$I$89,3,0)*VLOOKUP('Données projet'!$B$13,Paramètres!$A$1:$I$89,5,0)</f>
        <v>49.117499999999986</v>
      </c>
      <c r="CV21" s="13">
        <f t="shared" si="41"/>
        <v>14.385614522397548</v>
      </c>
      <c r="CW21" s="20">
        <f t="shared" si="13"/>
        <v>110.60125779317569</v>
      </c>
      <c r="CX21" s="59">
        <f t="shared" si="14"/>
        <v>403.93459112650902</v>
      </c>
      <c r="CY21" s="59">
        <f ca="1">AVERAGE(OFFSET($CX$3,0,0,'Données projet'!$E$13+1,1))-AVERAGE(OFFSET($H$3,0,0,'Données projet'!$E$13+1,1))</f>
        <v>304.15237106473313</v>
      </c>
      <c r="CZ21" s="59">
        <f t="shared" si="42"/>
        <v>120.85458928724336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>
        <f>EXP(-LN(2)/35)*DF20+(1-EXP(-LN(2)/35))/(LN(2)/35)*DB21*DC21*VLOOKUP('Données projet'!$B$13,Paramètres!$A$1:$I$89,3,0)*0.475*44/12</f>
        <v>0</v>
      </c>
      <c r="DG21" s="21">
        <f>EXP(-LN(2)/25)*DG20+(1-EXP(-LN(2)/25))/(LN(2)/25)*Calculateur!DB21*Calculateur!DD21*VLOOKUP('Données projet'!$B$13,Paramètres!$A$1:$I$89,3,0)*0.475*44/12</f>
        <v>0</v>
      </c>
      <c r="DH21" s="21">
        <f>EXP(-LN(2)/2)*DH20+(1-EXP(-LN(2)/2))/(LN(2)/2)*DB21*DE21*VLOOKUP('Données projet'!$B$13,Paramètres!$A$1:$I$89,3,0)*0.475*44/12</f>
        <v>0</v>
      </c>
      <c r="DI21" s="22">
        <f t="shared" si="15"/>
        <v>0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3.8846153846153846</v>
      </c>
      <c r="DO21" s="12">
        <f>IF('Données projet'!$A$166&gt;35,DO20+DN21-DW20,IF(A21&lt;'Données projet'!$A$166,$DL$205^A21,IF(A21='Données projet'!$A$166,'Données projet'!$B$166,DO20+DN21-DW20)))</f>
        <v>69.923076923076934</v>
      </c>
      <c r="DP21" s="17">
        <f>DO21*VLOOKUP('Données projet'!$B$14,Paramètres!$A$1:$I$89,3,0)*VLOOKUP('Données projet'!$B$14,Paramètres!$A$1:$I$89,5,0)</f>
        <v>33.633000000000003</v>
      </c>
      <c r="DQ21" s="13">
        <f t="shared" si="43"/>
        <v>10.294426459282217</v>
      </c>
      <c r="DR21" s="20">
        <f t="shared" si="16"/>
        <v>76.506934416583192</v>
      </c>
      <c r="DS21" s="59">
        <f t="shared" si="17"/>
        <v>369.84026774991651</v>
      </c>
      <c r="DT21" s="59">
        <f ca="1">AVERAGE(OFFSET($DS$3,0,0,'Données projet'!$E$14+1,1))-AVERAGE(OFFSET($H$3,0,0,'Données projet'!$E$14+1,1))</f>
        <v>91.053246648097399</v>
      </c>
      <c r="DU21" s="59">
        <f t="shared" si="44"/>
        <v>64.716270355703955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>
        <f>EXP(-LN(2)/35)*EA20+(1-EXP(-LN(2)/35))/(LN(2)/35)*DW21*DX21*VLOOKUP('Données projet'!$B$14,Paramètres!$A$1:$I$89,3,0)*0.475*44/12</f>
        <v>0</v>
      </c>
      <c r="EB21" s="21">
        <f>EXP(-LN(2)/25)*EB20+(1-EXP(-LN(2)/25))/(LN(2)/25)*Calculateur!DW21*Calculateur!DY21*VLOOKUP('Données projet'!$B$14,Paramètres!$A$1:$I$89,3,0)*0.475*44/12</f>
        <v>0</v>
      </c>
      <c r="EC21" s="21">
        <f>EXP(-LN(2)/2)*EC20+(1-EXP(-LN(2)/2))/(LN(2)/2)*DW21*DZ21*VLOOKUP('Données projet'!$B$14,Paramètres!$A$1:$I$89,3,0)*0.475*44/12</f>
        <v>0</v>
      </c>
      <c r="ED21" s="22">
        <f t="shared" si="18"/>
        <v>0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5.3</v>
      </c>
      <c r="EJ21" s="12">
        <f>IF('Données projet'!$A$192&gt;35,EJ20+EI21-ER20,IF(A21&lt;'Données projet'!$A$192,$EG$205^A21,IF(A21='Données projet'!$A$192,'Données projet'!$B$192,EJ20+EI21-ER20)))</f>
        <v>66.492900642077856</v>
      </c>
      <c r="EK21" s="17">
        <f>EJ21*VLOOKUP('Données projet'!$B$15,Paramètres!$A$1:$I$89,3,0)*VLOOKUP('Données projet'!$B$15,Paramètres!$A$1:$I$89,5,0)</f>
        <v>39.762754583962561</v>
      </c>
      <c r="EL21" s="13">
        <f t="shared" si="45"/>
        <v>11.935743228636118</v>
      </c>
      <c r="EM21" s="20">
        <f t="shared" si="19"/>
        <v>90.041550356942707</v>
      </c>
      <c r="EN21" s="59">
        <f t="shared" si="20"/>
        <v>383.37488369027602</v>
      </c>
      <c r="EO21" s="59">
        <f ca="1">AVERAGE(OFFSET($EN$3,0,0,'Données projet'!$E$15+1,1))-AVERAGE(OFFSET($H$3,0,0,'Données projet'!$E$15+1,1))</f>
        <v>316.58509520829671</v>
      </c>
      <c r="EP21" s="59">
        <f t="shared" si="46"/>
        <v>240.71332110643596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>
        <f>EXP(-LN(2)/35)*EV20+(1-EXP(-LN(2)/35))/(LN(2)/35)*ER21*ES21*VLOOKUP('Données projet'!$B$15,Paramètres!$A$1:$I$89,3,0)*0.475*44/12</f>
        <v>0</v>
      </c>
      <c r="EW21" s="21">
        <f>EXP(-LN(2)/25)*EW20+(1-EXP(-LN(2)/25))/(LN(2)/25)*Calculateur!ER21*Calculateur!ET21*VLOOKUP('Données projet'!$B$15,Paramètres!$A$1:$I$89,3,0)*0.475*44/12</f>
        <v>0</v>
      </c>
      <c r="EX21" s="21">
        <f>EXP(-LN(2)/2)*EX20+(1-EXP(-LN(2)/2))/(LN(2)/2)*ER21*EU21*VLOOKUP('Données projet'!$B$15,Paramètres!$A$1:$I$89,3,0)*0.475*44/12</f>
        <v>0</v>
      </c>
      <c r="EY21" s="22">
        <f t="shared" si="21"/>
        <v>0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4.3499999999999996</v>
      </c>
      <c r="FE21" s="12">
        <f>IF('Données projet'!$A$218&gt;35,FE20+FD21-FM20,IF(A21&lt;'Données projet'!$A$218,$FB$205^A21,IF(A21='Données projet'!$A$218,'Données projet'!$B$218,FE20+FD21-FM20)))</f>
        <v>55.663092037363775</v>
      </c>
      <c r="FF21" s="17">
        <f>FE21*VLOOKUP('Données projet'!$B$16,Paramètres!$A$1:$I$89,3,0)*VLOOKUP('Données projet'!$B$16,Paramètres!$A$1:$I$89,5,0)</f>
        <v>33.286529038343545</v>
      </c>
      <c r="FG21" s="13">
        <f t="shared" si="47"/>
        <v>10.200665853974691</v>
      </c>
      <c r="FH21" s="20">
        <f t="shared" si="22"/>
        <v>75.740197770787589</v>
      </c>
      <c r="FI21" s="59">
        <f t="shared" si="23"/>
        <v>369.07353110412089</v>
      </c>
      <c r="FJ21" s="59">
        <f ca="1">AVERAGE(OFFSET($FI$3,0,0,'Données projet'!$E$16+1,1))-AVERAGE(OFFSET($H$3,0,0,'Données projet'!$E$16+1,1))</f>
        <v>270.30888762640245</v>
      </c>
      <c r="FK21" s="59">
        <f t="shared" si="48"/>
        <v>202.23783851977691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>
        <f>EXP(-LN(2)/35)*FQ20+(1-EXP(-LN(2)/35))/(LN(2)/35)*FM21*FN21*VLOOKUP('Données projet'!$B$16,Paramètres!$A$1:$I$89,3,0)*0.475*44/12</f>
        <v>0</v>
      </c>
      <c r="FR21" s="21">
        <f>EXP(-LN(2)/25)*FR20+(1-EXP(-LN(2)/25))/(LN(2)/25)*Calculateur!FM21*Calculateur!FO21*VLOOKUP('Données projet'!$B$16,Paramètres!$A$1:$I$89,3,0)*0.475*44/12</f>
        <v>0</v>
      </c>
      <c r="FS21" s="21">
        <f>EXP(-LN(2)/2)*FS20+(1-EXP(-LN(2)/2))/(LN(2)/2)*FM21*FP21*VLOOKUP('Données projet'!$B$16,Paramètres!$A$1:$I$89,3,0)*0.475*44/12</f>
        <v>0</v>
      </c>
      <c r="FT21" s="22">
        <f t="shared" si="24"/>
        <v>0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12.3</v>
      </c>
      <c r="FZ21" s="12">
        <f>IF('Données projet'!$A$244&gt;35,FZ20+FY21-GH20,IF(A21&lt;'Données projet'!$A$244,$FW$205^A21,IF(A21='Données projet'!$A$244,'Données projet'!$B$244,FZ20+FY21-GH20)))</f>
        <v>109.39999999999999</v>
      </c>
      <c r="GA21" s="17">
        <f>FZ21*VLOOKUP('Données projet'!$B$17,Paramètres!$A$1:$I$89,3,0)*VLOOKUP('Données projet'!$B$17,Paramètres!$A$1:$I$89,5,0)</f>
        <v>87.038640000000001</v>
      </c>
      <c r="GB21" s="13">
        <f t="shared" si="49"/>
        <v>23.849631507508057</v>
      </c>
      <c r="GC21" s="20">
        <f t="shared" si="25"/>
        <v>193.13040620890987</v>
      </c>
      <c r="GD21" s="59">
        <f t="shared" si="26"/>
        <v>486.46373954224316</v>
      </c>
      <c r="GE21" s="59">
        <f ca="1">AVERAGE(OFFSET($GD$3,0,0,'Données projet'!$E$17+1,1))-AVERAGE(OFFSET($H$3,0,0,'Données projet'!$E$17+1,1))</f>
        <v>260.20517190557814</v>
      </c>
      <c r="GF21" s="59">
        <f t="shared" si="50"/>
        <v>307.22009971147133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>
        <f>EXP(-LN(2)/35)*GL20+(1-EXP(-LN(2)/35))/(LN(2)/35)*GH21*GI21*VLOOKUP('Données projet'!$B$17,Paramètres!$A$1:$I$89,3,0)*0.475*44/12</f>
        <v>0</v>
      </c>
      <c r="GM21" s="21">
        <f>EXP(-LN(2)/25)*GM20+(1-EXP(-LN(2)/25))/(LN(2)/25)*Calculateur!GH21*Calculateur!GJ21*VLOOKUP('Données projet'!$B$17,Paramètres!$A$1:$I$89,3,0)*0.475*44/12</f>
        <v>0</v>
      </c>
      <c r="GN21" s="21">
        <f>EXP(-LN(2)/2)*GN20+(1-EXP(-LN(2)/2))/(LN(2)/2)*GH21*GK21*VLOOKUP('Données projet'!$B$17,Paramètres!$A$1:$I$89,3,0)*0.475*44/12</f>
        <v>0</v>
      </c>
      <c r="GO21" s="21">
        <f t="shared" si="27"/>
        <v>0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4.75</v>
      </c>
      <c r="GU21" s="12">
        <f>IF('Données projet'!$A$270&gt;35,GU20+GT21-HC20,IF(A21&lt;'Données projet'!$A$270,$GR$205^A21,IF(A21='Données projet'!$A$270,'Données projet'!$B$270,GU20+GT21-HC20)))</f>
        <v>60.249194467085609</v>
      </c>
      <c r="GV21" s="17">
        <f>GU21*VLOOKUP('Données projet'!$B$18,Paramètres!$A$1:$I$89,3,0)*VLOOKUP('Données projet'!$B$18,Paramètres!$A$1:$I$89,5,0)</f>
        <v>47.934259118013308</v>
      </c>
      <c r="GW21" s="13">
        <f t="shared" si="51"/>
        <v>14.078970127192205</v>
      </c>
      <c r="GX21" s="20">
        <f t="shared" si="28"/>
        <v>108.00637426873294</v>
      </c>
      <c r="GY21" s="59">
        <f t="shared" si="29"/>
        <v>401.33970760206626</v>
      </c>
      <c r="GZ21" s="59">
        <f ca="1">AVERAGE(OFFSET($GY$3,0,0,'Données projet'!$E$18+1,1))-AVERAGE(OFFSET($H$3,0,0,'Données projet'!$E$18+1,1))</f>
        <v>199.58763537752952</v>
      </c>
      <c r="HA21" s="59">
        <f t="shared" si="52"/>
        <v>242.62852778451929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>
        <f>EXP(-LN(2)/35)*HG20+(1-EXP(-LN(2)/35))/(LN(2)/35)*HC21*HD21*VLOOKUP('Données projet'!$B$18,Paramètres!$A$1:$I$89,3,0)*0.475*44/12</f>
        <v>0</v>
      </c>
      <c r="HH21" s="21">
        <f>EXP(-LN(2)/25)*HH20+(1-EXP(-LN(2)/25))/(LN(2)/25)*Calculateur!HC21*Calculateur!HE21*VLOOKUP('Données projet'!$B$18,Paramètres!$A$1:$I$89,3,0)*0.475*44/12</f>
        <v>0</v>
      </c>
      <c r="HI21" s="21">
        <f>EXP(-LN(2)/2)*HI20+(1-EXP(-LN(2)/2))/(LN(2)/2)*HC21*HF21*VLOOKUP('Données projet'!$B$18,Paramètres!$A$1:$I$89,3,0)*0.475*44/12</f>
        <v>0</v>
      </c>
      <c r="HJ21" s="22">
        <f t="shared" si="30"/>
        <v>0</v>
      </c>
    </row>
    <row r="22" spans="1:218" x14ac:dyDescent="0.2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16.894800000000004</v>
      </c>
      <c r="D22" s="11">
        <f t="shared" si="32"/>
        <v>5.6026651130643481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173.66464297804058</v>
      </c>
      <c r="H22" s="67">
        <f t="shared" si="1"/>
        <v>332.51641840525372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20.658974358974358</v>
      </c>
      <c r="N22" s="13">
        <f>IF('Données projet'!$A$36&gt;35,N21+M22-V21,IF(A22&lt;'Données projet'!$A$36,$K$205^A22,IF(A22='Données projet'!$A$36,'Données projet'!$B$36,N21+M22-V21)))</f>
        <v>134.26666666666665</v>
      </c>
      <c r="O22" s="13">
        <f>N22*VLOOKUP('Données projet'!$B$9,Paramètres!$A$1:$I$89,3,0)*VLOOKUP('Données projet'!$B$9,Paramètres!$A$1:$I$89,5,0)</f>
        <v>75.055066666666661</v>
      </c>
      <c r="P22" s="13">
        <f t="shared" si="33"/>
        <v>20.923669242672773</v>
      </c>
      <c r="Q22" s="20">
        <f t="shared" si="2"/>
        <v>167.1629650420995</v>
      </c>
      <c r="R22" s="59">
        <f t="shared" si="0"/>
        <v>460.49629837543284</v>
      </c>
      <c r="S22" s="59">
        <f ca="1">AVERAGE(OFFSET($R$3,0,0,'Données projet'!$E$9+1,1))-AVERAGE(OFFSET($H$3,0,0,'Données projet'!$E$9+1,1))</f>
        <v>255.5374979188561</v>
      </c>
      <c r="T22" s="59">
        <f t="shared" si="34"/>
        <v>343.10418468620901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13.688476370852742</v>
      </c>
      <c r="AB22" s="21">
        <f>EXP(-LN(2)/2)*AB21+(1-EXP(-LN(2)/2))/(LN(2)/2)*V22*Y22*VLOOKUP('Données projet'!$B$9,Paramètres!$A$1:$I$89,3,0)*0.475*44/12</f>
        <v>15.503835938627832</v>
      </c>
      <c r="AC22" s="22">
        <f t="shared" si="3"/>
        <v>29.192312309480574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>
        <f>VLOOKUP(A22,'Données projet'!$A$61:$I$81,2,0)</f>
        <v>148.17692307692306</v>
      </c>
      <c r="AG22" s="12">
        <f>VLOOKUP(A22,'Données projet'!$A$61:$I$81,9,0)</f>
        <v>7.7987854251012134</v>
      </c>
      <c r="AH22" s="12">
        <f t="array" ref="AH22">INDEX(AG:AG,MIN(IF(ISNUMBER(AG22:AG218),ROW(AG22:AG218),"")))</f>
        <v>7.7987854251012134</v>
      </c>
      <c r="AI22" s="13">
        <f>IF('Données projet'!$A$62&gt;35,AI21+AH22-AQ21,IF(A22&lt;'Données projet'!$A$62,$AF$205^A22,IF(A22='Données projet'!$A$62,'Données projet'!$B$62,AI21+AH22-AQ21)))</f>
        <v>148.17692307692306</v>
      </c>
      <c r="AJ22" s="13">
        <f>AI22*VLOOKUP('Données projet'!$B$10,Paramètres!$A$1:$I$89,3,0)*VLOOKUP('Données projet'!$B$10,Paramètres!$A$1:$I$89,5,0)</f>
        <v>82.830899999999986</v>
      </c>
      <c r="AK22" s="13">
        <f t="shared" si="35"/>
        <v>22.827946813839315</v>
      </c>
      <c r="AL22" s="20">
        <f t="shared" si="4"/>
        <v>184.02249153410344</v>
      </c>
      <c r="AM22" s="59">
        <f t="shared" si="5"/>
        <v>477.35582486743675</v>
      </c>
      <c r="AN22" s="59">
        <f ca="1">AVERAGE(OFFSET($AM$3,0,0,'Données projet'!$E$10+1,1))-AVERAGE(OFFSET($H$3,0,0,'Données projet'!$E$10+1,1))</f>
        <v>224.7049802939942</v>
      </c>
      <c r="AO22" s="59">
        <f t="shared" si="36"/>
        <v>203.48513862195352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14.1</v>
      </c>
      <c r="BD22" s="12">
        <f>IF('Données projet'!$A$88&gt;35,BD21+BC22-BL21,IF(A22&lt;'Données projet'!$A$88,$BA$205^A22,IF(A22='Données projet'!$A$88,'Données projet'!$B$88,BD21+BC22-BL21)))</f>
        <v>162.89999999999998</v>
      </c>
      <c r="BE22" s="13">
        <f>BD22*VLOOKUP('Données projet'!$B$11,Paramètres!$A$1:$I$89,3,0)*VLOOKUP('Données projet'!$B$11,Paramètres!$A$1:$I$89,5,0)</f>
        <v>88.943399999999997</v>
      </c>
      <c r="BF22" s="13">
        <f t="shared" si="37"/>
        <v>24.310223636565393</v>
      </c>
      <c r="BG22" s="20">
        <f t="shared" si="7"/>
        <v>197.25006116701806</v>
      </c>
      <c r="BH22" s="59">
        <f t="shared" si="8"/>
        <v>490.58339450035135</v>
      </c>
      <c r="BI22" s="59">
        <f ca="1">AVERAGE(OFFSET($BH$3,0,0,'Données projet'!$E$11+1,1))-AVERAGE(OFFSET($H$3,0,0,'Données projet'!$E$11+1,1))</f>
        <v>210.04871822652808</v>
      </c>
      <c r="BJ22" s="59">
        <f t="shared" si="38"/>
        <v>250.17540614049324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11.4</v>
      </c>
      <c r="BY22" s="12">
        <f>IF('Données projet'!$A$114&gt;35,BY21+BX22-CG21,IF(A22&lt;'Données projet'!$A$114,$BV$205^A22,IF(A22='Données projet'!$A$114,'Données projet'!$B$114,BY21+BX22-CG21)))</f>
        <v>125.60000000000002</v>
      </c>
      <c r="BZ22" s="13">
        <f>BY22*VLOOKUP('Données projet'!$B$12,Paramètres!$A$1:$I$89,3,0)*VLOOKUP('Données projet'!$B$12,Paramètres!$A$1:$I$89,5,0)</f>
        <v>68.577600000000018</v>
      </c>
      <c r="CA22" s="13">
        <f t="shared" si="39"/>
        <v>19.319804585752038</v>
      </c>
      <c r="CB22" s="20">
        <f t="shared" si="10"/>
        <v>153.08797965351815</v>
      </c>
      <c r="CC22" s="59">
        <f t="shared" si="11"/>
        <v>446.42131298685149</v>
      </c>
      <c r="CD22" s="59">
        <f ca="1">AVERAGE(OFFSET($CC$3,0,0,'Données projet'!$E$12+1,1))-AVERAGE(OFFSET($H$3,0,0,'Données projet'!$E$12+1,1))</f>
        <v>168.72306536277267</v>
      </c>
      <c r="CE22" s="59">
        <f t="shared" si="40"/>
        <v>203.35476578922339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5.6730769230769225</v>
      </c>
      <c r="CT22" s="12">
        <f>IF('Données projet'!$A$140&gt;35,CT21+CS22-DB21,IF(A22&lt;'Données projet'!$A$140,$CQ$205^A22,IF(A22='Données projet'!$A$140,'Données projet'!$B$140,CT21+CS22-DB21)))</f>
        <v>107.78846153846149</v>
      </c>
      <c r="CU22" s="17">
        <f>CT22*VLOOKUP('Données projet'!$B$13,Paramètres!$A$1:$I$89,3,0)*VLOOKUP('Données projet'!$B$13,Paramètres!$A$1:$I$89,5,0)</f>
        <v>51.846249999999976</v>
      </c>
      <c r="CV22" s="13">
        <f t="shared" si="41"/>
        <v>15.08955092363251</v>
      </c>
      <c r="CW22" s="20">
        <f t="shared" si="13"/>
        <v>116.57985327532657</v>
      </c>
      <c r="CX22" s="59">
        <f t="shared" si="14"/>
        <v>409.91318660865988</v>
      </c>
      <c r="CY22" s="59">
        <f ca="1">AVERAGE(OFFSET($CX$3,0,0,'Données projet'!$E$13+1,1))-AVERAGE(OFFSET($H$3,0,0,'Données projet'!$E$13+1,1))</f>
        <v>304.15237106473313</v>
      </c>
      <c r="CZ22" s="59">
        <f t="shared" si="42"/>
        <v>120.85458928724336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>
        <f>EXP(-LN(2)/35)*DF21+(1-EXP(-LN(2)/35))/(LN(2)/35)*DB22*DC22*VLOOKUP('Données projet'!$B$13,Paramètres!$A$1:$I$89,3,0)*0.475*44/12</f>
        <v>0</v>
      </c>
      <c r="DG22" s="21">
        <f>EXP(-LN(2)/25)*DG21+(1-EXP(-LN(2)/25))/(LN(2)/25)*Calculateur!DB22*Calculateur!DD22*VLOOKUP('Données projet'!$B$13,Paramètres!$A$1:$I$89,3,0)*0.475*44/12</f>
        <v>0</v>
      </c>
      <c r="DH22" s="21">
        <f>EXP(-LN(2)/2)*DH21+(1-EXP(-LN(2)/2))/(LN(2)/2)*DB22*DE22*VLOOKUP('Données projet'!$B$13,Paramètres!$A$1:$I$89,3,0)*0.475*44/12</f>
        <v>0</v>
      </c>
      <c r="DI22" s="22">
        <f t="shared" si="15"/>
        <v>0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3.8846153846153846</v>
      </c>
      <c r="DO22" s="12">
        <f>IF('Données projet'!$A$166&gt;35,DO21+DN22-DW21,IF(A22&lt;'Données projet'!$A$166,$DL$205^A22,IF(A22='Données projet'!$A$166,'Données projet'!$B$166,DO21+DN22-DW21)))</f>
        <v>73.807692307692321</v>
      </c>
      <c r="DP22" s="17">
        <f>DO22*VLOOKUP('Données projet'!$B$14,Paramètres!$A$1:$I$89,3,0)*VLOOKUP('Données projet'!$B$14,Paramètres!$A$1:$I$89,5,0)</f>
        <v>35.501500000000007</v>
      </c>
      <c r="DQ22" s="13">
        <f t="shared" si="43"/>
        <v>10.798167297273013</v>
      </c>
      <c r="DR22" s="20">
        <f t="shared" si="16"/>
        <v>80.638587209417167</v>
      </c>
      <c r="DS22" s="59">
        <f t="shared" si="17"/>
        <v>373.97192054275047</v>
      </c>
      <c r="DT22" s="59">
        <f ca="1">AVERAGE(OFFSET($DS$3,0,0,'Données projet'!$E$14+1,1))-AVERAGE(OFFSET($H$3,0,0,'Données projet'!$E$14+1,1))</f>
        <v>91.053246648097399</v>
      </c>
      <c r="DU22" s="59">
        <f t="shared" si="44"/>
        <v>64.716270355703955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>
        <f>EXP(-LN(2)/35)*EA21+(1-EXP(-LN(2)/35))/(LN(2)/35)*DW22*DX22*VLOOKUP('Données projet'!$B$14,Paramètres!$A$1:$I$89,3,0)*0.475*44/12</f>
        <v>0</v>
      </c>
      <c r="EB22" s="21">
        <f>EXP(-LN(2)/25)*EB21+(1-EXP(-LN(2)/25))/(LN(2)/25)*Calculateur!DW22*Calculateur!DY22*VLOOKUP('Données projet'!$B$14,Paramètres!$A$1:$I$89,3,0)*0.475*44/12</f>
        <v>0</v>
      </c>
      <c r="EC22" s="21">
        <f>EXP(-LN(2)/2)*EC21+(1-EXP(-LN(2)/2))/(LN(2)/2)*DW22*DZ22*VLOOKUP('Données projet'!$B$14,Paramètres!$A$1:$I$89,3,0)*0.475*44/12</f>
        <v>0</v>
      </c>
      <c r="ED22" s="22">
        <f t="shared" si="18"/>
        <v>0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5.3</v>
      </c>
      <c r="EJ22" s="12">
        <f>IF('Données projet'!$A$192&gt;35,EJ21+EI22-ER21,IF(A22&lt;'Données projet'!$A$192,$EG$205^A22,IF(A22='Données projet'!$A$192,'Données projet'!$B$192,EJ21+EI22-ER21)))</f>
        <v>83.953841294250751</v>
      </c>
      <c r="EK22" s="17">
        <f>EJ22*VLOOKUP('Données projet'!$B$15,Paramètres!$A$1:$I$89,3,0)*VLOOKUP('Données projet'!$B$15,Paramètres!$A$1:$I$89,5,0)</f>
        <v>50.204397093961951</v>
      </c>
      <c r="EL22" s="13">
        <f t="shared" si="45"/>
        <v>14.666533564506853</v>
      </c>
      <c r="EM22" s="20">
        <f t="shared" si="19"/>
        <v>112.98353756349984</v>
      </c>
      <c r="EN22" s="59">
        <f t="shared" si="20"/>
        <v>406.31687089683317</v>
      </c>
      <c r="EO22" s="59">
        <f ca="1">AVERAGE(OFFSET($EN$3,0,0,'Données projet'!$E$15+1,1))-AVERAGE(OFFSET($H$3,0,0,'Données projet'!$E$15+1,1))</f>
        <v>316.58509520829671</v>
      </c>
      <c r="EP22" s="59">
        <f t="shared" si="46"/>
        <v>240.71332110643596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>
        <f>EXP(-LN(2)/35)*EV21+(1-EXP(-LN(2)/35))/(LN(2)/35)*ER22*ES22*VLOOKUP('Données projet'!$B$15,Paramètres!$A$1:$I$89,3,0)*0.475*44/12</f>
        <v>0</v>
      </c>
      <c r="EW22" s="21">
        <f>EXP(-LN(2)/25)*EW21+(1-EXP(-LN(2)/25))/(LN(2)/25)*Calculateur!ER22*Calculateur!ET22*VLOOKUP('Données projet'!$B$15,Paramètres!$A$1:$I$89,3,0)*0.475*44/12</f>
        <v>0</v>
      </c>
      <c r="EX22" s="21">
        <f>EXP(-LN(2)/2)*EX21+(1-EXP(-LN(2)/2))/(LN(2)/2)*ER22*EU22*VLOOKUP('Données projet'!$B$15,Paramètres!$A$1:$I$89,3,0)*0.475*44/12</f>
        <v>0</v>
      </c>
      <c r="EY22" s="22">
        <f t="shared" si="21"/>
        <v>0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4.3499999999999996</v>
      </c>
      <c r="FE22" s="12">
        <f>IF('Données projet'!$A$218&gt;35,FE21+FD22-FM21,IF(A22&lt;'Données projet'!$A$218,$FB$205^A22,IF(A22='Données projet'!$A$218,'Données projet'!$B$218,FE21+FD22-FM21)))</f>
        <v>69.589431720992238</v>
      </c>
      <c r="FF22" s="17">
        <f>FE22*VLOOKUP('Données projet'!$B$16,Paramètres!$A$1:$I$89,3,0)*VLOOKUP('Données projet'!$B$16,Paramètres!$A$1:$I$89,5,0)</f>
        <v>41.614480169153367</v>
      </c>
      <c r="FG22" s="13">
        <f t="shared" si="47"/>
        <v>12.425574628043913</v>
      </c>
      <c r="FH22" s="20">
        <f t="shared" si="22"/>
        <v>94.119762105118596</v>
      </c>
      <c r="FI22" s="59">
        <f t="shared" si="23"/>
        <v>387.4530954384519</v>
      </c>
      <c r="FJ22" s="59">
        <f ca="1">AVERAGE(OFFSET($FI$3,0,0,'Données projet'!$E$16+1,1))-AVERAGE(OFFSET($H$3,0,0,'Données projet'!$E$16+1,1))</f>
        <v>270.30888762640245</v>
      </c>
      <c r="FK22" s="59">
        <f t="shared" si="48"/>
        <v>202.23783851977691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>
        <f>EXP(-LN(2)/35)*FQ21+(1-EXP(-LN(2)/35))/(LN(2)/35)*FM22*FN22*VLOOKUP('Données projet'!$B$16,Paramètres!$A$1:$I$89,3,0)*0.475*44/12</f>
        <v>0</v>
      </c>
      <c r="FR22" s="21">
        <f>EXP(-LN(2)/25)*FR21+(1-EXP(-LN(2)/25))/(LN(2)/25)*Calculateur!FM22*Calculateur!FO22*VLOOKUP('Données projet'!$B$16,Paramètres!$A$1:$I$89,3,0)*0.475*44/12</f>
        <v>0</v>
      </c>
      <c r="FS22" s="21">
        <f>EXP(-LN(2)/2)*FS21+(1-EXP(-LN(2)/2))/(LN(2)/2)*FM22*FP22*VLOOKUP('Données projet'!$B$16,Paramètres!$A$1:$I$89,3,0)*0.475*44/12</f>
        <v>0</v>
      </c>
      <c r="FT22" s="22">
        <f t="shared" si="24"/>
        <v>0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12.3</v>
      </c>
      <c r="FZ22" s="12">
        <f>IF('Données projet'!$A$244&gt;35,FZ21+FY22-GH21,IF(A22&lt;'Données projet'!$A$244,$FW$205^A22,IF(A22='Données projet'!$A$244,'Données projet'!$B$244,FZ21+FY22-GH21)))</f>
        <v>121.69999999999999</v>
      </c>
      <c r="GA22" s="17">
        <f>FZ22*VLOOKUP('Données projet'!$B$17,Paramètres!$A$1:$I$89,3,0)*VLOOKUP('Données projet'!$B$17,Paramètres!$A$1:$I$89,5,0)</f>
        <v>96.824519999999993</v>
      </c>
      <c r="GB22" s="13">
        <f t="shared" si="49"/>
        <v>26.20406828580953</v>
      </c>
      <c r="GC22" s="20">
        <f t="shared" si="25"/>
        <v>214.27479126445158</v>
      </c>
      <c r="GD22" s="59">
        <f t="shared" si="26"/>
        <v>507.60812459778492</v>
      </c>
      <c r="GE22" s="59">
        <f ca="1">AVERAGE(OFFSET($GD$3,0,0,'Données projet'!$E$17+1,1))-AVERAGE(OFFSET($H$3,0,0,'Données projet'!$E$17+1,1))</f>
        <v>260.20517190557814</v>
      </c>
      <c r="GF22" s="59">
        <f t="shared" si="50"/>
        <v>307.22009971147133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>
        <f>EXP(-LN(2)/35)*GL21+(1-EXP(-LN(2)/35))/(LN(2)/35)*GH22*GI22*VLOOKUP('Données projet'!$B$17,Paramètres!$A$1:$I$89,3,0)*0.475*44/12</f>
        <v>0</v>
      </c>
      <c r="GM22" s="21">
        <f>EXP(-LN(2)/25)*GM21+(1-EXP(-LN(2)/25))/(LN(2)/25)*Calculateur!GH22*Calculateur!GJ22*VLOOKUP('Données projet'!$B$17,Paramètres!$A$1:$I$89,3,0)*0.475*44/12</f>
        <v>0</v>
      </c>
      <c r="GN22" s="21">
        <f>EXP(-LN(2)/2)*GN21+(1-EXP(-LN(2)/2))/(LN(2)/2)*GH22*GK22*VLOOKUP('Données projet'!$B$17,Paramètres!$A$1:$I$89,3,0)*0.475*44/12</f>
        <v>0</v>
      </c>
      <c r="GO22" s="21">
        <f t="shared" si="27"/>
        <v>0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4.75</v>
      </c>
      <c r="GU22" s="12">
        <f>IF('Données projet'!$A$270&gt;35,GU21+GT22-HC21,IF(A22&lt;'Données projet'!$A$270,$GR$205^A22,IF(A22='Données projet'!$A$270,'Données projet'!$B$270,GU21+GT22-HC21)))</f>
        <v>75.65496331618381</v>
      </c>
      <c r="GV22" s="17">
        <f>GU22*VLOOKUP('Données projet'!$B$18,Paramètres!$A$1:$I$89,3,0)*VLOOKUP('Données projet'!$B$18,Paramètres!$A$1:$I$89,5,0)</f>
        <v>60.191088814355844</v>
      </c>
      <c r="GW22" s="13">
        <f t="shared" si="51"/>
        <v>17.216573315614252</v>
      </c>
      <c r="GX22" s="20">
        <f t="shared" si="28"/>
        <v>134.81834487636456</v>
      </c>
      <c r="GY22" s="59">
        <f t="shared" si="29"/>
        <v>428.15167820969788</v>
      </c>
      <c r="GZ22" s="59">
        <f ca="1">AVERAGE(OFFSET($GY$3,0,0,'Données projet'!$E$18+1,1))-AVERAGE(OFFSET($H$3,0,0,'Données projet'!$E$18+1,1))</f>
        <v>199.58763537752952</v>
      </c>
      <c r="HA22" s="59">
        <f t="shared" si="52"/>
        <v>242.62852778451929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>
        <f>EXP(-LN(2)/35)*HG21+(1-EXP(-LN(2)/35))/(LN(2)/35)*HC22*HD22*VLOOKUP('Données projet'!$B$18,Paramètres!$A$1:$I$89,3,0)*0.475*44/12</f>
        <v>0</v>
      </c>
      <c r="HH22" s="21">
        <f>EXP(-LN(2)/25)*HH21+(1-EXP(-LN(2)/25))/(LN(2)/25)*Calculateur!HC22*Calculateur!HE22*VLOOKUP('Données projet'!$B$18,Paramètres!$A$1:$I$89,3,0)*0.475*44/12</f>
        <v>0</v>
      </c>
      <c r="HI22" s="21">
        <f>EXP(-LN(2)/2)*HI21+(1-EXP(-LN(2)/2))/(LN(2)/2)*HC22*HF22*VLOOKUP('Données projet'!$B$18,Paramètres!$A$1:$I$89,3,0)*0.475*44/12</f>
        <v>0</v>
      </c>
      <c r="HJ22" s="22">
        <f t="shared" si="30"/>
        <v>0</v>
      </c>
    </row>
    <row r="23" spans="1:218" x14ac:dyDescent="0.2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17.784000000000002</v>
      </c>
      <c r="D23" s="11">
        <f t="shared" si="32"/>
        <v>5.862435622634961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182.5338890168313</v>
      </c>
      <c r="H23" s="67">
        <f t="shared" si="1"/>
        <v>334.51754204275585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20.658974358974358</v>
      </c>
      <c r="N23" s="13">
        <f>IF('Données projet'!$A$36&gt;35,N22+M23-V22,IF(A23&lt;'Données projet'!$A$36,$K$205^A23,IF(A23='Données projet'!$A$36,'Données projet'!$B$36,N22+M23-V22)))</f>
        <v>154.925641025641</v>
      </c>
      <c r="O23" s="13">
        <f>N23*VLOOKUP('Données projet'!$B$9,Paramètres!$A$1:$I$89,3,0)*VLOOKUP('Données projet'!$B$9,Paramètres!$A$1:$I$89,5,0)</f>
        <v>86.603433333333314</v>
      </c>
      <c r="P23" s="13">
        <f t="shared" si="33"/>
        <v>23.744229853900279</v>
      </c>
      <c r="Q23" s="20">
        <f t="shared" si="2"/>
        <v>192.18884671776516</v>
      </c>
      <c r="R23" s="59">
        <f t="shared" si="0"/>
        <v>485.52218005109847</v>
      </c>
      <c r="S23" s="59">
        <f ca="1">AVERAGE(OFFSET($R$3,0,0,'Données projet'!$E$9+1,1))-AVERAGE(OFFSET($H$3,0,0,'Données projet'!$E$9+1,1))</f>
        <v>255.5374979188561</v>
      </c>
      <c r="T23" s="59">
        <f t="shared" si="34"/>
        <v>343.10418468620901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13.314164264646086</v>
      </c>
      <c r="AB23" s="21">
        <f>EXP(-LN(2)/2)*AB22+(1-EXP(-LN(2)/2))/(LN(2)/2)*V23*Y23*VLOOKUP('Données projet'!$B$9,Paramètres!$A$1:$I$89,3,0)*0.475*44/12</f>
        <v>10.962867526607443</v>
      </c>
      <c r="AC23" s="22">
        <f t="shared" si="3"/>
        <v>24.277031791253528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15.942307692307708</v>
      </c>
      <c r="AI23" s="13">
        <f>IF('Données projet'!$A$62&gt;35,AI22+AH23-AQ22,IF(A23&lt;'Données projet'!$A$62,$AF$205^A23,IF(A23='Données projet'!$A$62,'Données projet'!$B$62,AI22+AH23-AQ22)))</f>
        <v>164.11923076923077</v>
      </c>
      <c r="AJ23" s="13">
        <f>AI23*VLOOKUP('Données projet'!$B$10,Paramètres!$A$1:$I$89,3,0)*VLOOKUP('Données projet'!$B$10,Paramètres!$A$1:$I$89,5,0)</f>
        <v>91.742650000000012</v>
      </c>
      <c r="AK23" s="13">
        <f t="shared" si="35"/>
        <v>24.985039964008102</v>
      </c>
      <c r="AL23" s="20">
        <f t="shared" si="4"/>
        <v>203.3007266873141</v>
      </c>
      <c r="AM23" s="59">
        <f t="shared" si="5"/>
        <v>496.63406002064744</v>
      </c>
      <c r="AN23" s="59">
        <f ca="1">AVERAGE(OFFSET($AM$3,0,0,'Données projet'!$E$10+1,1))-AVERAGE(OFFSET($H$3,0,0,'Données projet'!$E$10+1,1))</f>
        <v>224.7049802939942</v>
      </c>
      <c r="AO23" s="59">
        <f t="shared" si="36"/>
        <v>203.48513862195352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>
        <f>VLOOKUP(A23,'Données projet'!$A$87:$I$107,2,0)</f>
        <v>177</v>
      </c>
      <c r="BB23" s="12">
        <f>VLOOKUP(A23,'Données projet'!$A$87:$I$107,9,0)</f>
        <v>14.1</v>
      </c>
      <c r="BC23" s="12">
        <f t="array" ref="BC23">INDEX(BB:BB,MIN(IF(ISNUMBER(BB23:BB219),ROW(BB23:BB219),"")))</f>
        <v>14.1</v>
      </c>
      <c r="BD23" s="12">
        <f>IF('Données projet'!$A$88&gt;35,BD22+BC23-BL22,IF(A23&lt;'Données projet'!$A$88,$BA$205^A23,IF(A23='Données projet'!$A$88,'Données projet'!$B$88,BD22+BC23-BL22)))</f>
        <v>176.99999999999997</v>
      </c>
      <c r="BE23" s="13">
        <f>BD23*VLOOKUP('Données projet'!$B$11,Paramètres!$A$1:$I$89,3,0)*VLOOKUP('Données projet'!$B$11,Paramètres!$A$1:$I$89,5,0)</f>
        <v>96.641999999999996</v>
      </c>
      <c r="BF23" s="13">
        <f t="shared" si="37"/>
        <v>26.160416982548217</v>
      </c>
      <c r="BG23" s="20">
        <f t="shared" si="7"/>
        <v>213.88087624460479</v>
      </c>
      <c r="BH23" s="59">
        <f t="shared" si="8"/>
        <v>507.21420957793811</v>
      </c>
      <c r="BI23" s="59">
        <f ca="1">AVERAGE(OFFSET($BH$3,0,0,'Données projet'!$E$11+1,1))-AVERAGE(OFFSET($H$3,0,0,'Données projet'!$E$11+1,1))</f>
        <v>210.04871822652808</v>
      </c>
      <c r="BJ23" s="59">
        <f t="shared" si="38"/>
        <v>250.17540614049324</v>
      </c>
      <c r="BK23" s="15">
        <f>IF(ISNA(VLOOKUP(A23,'Données projet'!$A$87:$I$107,3,0)),0,VLOOKUP(A23,'Données projet'!$A$87:$I$107,3,0))</f>
        <v>1</v>
      </c>
      <c r="BL23" s="15">
        <f>IF(ISNA(VLOOKUP(A23,'Données projet'!$A$87:$I$107,4,0)),0,VLOOKUP(A23,'Données projet'!$A$87:$I$107,4,0))</f>
        <v>81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0.3</v>
      </c>
      <c r="BO23" s="16">
        <f>IF(ISNA(VLOOKUP(A23,'Données projet'!$A$87:$I$107,7,0)),0%,VLOOKUP(A23,'Données projet'!$A$87:$I$107,7,0))</f>
        <v>0.5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17.531291645290491</v>
      </c>
      <c r="BR23" s="21">
        <f>EXP(-LN(2)/2)*BR22+(1-EXP(-LN(2)/2))/(LN(2)/2)*BL23*BO23*VLOOKUP('Données projet'!$B$11,Paramètres!$A$1:$I$89,3,0)*0.475*44/12</f>
        <v>25.037052795202737</v>
      </c>
      <c r="BS23" s="22">
        <f t="shared" si="9"/>
        <v>42.568344440493227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>
        <f>VLOOKUP(A23,'Données projet'!$A$113:$I$133,2,0)</f>
        <v>137</v>
      </c>
      <c r="BW23" s="12">
        <f>VLOOKUP(A23,'Données projet'!$A$113:$I$133,9,0)</f>
        <v>11.4</v>
      </c>
      <c r="BX23" s="12">
        <f t="array" ref="BX23">INDEX(BW:BW,MIN(IF(ISNUMBER(BW23:BW219),ROW(BW23:BW219),"")))</f>
        <v>11.4</v>
      </c>
      <c r="BY23" s="12">
        <f>IF('Données projet'!$A$114&gt;35,BY22+BX23-CG22,IF(A23&lt;'Données projet'!$A$114,$BV$205^A23,IF(A23='Données projet'!$A$114,'Données projet'!$B$114,BY22+BX23-CG22)))</f>
        <v>137.00000000000003</v>
      </c>
      <c r="BZ23" s="13">
        <f>BY23*VLOOKUP('Données projet'!$B$12,Paramètres!$A$1:$I$89,3,0)*VLOOKUP('Données projet'!$B$12,Paramètres!$A$1:$I$89,5,0)</f>
        <v>74.802000000000021</v>
      </c>
      <c r="CA23" s="13">
        <f t="shared" si="39"/>
        <v>20.861319623408168</v>
      </c>
      <c r="CB23" s="20">
        <f t="shared" si="10"/>
        <v>166.61361501076925</v>
      </c>
      <c r="CC23" s="59">
        <f t="shared" si="11"/>
        <v>459.94694834410257</v>
      </c>
      <c r="CD23" s="59">
        <f ca="1">AVERAGE(OFFSET($CC$3,0,0,'Données projet'!$E$12+1,1))-AVERAGE(OFFSET($H$3,0,0,'Données projet'!$E$12+1,1))</f>
        <v>168.72306536277267</v>
      </c>
      <c r="CE23" s="59">
        <f t="shared" si="40"/>
        <v>203.35476578922339</v>
      </c>
      <c r="CF23" s="15">
        <f>IF(ISNA(VLOOKUP(A23,'Données projet'!$A$113:$I$133,3,0)),0,VLOOKUP(A23,'Données projet'!$A$113:$I$133,3,0))</f>
        <v>1</v>
      </c>
      <c r="CG23" s="15">
        <f>IF(ISNA(VLOOKUP(A23,'Données projet'!$A$113:$I$133,4,0)),0,VLOOKUP(A23,'Données projet'!$A$113:$I$133,4,0))</f>
        <v>57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0.3</v>
      </c>
      <c r="CJ23" s="16">
        <f>IF(ISNA(VLOOKUP(A23,'Données projet'!$A$113:$I$133,7,0)),0%,VLOOKUP(A23,'Données projet'!$A$113:$I$133,7,0))</f>
        <v>0.5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12.336834861500714</v>
      </c>
      <c r="CM23" s="21">
        <f>EXP(-LN(2)/2)*CM22+(1-EXP(-LN(2)/2))/(LN(2)/2)*CG23*CJ23*VLOOKUP('Données projet'!$B$12,Paramètres!$A$1:$I$89,3,0)*0.475*44/12</f>
        <v>17.618666781809335</v>
      </c>
      <c r="CN23" s="22">
        <f t="shared" si="12"/>
        <v>29.95550164331005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5.6730769230769225</v>
      </c>
      <c r="CT23" s="12">
        <f>IF('Données projet'!$A$140&gt;35,CT22+CS23-DB22,IF(A23&lt;'Données projet'!$A$140,$CQ$205^A23,IF(A23='Données projet'!$A$140,'Données projet'!$B$140,CT22+CS23-DB22)))</f>
        <v>113.46153846153841</v>
      </c>
      <c r="CU23" s="17">
        <f>CT23*VLOOKUP('Données projet'!$B$13,Paramètres!$A$1:$I$89,3,0)*VLOOKUP('Données projet'!$B$13,Paramètres!$A$1:$I$89,5,0)</f>
        <v>54.574999999999974</v>
      </c>
      <c r="CV23" s="13">
        <f t="shared" si="41"/>
        <v>15.789185874770936</v>
      </c>
      <c r="CW23" s="20">
        <f t="shared" si="13"/>
        <v>122.55095706522599</v>
      </c>
      <c r="CX23" s="59">
        <f t="shared" si="14"/>
        <v>415.8842903985593</v>
      </c>
      <c r="CY23" s="59">
        <f ca="1">AVERAGE(OFFSET($CX$3,0,0,'Données projet'!$E$13+1,1))-AVERAGE(OFFSET($H$3,0,0,'Données projet'!$E$13+1,1))</f>
        <v>304.15237106473313</v>
      </c>
      <c r="CZ23" s="59">
        <f t="shared" si="42"/>
        <v>120.85458928724336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>
        <f>EXP(-LN(2)/35)*DF22+(1-EXP(-LN(2)/35))/(LN(2)/35)*DB23*DC23*VLOOKUP('Données projet'!$B$13,Paramètres!$A$1:$I$89,3,0)*0.475*44/12</f>
        <v>0</v>
      </c>
      <c r="DG23" s="21">
        <f>EXP(-LN(2)/25)*DG22+(1-EXP(-LN(2)/25))/(LN(2)/25)*Calculateur!DB23*Calculateur!DD23*VLOOKUP('Données projet'!$B$13,Paramètres!$A$1:$I$89,3,0)*0.475*44/12</f>
        <v>0</v>
      </c>
      <c r="DH23" s="21">
        <f>EXP(-LN(2)/2)*DH22+(1-EXP(-LN(2)/2))/(LN(2)/2)*DB23*DE23*VLOOKUP('Données projet'!$B$13,Paramètres!$A$1:$I$89,3,0)*0.475*44/12</f>
        <v>0</v>
      </c>
      <c r="DI23" s="22">
        <f t="shared" si="15"/>
        <v>0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3.8846153846153846</v>
      </c>
      <c r="DO23" s="12">
        <f>IF('Données projet'!$A$166&gt;35,DO22+DN23-DW22,IF(A23&lt;'Données projet'!$A$166,$DL$205^A23,IF(A23='Données projet'!$A$166,'Données projet'!$B$166,DO22+DN23-DW22)))</f>
        <v>77.692307692307708</v>
      </c>
      <c r="DP23" s="17">
        <f>DO23*VLOOKUP('Données projet'!$B$14,Paramètres!$A$1:$I$89,3,0)*VLOOKUP('Données projet'!$B$14,Paramètres!$A$1:$I$89,5,0)</f>
        <v>37.370000000000012</v>
      </c>
      <c r="DQ23" s="13">
        <f t="shared" si="43"/>
        <v>11.298829993442473</v>
      </c>
      <c r="DR23" s="20">
        <f t="shared" si="16"/>
        <v>84.764878905245652</v>
      </c>
      <c r="DS23" s="59">
        <f t="shared" si="17"/>
        <v>378.09821223857898</v>
      </c>
      <c r="DT23" s="59">
        <f ca="1">AVERAGE(OFFSET($DS$3,0,0,'Données projet'!$E$14+1,1))-AVERAGE(OFFSET($H$3,0,0,'Données projet'!$E$14+1,1))</f>
        <v>91.053246648097399</v>
      </c>
      <c r="DU23" s="59">
        <f t="shared" si="44"/>
        <v>64.716270355703955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>
        <f>EXP(-LN(2)/35)*EA22+(1-EXP(-LN(2)/35))/(LN(2)/35)*DW23*DX23*VLOOKUP('Données projet'!$B$14,Paramètres!$A$1:$I$89,3,0)*0.475*44/12</f>
        <v>0</v>
      </c>
      <c r="EB23" s="21">
        <f>EXP(-LN(2)/25)*EB22+(1-EXP(-LN(2)/25))/(LN(2)/25)*Calculateur!DW23*Calculateur!DY23*VLOOKUP('Données projet'!$B$14,Paramètres!$A$1:$I$89,3,0)*0.475*44/12</f>
        <v>0</v>
      </c>
      <c r="EC23" s="21">
        <f>EXP(-LN(2)/2)*EC22+(1-EXP(-LN(2)/2))/(LN(2)/2)*DW23*DZ23*VLOOKUP('Données projet'!$B$14,Paramètres!$A$1:$I$89,3,0)*0.475*44/12</f>
        <v>0</v>
      </c>
      <c r="ED23" s="22">
        <f t="shared" si="18"/>
        <v>0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>
        <f>VLOOKUP(A23,'Données projet'!$A$191:$I$211,2,0)</f>
        <v>106</v>
      </c>
      <c r="EH23" s="12">
        <f>VLOOKUP(A23,'Données projet'!$A$191:$I$211,9,0)</f>
        <v>5.3</v>
      </c>
      <c r="EI23" s="12">
        <f t="array" ref="EI23">INDEX(EH:EH,MIN(IF(ISNUMBER(EH23:EH219),ROW(EH23:EH219),"")))</f>
        <v>5.3</v>
      </c>
      <c r="EJ23" s="12">
        <f>IF('Données projet'!$A$192&gt;35,EJ22+EI23-ER22,IF(A23&lt;'Données projet'!$A$192,$EG$205^A23,IF(A23='Données projet'!$A$192,'Données projet'!$B$192,EJ22+EI23-ER22)))</f>
        <v>106</v>
      </c>
      <c r="EK23" s="17">
        <f>EJ23*VLOOKUP('Données projet'!$B$15,Paramètres!$A$1:$I$89,3,0)*VLOOKUP('Données projet'!$B$15,Paramètres!$A$1:$I$89,5,0)</f>
        <v>63.388000000000012</v>
      </c>
      <c r="EL23" s="13">
        <f t="shared" si="45"/>
        <v>18.022104085041263</v>
      </c>
      <c r="EM23" s="20">
        <f t="shared" si="19"/>
        <v>141.78926461478019</v>
      </c>
      <c r="EN23" s="59">
        <f t="shared" si="20"/>
        <v>435.12259794811348</v>
      </c>
      <c r="EO23" s="59">
        <f ca="1">AVERAGE(OFFSET($EN$3,0,0,'Données projet'!$E$15+1,1))-AVERAGE(OFFSET($H$3,0,0,'Données projet'!$E$15+1,1))</f>
        <v>316.58509520829671</v>
      </c>
      <c r="EP23" s="59">
        <f t="shared" si="46"/>
        <v>240.71332110643596</v>
      </c>
      <c r="EQ23" s="15">
        <f>IF(ISNA(VLOOKUP(A23,'Données projet'!$A$191:$I$211,3,0)),0,VLOOKUP(A23,'Données projet'!$A$191:$I$211,3,0))</f>
        <v>1</v>
      </c>
      <c r="ER23" s="15">
        <f>IF(ISNA(VLOOKUP(A23,'Données projet'!$A$191:$I$211,4,0)),0,VLOOKUP(A23,'Données projet'!$A$191:$I$211,4,0))</f>
        <v>29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0.22500000000000001</v>
      </c>
      <c r="EU23" s="16">
        <f>IF(ISNA(VLOOKUP(A23,'Données projet'!$A$191:$I$211,7,0)),0%,VLOOKUP(A23,'Données projet'!$A$191:$I$211,7,0))</f>
        <v>0.5</v>
      </c>
      <c r="EV23" s="21">
        <f>EXP(-LN(2)/35)*EV22+(1-EXP(-LN(2)/35))/(LN(2)/35)*ER23*ES23*VLOOKUP('Données projet'!$B$15,Paramètres!$A$1:$I$89,3,0)*0.475*44/12</f>
        <v>0</v>
      </c>
      <c r="EW23" s="21">
        <f>EXP(-LN(2)/25)*EW22+(1-EXP(-LN(2)/25))/(LN(2)/25)*Calculateur!ER23*Calculateur!ET23*VLOOKUP('Données projet'!$B$15,Paramètres!$A$1:$I$89,3,0)*0.475*44/12</f>
        <v>5.1558075517675315</v>
      </c>
      <c r="EX23" s="21">
        <f>EXP(-LN(2)/2)*EX22+(1-EXP(-LN(2)/2))/(LN(2)/2)*ER23*EU23*VLOOKUP('Données projet'!$B$15,Paramètres!$A$1:$I$89,3,0)*0.475*44/12</f>
        <v>9.8175862518519867</v>
      </c>
      <c r="EY23" s="22">
        <f t="shared" si="21"/>
        <v>14.973393803619519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>
        <f>VLOOKUP(A23,'Données projet'!$A$217:$I$237,2,0)</f>
        <v>87</v>
      </c>
      <c r="FC23" s="12">
        <f>VLOOKUP(A23,'Données projet'!$A$217:$I$237,9,0)</f>
        <v>4.3499999999999996</v>
      </c>
      <c r="FD23" s="12">
        <f t="array" ref="FD23">INDEX(FC:FC,MIN(IF(ISNUMBER(FC23:FC219),ROW(FC23:FC219),"")))</f>
        <v>4.3499999999999996</v>
      </c>
      <c r="FE23" s="12">
        <f>IF('Données projet'!$A$218&gt;35,FE22+FD23-FM22,IF(A23&lt;'Données projet'!$A$218,$FB$205^A23,IF(A23='Données projet'!$A$218,'Données projet'!$B$218,FE22+FD23-FM22)))</f>
        <v>87</v>
      </c>
      <c r="FF23" s="17">
        <f>FE23*VLOOKUP('Données projet'!$B$16,Paramètres!$A$1:$I$89,3,0)*VLOOKUP('Données projet'!$B$16,Paramètres!$A$1:$I$89,5,0)</f>
        <v>52.026000000000003</v>
      </c>
      <c r="FG23" s="13">
        <f t="shared" si="47"/>
        <v>15.135767316300118</v>
      </c>
      <c r="FH23" s="20">
        <f t="shared" si="22"/>
        <v>116.97341140922269</v>
      </c>
      <c r="FI23" s="59">
        <f t="shared" si="23"/>
        <v>410.30674474255602</v>
      </c>
      <c r="FJ23" s="59">
        <f ca="1">AVERAGE(OFFSET($FI$3,0,0,'Données projet'!$E$16+1,1))-AVERAGE(OFFSET($H$3,0,0,'Données projet'!$E$16+1,1))</f>
        <v>270.30888762640245</v>
      </c>
      <c r="FK23" s="59">
        <f t="shared" si="48"/>
        <v>202.23783851977691</v>
      </c>
      <c r="FL23" s="15">
        <f>IF(ISNA(VLOOKUP(A23,'Données projet'!$A$217:$I$237,3,0)),0,VLOOKUP(A23,'Données projet'!$A$217:$I$237,3,0))</f>
        <v>1</v>
      </c>
      <c r="FM23" s="15">
        <f>IF(ISNA(VLOOKUP(A23,'Données projet'!$A$217:$I$237,4,0)),0,VLOOKUP(A23,'Données projet'!$A$217:$I$237,4,0))</f>
        <v>20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0.22500000000000001</v>
      </c>
      <c r="FP23" s="16">
        <f>IF(ISNA(VLOOKUP(A23,'Données projet'!$A$217:$I$237,7,0)),0%,VLOOKUP(A23,'Données projet'!$A$217:$I$237,7,0))</f>
        <v>0.5</v>
      </c>
      <c r="FQ23" s="21">
        <f>EXP(-LN(2)/35)*FQ22+(1-EXP(-LN(2)/35))/(LN(2)/35)*FM23*FN23*VLOOKUP('Données projet'!$B$16,Paramètres!$A$1:$I$89,3,0)*0.475*44/12</f>
        <v>0</v>
      </c>
      <c r="FR23" s="21">
        <f>EXP(-LN(2)/25)*FR22+(1-EXP(-LN(2)/25))/(LN(2)/25)*Calculateur!FM23*Calculateur!FO23*VLOOKUP('Données projet'!$B$16,Paramètres!$A$1:$I$89,3,0)*0.475*44/12</f>
        <v>3.5557293460465722</v>
      </c>
      <c r="FS23" s="21">
        <f>EXP(-LN(2)/2)*FS22+(1-EXP(-LN(2)/2))/(LN(2)/2)*FM23*FP23*VLOOKUP('Données projet'!$B$16,Paramètres!$A$1:$I$89,3,0)*0.475*44/12</f>
        <v>6.7707491392082657</v>
      </c>
      <c r="FT23" s="22">
        <f t="shared" si="24"/>
        <v>10.326478485254839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>
        <f>VLOOKUP(A23,'Données projet'!$A$243:$I$263,2,0)</f>
        <v>134</v>
      </c>
      <c r="FX23" s="12">
        <f>VLOOKUP(A23,'Données projet'!$A$243:$I$263,9,0)</f>
        <v>12.3</v>
      </c>
      <c r="FY23" s="12">
        <f t="array" ref="FY23">INDEX(FX:FX,MIN(IF(ISNUMBER(FX23:FX219),ROW(FX23:FX219),"")))</f>
        <v>12.3</v>
      </c>
      <c r="FZ23" s="12">
        <f>IF('Données projet'!$A$244&gt;35,FZ22+FY23-GH22,IF(A23&lt;'Données projet'!$A$244,$FW$205^A23,IF(A23='Données projet'!$A$244,'Données projet'!$B$244,FZ22+FY23-GH22)))</f>
        <v>134</v>
      </c>
      <c r="GA23" s="17">
        <f>FZ23*VLOOKUP('Données projet'!$B$17,Paramètres!$A$1:$I$89,3,0)*VLOOKUP('Données projet'!$B$17,Paramètres!$A$1:$I$89,5,0)</f>
        <v>106.61040000000001</v>
      </c>
      <c r="GB23" s="13">
        <f t="shared" si="49"/>
        <v>28.530919434405451</v>
      </c>
      <c r="GC23" s="20">
        <f t="shared" si="25"/>
        <v>235.3711313482562</v>
      </c>
      <c r="GD23" s="59">
        <f t="shared" si="26"/>
        <v>528.70446468158957</v>
      </c>
      <c r="GE23" s="59">
        <f ca="1">AVERAGE(OFFSET($GD$3,0,0,'Données projet'!$E$17+1,1))-AVERAGE(OFFSET($H$3,0,0,'Données projet'!$E$17+1,1))</f>
        <v>260.20517190557814</v>
      </c>
      <c r="GF23" s="59">
        <f t="shared" si="50"/>
        <v>307.22009971147133</v>
      </c>
      <c r="GG23" s="15">
        <f>IF(ISNA(VLOOKUP(A23,'Données projet'!$A$243:$I$263,3,0)),0,VLOOKUP(A23,'Données projet'!$A$243:$I$263,3,0))</f>
        <v>1</v>
      </c>
      <c r="GH23" s="15">
        <f>IF(ISNA(VLOOKUP(A23,'Données projet'!$A$243:$I$263,4,0)),0,VLOOKUP(A23,'Données projet'!$A$243:$I$263,4,0))</f>
        <v>67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0.13250000000000001</v>
      </c>
      <c r="GK23" s="16">
        <f>IF(ISNA(VLOOKUP(A23,'Données projet'!$A$243:$I$263,7,0)),0%,VLOOKUP(A23,'Données projet'!$A$243:$I$263,7,0))</f>
        <v>0.25</v>
      </c>
      <c r="GL23" s="21">
        <f>EXP(-LN(2)/35)*GL22+(1-EXP(-LN(2)/35))/(LN(2)/35)*GH23*GI23*VLOOKUP('Données projet'!$B$17,Paramètres!$A$1:$I$89,3,0)*0.475*44/12</f>
        <v>0</v>
      </c>
      <c r="GM23" s="21">
        <f>EXP(-LN(2)/25)*GM22+(1-EXP(-LN(2)/25))/(LN(2)/25)*Calculateur!GH23*Calculateur!GJ23*VLOOKUP('Données projet'!$B$17,Paramètres!$A$1:$I$89,3,0)*0.475*44/12</f>
        <v>7.7771272982896171</v>
      </c>
      <c r="GN23" s="21">
        <f>EXP(-LN(2)/2)*GN22+(1-EXP(-LN(2)/2))/(LN(2)/2)*GH23*GK23*VLOOKUP('Données projet'!$B$17,Paramètres!$A$1:$I$89,3,0)*0.475*44/12</f>
        <v>12.573722722105785</v>
      </c>
      <c r="GO23" s="21">
        <f t="shared" si="27"/>
        <v>20.350850020395402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>
        <f>VLOOKUP(A23,'Données projet'!$A$269:$I$289,2,0)</f>
        <v>95</v>
      </c>
      <c r="GS23" s="12">
        <f>VLOOKUP(A23,'Données projet'!$A$269:$I$289,9,0)</f>
        <v>4.75</v>
      </c>
      <c r="GT23" s="12">
        <f t="array" ref="GT23">INDEX(GS:GS,MIN(IF(ISNUMBER(GS23:GS219),ROW(GS23:GS219),"")))</f>
        <v>4.75</v>
      </c>
      <c r="GU23" s="12">
        <f>IF('Données projet'!$A$270&gt;35,GU22+GT23-HC22,IF(A23&lt;'Données projet'!$A$270,$GR$205^A23,IF(A23='Données projet'!$A$270,'Données projet'!$B$270,GU22+GT23-HC22)))</f>
        <v>95</v>
      </c>
      <c r="GV23" s="17">
        <f>GU23*VLOOKUP('Données projet'!$B$18,Paramètres!$A$1:$I$89,3,0)*VLOOKUP('Données projet'!$B$18,Paramètres!$A$1:$I$89,5,0)</f>
        <v>75.582000000000008</v>
      </c>
      <c r="GW23" s="13">
        <f t="shared" si="51"/>
        <v>21.053414706764137</v>
      </c>
      <c r="GX23" s="20">
        <f t="shared" si="28"/>
        <v>168.30668061428091</v>
      </c>
      <c r="GY23" s="59">
        <f t="shared" si="29"/>
        <v>461.64001394761419</v>
      </c>
      <c r="GZ23" s="59">
        <f ca="1">AVERAGE(OFFSET($GY$3,0,0,'Données projet'!$E$18+1,1))-AVERAGE(OFFSET($H$3,0,0,'Données projet'!$E$18+1,1))</f>
        <v>199.58763537752952</v>
      </c>
      <c r="HA23" s="59">
        <f t="shared" si="52"/>
        <v>242.62852778451929</v>
      </c>
      <c r="HB23" s="15">
        <f>IF(ISNA(VLOOKUP(A23,'Données projet'!$A$269:$I$289,3,0)),0,VLOOKUP(A23,'Données projet'!$A$269:$I$289,3,0))</f>
        <v>1</v>
      </c>
      <c r="HC23" s="15">
        <f>IF(ISNA(VLOOKUP(A23,'Données projet'!$A$269:$I$289,4,0)),0,VLOOKUP(A23,'Données projet'!$A$269:$I$289,4,0))</f>
        <v>43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0.13250000000000001</v>
      </c>
      <c r="HF23" s="16">
        <f>IF(ISNA(VLOOKUP(A23,'Données projet'!$A$269:$I$289,7,0)),0%,VLOOKUP(A23,'Données projet'!$A$269:$I$289,7,0))</f>
        <v>0.25</v>
      </c>
      <c r="HG23" s="21">
        <f>EXP(-LN(2)/35)*HG22+(1-EXP(-LN(2)/35))/(LN(2)/35)*HC23*HD23*VLOOKUP('Données projet'!$B$18,Paramètres!$A$1:$I$89,3,0)*0.475*44/12</f>
        <v>0</v>
      </c>
      <c r="HH23" s="21">
        <f>EXP(-LN(2)/25)*HH22+(1-EXP(-LN(2)/25))/(LN(2)/25)*Calculateur!HC23*Calculateur!HE23*VLOOKUP('Données projet'!$B$18,Paramètres!$A$1:$I$89,3,0)*0.475*44/12</f>
        <v>4.9912906541261721</v>
      </c>
      <c r="HI23" s="21">
        <f>EXP(-LN(2)/2)*HI22+(1-EXP(-LN(2)/2))/(LN(2)/2)*HC23*HF23*VLOOKUP('Données projet'!$B$18,Paramètres!$A$1:$I$89,3,0)*0.475*44/12</f>
        <v>8.0697026425455061</v>
      </c>
      <c r="HJ23" s="22">
        <f t="shared" si="30"/>
        <v>13.060993296671679</v>
      </c>
    </row>
    <row r="24" spans="1:218" x14ac:dyDescent="0.2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18.673200000000001</v>
      </c>
      <c r="D24" s="11">
        <f t="shared" si="32"/>
        <v>6.1206979954107776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191.3914932979078</v>
      </c>
      <c r="H24" s="67">
        <f t="shared" si="1"/>
        <v>336.51603900867377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20.658974358974358</v>
      </c>
      <c r="N24" s="13">
        <f>IF('Données projet'!$A$36&gt;35,N23+M24-V23,IF(A24&lt;'Données projet'!$A$36,$K$205^A24,IF(A24='Données projet'!$A$36,'Données projet'!$B$36,N23+M24-V23)))</f>
        <v>175.58461538461535</v>
      </c>
      <c r="O24" s="13">
        <f>N24*VLOOKUP('Données projet'!$B$9,Paramètres!$A$1:$I$89,3,0)*VLOOKUP('Données projet'!$B$9,Paramètres!$A$1:$I$89,5,0)</f>
        <v>98.15179999999998</v>
      </c>
      <c r="P24" s="13">
        <f t="shared" si="33"/>
        <v>26.52121247620833</v>
      </c>
      <c r="Q24" s="20">
        <f t="shared" si="2"/>
        <v>217.13883006272945</v>
      </c>
      <c r="R24" s="59">
        <f t="shared" si="0"/>
        <v>510.4721633960628</v>
      </c>
      <c r="S24" s="59">
        <f ca="1">AVERAGE(OFFSET($R$3,0,0,'Données projet'!$E$9+1,1))-AVERAGE(OFFSET($H$3,0,0,'Données projet'!$E$9+1,1))</f>
        <v>255.5374979188561</v>
      </c>
      <c r="T24" s="59">
        <f t="shared" si="34"/>
        <v>343.10418468620901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12.95008774266787</v>
      </c>
      <c r="AB24" s="21">
        <f>EXP(-LN(2)/2)*AB23+(1-EXP(-LN(2)/2))/(LN(2)/2)*V24*Y24*VLOOKUP('Données projet'!$B$9,Paramètres!$A$1:$I$89,3,0)*0.475*44/12</f>
        <v>7.7519179693139169</v>
      </c>
      <c r="AC24" s="22">
        <f t="shared" si="3"/>
        <v>20.702005711981787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>
        <f>VLOOKUP(A24,'Données projet'!$A$61:$I$81,2,0)</f>
        <v>180.06153846153848</v>
      </c>
      <c r="AG24" s="12">
        <f>VLOOKUP(A24,'Données projet'!$A$61:$I$81,9,0)</f>
        <v>15.942307692307708</v>
      </c>
      <c r="AH24" s="12">
        <f t="array" ref="AH24">INDEX(AG:AG,MIN(IF(ISNUMBER(AG24:AG220),ROW(AG24:AG220),"")))</f>
        <v>15.942307692307708</v>
      </c>
      <c r="AI24" s="13">
        <f>IF('Données projet'!$A$62&gt;35,AI23+AH24-AQ23,IF(A24&lt;'Données projet'!$A$62,$AF$205^A24,IF(A24='Données projet'!$A$62,'Données projet'!$B$62,AI23+AH24-AQ23)))</f>
        <v>180.06153846153848</v>
      </c>
      <c r="AJ24" s="13">
        <f>AI24*VLOOKUP('Données projet'!$B$10,Paramètres!$A$1:$I$89,3,0)*VLOOKUP('Données projet'!$B$10,Paramètres!$A$1:$I$89,5,0)</f>
        <v>100.65440000000001</v>
      </c>
      <c r="AK24" s="13">
        <f t="shared" si="35"/>
        <v>27.117840091618859</v>
      </c>
      <c r="AL24" s="20">
        <f t="shared" si="4"/>
        <v>222.53665149290285</v>
      </c>
      <c r="AM24" s="59">
        <f t="shared" si="5"/>
        <v>515.86998482623619</v>
      </c>
      <c r="AN24" s="59">
        <f ca="1">AVERAGE(OFFSET($AM$3,0,0,'Données projet'!$E$10+1,1))-AVERAGE(OFFSET($H$3,0,0,'Données projet'!$E$10+1,1))</f>
        <v>224.7049802939942</v>
      </c>
      <c r="AO24" s="59">
        <f t="shared" si="36"/>
        <v>203.48513862195352</v>
      </c>
      <c r="AP24" s="15">
        <f>IF(ISNA(VLOOKUP(A24,'Données projet'!$A$61:$I$81,3,0)),0,VLOOKUP(A24,'Données projet'!$A$61:$I$81,3,0))</f>
        <v>1</v>
      </c>
      <c r="AQ24" s="15">
        <f>IF(ISNA(VLOOKUP(A24,'Données projet'!$A$61:$I$81,4,0)),0,VLOOKUP(A24,'Données projet'!$A$61:$I$81,4,0))</f>
        <v>61.169230769230765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0.27500000000000002</v>
      </c>
      <c r="AT24" s="16">
        <f>IF(ISNA(VLOOKUP(A24,'Données projet'!$A$61:$I$81,7,0)),0%,VLOOKUP(A24,'Données projet'!$A$61:$I$81,7,0))</f>
        <v>0.5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12.424889043448148</v>
      </c>
      <c r="AW24" s="21">
        <f>EXP(-LN(2)/2)*AW23+(1-EXP(-LN(2)/2))/(LN(2)/2)*AQ24*AT24*VLOOKUP('Données projet'!$B$10,Paramètres!$A$1:$I$89,3,0)*0.475*44/12</f>
        <v>19.357549144350479</v>
      </c>
      <c r="AX24" s="21">
        <f t="shared" si="6"/>
        <v>31.782438187798626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16.399999999999999</v>
      </c>
      <c r="BD24" s="12">
        <f>IF('Données projet'!$A$88&gt;35,BD23+BC24-BL23,IF(A24&lt;'Données projet'!$A$88,$BA$205^A24,IF(A24='Données projet'!$A$88,'Données projet'!$B$88,BD23+BC24-BL23)))</f>
        <v>112.39999999999998</v>
      </c>
      <c r="BE24" s="13">
        <f>BD24*VLOOKUP('Données projet'!$B$11,Paramètres!$A$1:$I$89,3,0)*VLOOKUP('Données projet'!$B$11,Paramètres!$A$1:$I$89,5,0)</f>
        <v>61.370399999999989</v>
      </c>
      <c r="BF24" s="13">
        <f t="shared" si="37"/>
        <v>17.514292424921972</v>
      </c>
      <c r="BG24" s="20">
        <f t="shared" si="7"/>
        <v>137.39083930673908</v>
      </c>
      <c r="BH24" s="59">
        <f t="shared" si="8"/>
        <v>430.72417264007242</v>
      </c>
      <c r="BI24" s="59">
        <f ca="1">AVERAGE(OFFSET($BH$3,0,0,'Données projet'!$E$11+1,1))-AVERAGE(OFFSET($H$3,0,0,'Données projet'!$E$11+1,1))</f>
        <v>210.04871822652808</v>
      </c>
      <c r="BJ24" s="59">
        <f t="shared" si="38"/>
        <v>250.17540614049324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17.051897553319463</v>
      </c>
      <c r="BR24" s="21">
        <f>EXP(-LN(2)/2)*BR23+(1-EXP(-LN(2)/2))/(LN(2)/2)*BL24*BO24*VLOOKUP('Données projet'!$B$11,Paramètres!$A$1:$I$89,3,0)*0.475*44/12</f>
        <v>17.703869812413462</v>
      </c>
      <c r="BS24" s="22">
        <f t="shared" si="9"/>
        <v>34.755767365732922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14</v>
      </c>
      <c r="BY24" s="12">
        <f>IF('Données projet'!$A$114&gt;35,BY23+BX24-CG23,IF(A24&lt;'Données projet'!$A$114,$BV$205^A24,IF(A24='Données projet'!$A$114,'Données projet'!$B$114,BY23+BX24-CG23)))</f>
        <v>94.000000000000028</v>
      </c>
      <c r="BZ24" s="13">
        <f>BY24*VLOOKUP('Données projet'!$B$12,Paramètres!$A$1:$I$89,3,0)*VLOOKUP('Données projet'!$B$12,Paramètres!$A$1:$I$89,5,0)</f>
        <v>51.324000000000019</v>
      </c>
      <c r="CA24" s="13">
        <f t="shared" si="39"/>
        <v>14.955166599500037</v>
      </c>
      <c r="CB24" s="20">
        <f t="shared" si="10"/>
        <v>115.43621516079592</v>
      </c>
      <c r="CC24" s="59">
        <f t="shared" si="11"/>
        <v>408.76954849412925</v>
      </c>
      <c r="CD24" s="59">
        <f ca="1">AVERAGE(OFFSET($CC$3,0,0,'Données projet'!$E$12+1,1))-AVERAGE(OFFSET($H$3,0,0,'Données projet'!$E$12+1,1))</f>
        <v>168.72306536277267</v>
      </c>
      <c r="CE24" s="59">
        <f t="shared" si="40"/>
        <v>203.35476578922339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11.999483463447028</v>
      </c>
      <c r="CM24" s="21">
        <f>EXP(-LN(2)/2)*CM23+(1-EXP(-LN(2)/2))/(LN(2)/2)*CG24*CJ24*VLOOKUP('Données projet'!$B$12,Paramètres!$A$1:$I$89,3,0)*0.475*44/12</f>
        <v>12.458278756883548</v>
      </c>
      <c r="CN24" s="22">
        <f t="shared" si="12"/>
        <v>24.457762220330576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5.6730769230769225</v>
      </c>
      <c r="CT24" s="12">
        <f>IF('Données projet'!$A$140&gt;35,CT23+CS24-DB23,IF(A24&lt;'Données projet'!$A$140,$CQ$205^A24,IF(A24='Données projet'!$A$140,'Données projet'!$B$140,CT23+CS24-DB23)))</f>
        <v>119.13461538461533</v>
      </c>
      <c r="CU24" s="17">
        <f>CT24*VLOOKUP('Données projet'!$B$13,Paramètres!$A$1:$I$89,3,0)*VLOOKUP('Données projet'!$B$13,Paramètres!$A$1:$I$89,5,0)</f>
        <v>57.30374999999998</v>
      </c>
      <c r="CV24" s="13">
        <f t="shared" si="41"/>
        <v>16.484758989889244</v>
      </c>
      <c r="CW24" s="20">
        <f t="shared" si="13"/>
        <v>128.51498649072371</v>
      </c>
      <c r="CX24" s="59">
        <f t="shared" si="14"/>
        <v>421.84831982405706</v>
      </c>
      <c r="CY24" s="59">
        <f ca="1">AVERAGE(OFFSET($CX$3,0,0,'Données projet'!$E$13+1,1))-AVERAGE(OFFSET($H$3,0,0,'Données projet'!$E$13+1,1))</f>
        <v>304.15237106473313</v>
      </c>
      <c r="CZ24" s="59">
        <f t="shared" si="42"/>
        <v>120.85458928724336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>
        <f>EXP(-LN(2)/35)*DF23+(1-EXP(-LN(2)/35))/(LN(2)/35)*DB24*DC24*VLOOKUP('Données projet'!$B$13,Paramètres!$A$1:$I$89,3,0)*0.475*44/12</f>
        <v>0</v>
      </c>
      <c r="DG24" s="21">
        <f>EXP(-LN(2)/25)*DG23+(1-EXP(-LN(2)/25))/(LN(2)/25)*Calculateur!DB24*Calculateur!DD24*VLOOKUP('Données projet'!$B$13,Paramètres!$A$1:$I$89,3,0)*0.475*44/12</f>
        <v>0</v>
      </c>
      <c r="DH24" s="21">
        <f>EXP(-LN(2)/2)*DH23+(1-EXP(-LN(2)/2))/(LN(2)/2)*DB24*DE24*VLOOKUP('Données projet'!$B$13,Paramètres!$A$1:$I$89,3,0)*0.475*44/12</f>
        <v>0</v>
      </c>
      <c r="DI24" s="22">
        <f t="shared" si="15"/>
        <v>0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3.8846153846153846</v>
      </c>
      <c r="DO24" s="12">
        <f>IF('Données projet'!$A$166&gt;35,DO23+DN24-DW23,IF(A24&lt;'Données projet'!$A$166,$DL$205^A24,IF(A24='Données projet'!$A$166,'Données projet'!$B$166,DO23+DN24-DW23)))</f>
        <v>81.576923076923094</v>
      </c>
      <c r="DP24" s="17">
        <f>DO24*VLOOKUP('Données projet'!$B$14,Paramètres!$A$1:$I$89,3,0)*VLOOKUP('Données projet'!$B$14,Paramètres!$A$1:$I$89,5,0)</f>
        <v>39.238500000000009</v>
      </c>
      <c r="DQ24" s="13">
        <f t="shared" si="43"/>
        <v>11.796586016967973</v>
      </c>
      <c r="DR24" s="20">
        <f t="shared" si="16"/>
        <v>88.886108146219229</v>
      </c>
      <c r="DS24" s="59">
        <f t="shared" si="17"/>
        <v>382.21944147955253</v>
      </c>
      <c r="DT24" s="59">
        <f ca="1">AVERAGE(OFFSET($DS$3,0,0,'Données projet'!$E$14+1,1))-AVERAGE(OFFSET($H$3,0,0,'Données projet'!$E$14+1,1))</f>
        <v>91.053246648097399</v>
      </c>
      <c r="DU24" s="59">
        <f t="shared" si="44"/>
        <v>64.716270355703955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>
        <f>EXP(-LN(2)/35)*EA23+(1-EXP(-LN(2)/35))/(LN(2)/35)*DW24*DX24*VLOOKUP('Données projet'!$B$14,Paramètres!$A$1:$I$89,3,0)*0.475*44/12</f>
        <v>0</v>
      </c>
      <c r="EB24" s="21">
        <f>EXP(-LN(2)/25)*EB23+(1-EXP(-LN(2)/25))/(LN(2)/25)*Calculateur!DW24*Calculateur!DY24*VLOOKUP('Données projet'!$B$14,Paramètres!$A$1:$I$89,3,0)*0.475*44/12</f>
        <v>0</v>
      </c>
      <c r="EC24" s="21">
        <f>EXP(-LN(2)/2)*EC23+(1-EXP(-LN(2)/2))/(LN(2)/2)*DW24*DZ24*VLOOKUP('Données projet'!$B$14,Paramètres!$A$1:$I$89,3,0)*0.475*44/12</f>
        <v>0</v>
      </c>
      <c r="ED24" s="22">
        <f t="shared" si="18"/>
        <v>0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15.3</v>
      </c>
      <c r="EJ24" s="12">
        <f>IF('Données projet'!$A$192&gt;35,EJ23+EI24-ER23,IF(A24&lt;'Données projet'!$A$192,$EG$205^A24,IF(A24='Données projet'!$A$192,'Données projet'!$B$192,EJ23+EI24-ER23)))</f>
        <v>92.3</v>
      </c>
      <c r="EK24" s="17">
        <f>EJ24*VLOOKUP('Données projet'!$B$15,Paramètres!$A$1:$I$89,3,0)*VLOOKUP('Données projet'!$B$15,Paramètres!$A$1:$I$89,5,0)</f>
        <v>55.195399999999999</v>
      </c>
      <c r="EL24" s="13">
        <f t="shared" si="45"/>
        <v>15.947677847278364</v>
      </c>
      <c r="EM24" s="20">
        <f t="shared" si="19"/>
        <v>123.90752725067647</v>
      </c>
      <c r="EN24" s="59">
        <f t="shared" si="20"/>
        <v>417.24086058400979</v>
      </c>
      <c r="EO24" s="59">
        <f ca="1">AVERAGE(OFFSET($EN$3,0,0,'Données projet'!$E$15+1,1))-AVERAGE(OFFSET($H$3,0,0,'Données projet'!$E$15+1,1))</f>
        <v>316.58509520829671</v>
      </c>
      <c r="EP24" s="59">
        <f t="shared" si="46"/>
        <v>240.71332110643596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>
        <f>EXP(-LN(2)/35)*EV23+(1-EXP(-LN(2)/35))/(LN(2)/35)*ER24*ES24*VLOOKUP('Données projet'!$B$15,Paramètres!$A$1:$I$89,3,0)*0.475*44/12</f>
        <v>0</v>
      </c>
      <c r="EW24" s="21">
        <f>EXP(-LN(2)/25)*EW23+(1-EXP(-LN(2)/25))/(LN(2)/25)*Calculateur!ER24*Calculateur!ET24*VLOOKUP('Données projet'!$B$15,Paramètres!$A$1:$I$89,3,0)*0.475*44/12</f>
        <v>5.0148217231323127</v>
      </c>
      <c r="EX24" s="21">
        <f>EXP(-LN(2)/2)*EX23+(1-EXP(-LN(2)/2))/(LN(2)/2)*ER24*EU24*VLOOKUP('Données projet'!$B$15,Paramètres!$A$1:$I$89,3,0)*0.475*44/12</f>
        <v>6.9420818135683602</v>
      </c>
      <c r="EY24" s="22">
        <f t="shared" si="21"/>
        <v>11.956903536700672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13.3</v>
      </c>
      <c r="FE24" s="12">
        <f>IF('Données projet'!$A$218&gt;35,FE23+FD24-FM23,IF(A24&lt;'Données projet'!$A$218,$FB$205^A24,IF(A24='Données projet'!$A$218,'Données projet'!$B$218,FE23+FD24-FM23)))</f>
        <v>80.3</v>
      </c>
      <c r="FF24" s="17">
        <f>FE24*VLOOKUP('Données projet'!$B$16,Paramètres!$A$1:$I$89,3,0)*VLOOKUP('Données projet'!$B$16,Paramètres!$A$1:$I$89,5,0)</f>
        <v>48.019400000000005</v>
      </c>
      <c r="FG24" s="13">
        <f t="shared" si="47"/>
        <v>14.10106410189413</v>
      </c>
      <c r="FH24" s="20">
        <f t="shared" si="22"/>
        <v>108.1931416441323</v>
      </c>
      <c r="FI24" s="59">
        <f t="shared" si="23"/>
        <v>401.52647497746563</v>
      </c>
      <c r="FJ24" s="59">
        <f ca="1">AVERAGE(OFFSET($FI$3,0,0,'Données projet'!$E$16+1,1))-AVERAGE(OFFSET($H$3,0,0,'Données projet'!$E$16+1,1))</f>
        <v>270.30888762640245</v>
      </c>
      <c r="FK24" s="59">
        <f t="shared" si="48"/>
        <v>202.23783851977691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>
        <f>EXP(-LN(2)/35)*FQ23+(1-EXP(-LN(2)/35))/(LN(2)/35)*FM24*FN24*VLOOKUP('Données projet'!$B$16,Paramètres!$A$1:$I$89,3,0)*0.475*44/12</f>
        <v>0</v>
      </c>
      <c r="FR24" s="21">
        <f>EXP(-LN(2)/25)*FR23+(1-EXP(-LN(2)/25))/(LN(2)/25)*Calculateur!FM24*Calculateur!FO24*VLOOKUP('Données projet'!$B$16,Paramètres!$A$1:$I$89,3,0)*0.475*44/12</f>
        <v>3.4584977400912491</v>
      </c>
      <c r="FS24" s="21">
        <f>EXP(-LN(2)/2)*FS23+(1-EXP(-LN(2)/2))/(LN(2)/2)*FM24*FP24*VLOOKUP('Données projet'!$B$16,Paramètres!$A$1:$I$89,3,0)*0.475*44/12</f>
        <v>4.7876426300471442</v>
      </c>
      <c r="FT24" s="22">
        <f t="shared" si="24"/>
        <v>8.2461403701383933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14.5</v>
      </c>
      <c r="FZ24" s="12">
        <f>IF('Données projet'!$A$244&gt;35,FZ23+FY24-GH23,IF(A24&lt;'Données projet'!$A$244,$FW$205^A24,IF(A24='Données projet'!$A$244,'Données projet'!$B$244,FZ23+FY24-GH23)))</f>
        <v>81.5</v>
      </c>
      <c r="GA24" s="17">
        <f>FZ24*VLOOKUP('Données projet'!$B$17,Paramètres!$A$1:$I$89,3,0)*VLOOKUP('Données projet'!$B$17,Paramètres!$A$1:$I$89,5,0)</f>
        <v>64.841399999999993</v>
      </c>
      <c r="GB24" s="13">
        <f t="shared" si="49"/>
        <v>18.386744053291277</v>
      </c>
      <c r="GC24" s="20">
        <f t="shared" si="25"/>
        <v>144.95568422614897</v>
      </c>
      <c r="GD24" s="59">
        <f t="shared" si="26"/>
        <v>438.28901755948232</v>
      </c>
      <c r="GE24" s="59">
        <f ca="1">AVERAGE(OFFSET($GD$3,0,0,'Données projet'!$E$17+1,1))-AVERAGE(OFFSET($H$3,0,0,'Données projet'!$E$17+1,1))</f>
        <v>260.20517190557814</v>
      </c>
      <c r="GF24" s="59">
        <f t="shared" si="50"/>
        <v>307.22009971147133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>
        <f>EXP(-LN(2)/35)*GL23+(1-EXP(-LN(2)/35))/(LN(2)/35)*GH24*GI24*VLOOKUP('Données projet'!$B$17,Paramètres!$A$1:$I$89,3,0)*0.475*44/12</f>
        <v>0</v>
      </c>
      <c r="GM24" s="21">
        <f>EXP(-LN(2)/25)*GM23+(1-EXP(-LN(2)/25))/(LN(2)/25)*Calculateur!GH24*Calculateur!GJ24*VLOOKUP('Données projet'!$B$17,Paramètres!$A$1:$I$89,3,0)*0.475*44/12</f>
        <v>7.5644613433365375</v>
      </c>
      <c r="GN24" s="21">
        <f>EXP(-LN(2)/2)*GN23+(1-EXP(-LN(2)/2))/(LN(2)/2)*GH24*GK24*VLOOKUP('Données projet'!$B$17,Paramètres!$A$1:$I$89,3,0)*0.475*44/12</f>
        <v>8.8909646015603769</v>
      </c>
      <c r="GO24" s="21">
        <f t="shared" si="27"/>
        <v>16.455425944896916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12.2</v>
      </c>
      <c r="GU24" s="12">
        <f>IF('Données projet'!$A$270&gt;35,GU23+GT24-HC23,IF(A24&lt;'Données projet'!$A$270,$GR$205^A24,IF(A24='Données projet'!$A$270,'Données projet'!$B$270,GU23+GT24-HC23)))</f>
        <v>64.2</v>
      </c>
      <c r="GV24" s="17">
        <f>GU24*VLOOKUP('Données projet'!$B$18,Paramètres!$A$1:$I$89,3,0)*VLOOKUP('Données projet'!$B$18,Paramètres!$A$1:$I$89,5,0)</f>
        <v>51.077520000000007</v>
      </c>
      <c r="GW24" s="13">
        <f t="shared" si="51"/>
        <v>14.891687648984377</v>
      </c>
      <c r="GX24" s="20">
        <f t="shared" si="28"/>
        <v>114.89636998864779</v>
      </c>
      <c r="GY24" s="59">
        <f t="shared" si="29"/>
        <v>408.22970332198111</v>
      </c>
      <c r="GZ24" s="59">
        <f ca="1">AVERAGE(OFFSET($GY$3,0,0,'Données projet'!$E$18+1,1))-AVERAGE(OFFSET($H$3,0,0,'Données projet'!$E$18+1,1))</f>
        <v>199.58763537752952</v>
      </c>
      <c r="HA24" s="59">
        <f t="shared" si="52"/>
        <v>242.62852778451929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>
        <f>EXP(-LN(2)/35)*HG23+(1-EXP(-LN(2)/35))/(LN(2)/35)*HC24*HD24*VLOOKUP('Données projet'!$B$18,Paramètres!$A$1:$I$89,3,0)*0.475*44/12</f>
        <v>0</v>
      </c>
      <c r="HH24" s="21">
        <f>EXP(-LN(2)/25)*HH23+(1-EXP(-LN(2)/25))/(LN(2)/25)*Calculateur!HC24*Calculateur!HE24*VLOOKUP('Données projet'!$B$18,Paramètres!$A$1:$I$89,3,0)*0.475*44/12</f>
        <v>4.8548035487085244</v>
      </c>
      <c r="HI24" s="21">
        <f>EXP(-LN(2)/2)*HI23+(1-EXP(-LN(2)/2))/(LN(2)/2)*HC24*HF24*VLOOKUP('Données projet'!$B$18,Paramètres!$A$1:$I$89,3,0)*0.475*44/12</f>
        <v>5.7061414607029297</v>
      </c>
      <c r="HJ24" s="22">
        <f t="shared" si="30"/>
        <v>10.560945009411455</v>
      </c>
    </row>
    <row r="25" spans="1:218" x14ac:dyDescent="0.2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19.5624</v>
      </c>
      <c r="D25" s="11">
        <f t="shared" si="32"/>
        <v>6.3775322468881095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200.23807348475032</v>
      </c>
      <c r="H25" s="67">
        <f t="shared" si="1"/>
        <v>338.51204866333012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20.658974358974358</v>
      </c>
      <c r="N25" s="13">
        <f>IF('Données projet'!$A$36&gt;35,N24+M25-V24,IF(A25&lt;'Données projet'!$A$36,$K$205^A25,IF(A25='Données projet'!$A$36,'Données projet'!$B$36,N24+M25-V24)))</f>
        <v>196.24358974358969</v>
      </c>
      <c r="O25" s="13">
        <f>N25*VLOOKUP('Données projet'!$B$9,Paramètres!$A$1:$I$89,3,0)*VLOOKUP('Données projet'!$B$9,Paramètres!$A$1:$I$89,5,0)</f>
        <v>109.70016666666663</v>
      </c>
      <c r="P25" s="13">
        <f t="shared" si="33"/>
        <v>29.260330282475415</v>
      </c>
      <c r="Q25" s="20">
        <f t="shared" si="2"/>
        <v>242.02286551975575</v>
      </c>
      <c r="R25" s="59">
        <f t="shared" si="0"/>
        <v>535.35619885308904</v>
      </c>
      <c r="S25" s="59">
        <f ca="1">AVERAGE(OFFSET($R$3,0,0,'Données projet'!$E$9+1,1))-AVERAGE(OFFSET($H$3,0,0,'Données projet'!$E$9+1,1))</f>
        <v>255.5374979188561</v>
      </c>
      <c r="T25" s="59">
        <f t="shared" si="34"/>
        <v>343.10418468620901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12.5959669123291</v>
      </c>
      <c r="AB25" s="21">
        <f>EXP(-LN(2)/2)*AB24+(1-EXP(-LN(2)/2))/(LN(2)/2)*V25*Y25*VLOOKUP('Données projet'!$B$9,Paramètres!$A$1:$I$89,3,0)*0.475*44/12</f>
        <v>5.4814337633037225</v>
      </c>
      <c r="AC25" s="22">
        <f t="shared" si="3"/>
        <v>18.077400675632823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16.687912087912085</v>
      </c>
      <c r="AI25" s="13">
        <f>IF('Données projet'!$A$62&gt;35,AI24+AH25-AQ24,IF(A25&lt;'Données projet'!$A$62,$AF$205^A25,IF(A25='Données projet'!$A$62,'Données projet'!$B$62,AI24+AH25-AQ24)))</f>
        <v>135.58021978021981</v>
      </c>
      <c r="AJ25" s="13">
        <f>AI25*VLOOKUP('Données projet'!$B$10,Paramètres!$A$1:$I$89,3,0)*VLOOKUP('Données projet'!$B$10,Paramètres!$A$1:$I$89,5,0)</f>
        <v>75.78934285714287</v>
      </c>
      <c r="AK25" s="13">
        <f t="shared" si="35"/>
        <v>21.104439314832948</v>
      </c>
      <c r="AL25" s="20">
        <f t="shared" si="4"/>
        <v>168.7566706161912</v>
      </c>
      <c r="AM25" s="59">
        <f t="shared" si="5"/>
        <v>462.09000394952454</v>
      </c>
      <c r="AN25" s="59">
        <f ca="1">AVERAGE(OFFSET($AM$3,0,0,'Données projet'!$E$10+1,1))-AVERAGE(OFFSET($H$3,0,0,'Données projet'!$E$10+1,1))</f>
        <v>224.7049802939942</v>
      </c>
      <c r="AO25" s="59">
        <f t="shared" si="36"/>
        <v>203.48513862195352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12.085129799158542</v>
      </c>
      <c r="AW25" s="21">
        <f>EXP(-LN(2)/2)*AW24+(1-EXP(-LN(2)/2))/(LN(2)/2)*AQ25*AT25*VLOOKUP('Données projet'!$B$10,Paramètres!$A$1:$I$89,3,0)*0.475*44/12</f>
        <v>13.687854267122075</v>
      </c>
      <c r="AX25" s="21">
        <f t="shared" si="6"/>
        <v>25.772984066280618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16.399999999999999</v>
      </c>
      <c r="BD25" s="12">
        <f>IF('Données projet'!$A$88&gt;35,BD24+BC25-BL24,IF(A25&lt;'Données projet'!$A$88,$BA$205^A25,IF(A25='Données projet'!$A$88,'Données projet'!$B$88,BD24+BC25-BL24)))</f>
        <v>128.79999999999998</v>
      </c>
      <c r="BE25" s="13">
        <f>BD25*VLOOKUP('Données projet'!$B$11,Paramètres!$A$1:$I$89,3,0)*VLOOKUP('Données projet'!$B$11,Paramètres!$A$1:$I$89,5,0)</f>
        <v>70.324799999999982</v>
      </c>
      <c r="BF25" s="13">
        <f t="shared" si="37"/>
        <v>19.754095114409182</v>
      </c>
      <c r="BG25" s="20">
        <f t="shared" si="7"/>
        <v>156.88740899092929</v>
      </c>
      <c r="BH25" s="59">
        <f t="shared" si="8"/>
        <v>450.22074232426257</v>
      </c>
      <c r="BI25" s="59">
        <f ca="1">AVERAGE(OFFSET($BH$3,0,0,'Données projet'!$E$11+1,1))-AVERAGE(OFFSET($H$3,0,0,'Données projet'!$E$11+1,1))</f>
        <v>210.04871822652808</v>
      </c>
      <c r="BJ25" s="59">
        <f t="shared" si="38"/>
        <v>250.17540614049324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16.585612518003622</v>
      </c>
      <c r="BR25" s="21">
        <f>EXP(-LN(2)/2)*BR24+(1-EXP(-LN(2)/2))/(LN(2)/2)*BL25*BO25*VLOOKUP('Données projet'!$B$11,Paramètres!$A$1:$I$89,3,0)*0.475*44/12</f>
        <v>12.51852639760137</v>
      </c>
      <c r="BS25" s="22">
        <f t="shared" si="9"/>
        <v>29.104138915604992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14</v>
      </c>
      <c r="BY25" s="12">
        <f>IF('Données projet'!$A$114&gt;35,BY24+BX25-CG24,IF(A25&lt;'Données projet'!$A$114,$BV$205^A25,IF(A25='Données projet'!$A$114,'Données projet'!$B$114,BY24+BX25-CG24)))</f>
        <v>108.00000000000003</v>
      </c>
      <c r="BZ25" s="13">
        <f>BY25*VLOOKUP('Données projet'!$B$12,Paramètres!$A$1:$I$89,3,0)*VLOOKUP('Données projet'!$B$12,Paramètres!$A$1:$I$89,5,0)</f>
        <v>58.968000000000018</v>
      </c>
      <c r="CA25" s="13">
        <f t="shared" si="39"/>
        <v>16.907084152971134</v>
      </c>
      <c r="CB25" s="20">
        <f t="shared" si="10"/>
        <v>132.1491048997581</v>
      </c>
      <c r="CC25" s="59">
        <f t="shared" si="11"/>
        <v>425.48243823309144</v>
      </c>
      <c r="CD25" s="59">
        <f ca="1">AVERAGE(OFFSET($CC$3,0,0,'Données projet'!$E$12+1,1))-AVERAGE(OFFSET($H$3,0,0,'Données projet'!$E$12+1,1))</f>
        <v>168.72306536277267</v>
      </c>
      <c r="CE25" s="59">
        <f t="shared" si="40"/>
        <v>203.35476578922339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11.671356957113659</v>
      </c>
      <c r="CM25" s="21">
        <f>EXP(-LN(2)/2)*CM24+(1-EXP(-LN(2)/2))/(LN(2)/2)*CG25*CJ25*VLOOKUP('Données projet'!$B$12,Paramètres!$A$1:$I$89,3,0)*0.475*44/12</f>
        <v>8.8093333909046692</v>
      </c>
      <c r="CN25" s="22">
        <f t="shared" si="12"/>
        <v>20.480690348018328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5.6730769230769225</v>
      </c>
      <c r="CT25" s="12">
        <f>IF('Données projet'!$A$140&gt;35,CT24+CS25-DB24,IF(A25&lt;'Données projet'!$A$140,$CQ$205^A25,IF(A25='Données projet'!$A$140,'Données projet'!$B$140,CT24+CS25-DB24)))</f>
        <v>124.80769230769225</v>
      </c>
      <c r="CU25" s="17">
        <f>CT25*VLOOKUP('Données projet'!$B$13,Paramètres!$A$1:$I$89,3,0)*VLOOKUP('Données projet'!$B$13,Paramètres!$A$1:$I$89,5,0)</f>
        <v>60.03249999999997</v>
      </c>
      <c r="CV25" s="13">
        <f t="shared" si="41"/>
        <v>17.176485773195154</v>
      </c>
      <c r="CW25" s="20">
        <f t="shared" si="13"/>
        <v>134.47231688831482</v>
      </c>
      <c r="CX25" s="59">
        <f t="shared" si="14"/>
        <v>427.80565022164814</v>
      </c>
      <c r="CY25" s="59">
        <f ca="1">AVERAGE(OFFSET($CX$3,0,0,'Données projet'!$E$13+1,1))-AVERAGE(OFFSET($H$3,0,0,'Données projet'!$E$13+1,1))</f>
        <v>304.15237106473313</v>
      </c>
      <c r="CZ25" s="59">
        <f t="shared" si="42"/>
        <v>120.85458928724336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>
        <f>EXP(-LN(2)/35)*DF24+(1-EXP(-LN(2)/35))/(LN(2)/35)*DB25*DC25*VLOOKUP('Données projet'!$B$13,Paramètres!$A$1:$I$89,3,0)*0.475*44/12</f>
        <v>0</v>
      </c>
      <c r="DG25" s="21">
        <f>EXP(-LN(2)/25)*DG24+(1-EXP(-LN(2)/25))/(LN(2)/25)*Calculateur!DB25*Calculateur!DD25*VLOOKUP('Données projet'!$B$13,Paramètres!$A$1:$I$89,3,0)*0.475*44/12</f>
        <v>0</v>
      </c>
      <c r="DH25" s="21">
        <f>EXP(-LN(2)/2)*DH24+(1-EXP(-LN(2)/2))/(LN(2)/2)*DB25*DE25*VLOOKUP('Données projet'!$B$13,Paramètres!$A$1:$I$89,3,0)*0.475*44/12</f>
        <v>0</v>
      </c>
      <c r="DI25" s="22">
        <f t="shared" si="15"/>
        <v>0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3.8846153846153846</v>
      </c>
      <c r="DO25" s="12">
        <f>IF('Données projet'!$A$166&gt;35,DO24+DN25-DW24,IF(A25&lt;'Données projet'!$A$166,$DL$205^A25,IF(A25='Données projet'!$A$166,'Données projet'!$B$166,DO24+DN25-DW24)))</f>
        <v>85.461538461538481</v>
      </c>
      <c r="DP25" s="17">
        <f>DO25*VLOOKUP('Données projet'!$B$14,Paramètres!$A$1:$I$89,3,0)*VLOOKUP('Données projet'!$B$14,Paramètres!$A$1:$I$89,5,0)</f>
        <v>41.107000000000014</v>
      </c>
      <c r="DQ25" s="13">
        <f t="shared" si="43"/>
        <v>12.291589583869596</v>
      </c>
      <c r="DR25" s="20">
        <f t="shared" si="16"/>
        <v>93.00254352523956</v>
      </c>
      <c r="DS25" s="59">
        <f t="shared" si="17"/>
        <v>386.33587685857287</v>
      </c>
      <c r="DT25" s="59">
        <f ca="1">AVERAGE(OFFSET($DS$3,0,0,'Données projet'!$E$14+1,1))-AVERAGE(OFFSET($H$3,0,0,'Données projet'!$E$14+1,1))</f>
        <v>91.053246648097399</v>
      </c>
      <c r="DU25" s="59">
        <f t="shared" si="44"/>
        <v>64.716270355703955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>
        <f>EXP(-LN(2)/35)*EA24+(1-EXP(-LN(2)/35))/(LN(2)/35)*DW25*DX25*VLOOKUP('Données projet'!$B$14,Paramètres!$A$1:$I$89,3,0)*0.475*44/12</f>
        <v>0</v>
      </c>
      <c r="EB25" s="21">
        <f>EXP(-LN(2)/25)*EB24+(1-EXP(-LN(2)/25))/(LN(2)/25)*Calculateur!DW25*Calculateur!DY25*VLOOKUP('Données projet'!$B$14,Paramètres!$A$1:$I$89,3,0)*0.475*44/12</f>
        <v>0</v>
      </c>
      <c r="EC25" s="21">
        <f>EXP(-LN(2)/2)*EC24+(1-EXP(-LN(2)/2))/(LN(2)/2)*DW25*DZ25*VLOOKUP('Données projet'!$B$14,Paramètres!$A$1:$I$89,3,0)*0.475*44/12</f>
        <v>0</v>
      </c>
      <c r="ED25" s="22">
        <f t="shared" si="18"/>
        <v>0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15.3</v>
      </c>
      <c r="EJ25" s="12">
        <f>IF('Données projet'!$A$192&gt;35,EJ24+EI25-ER24,IF(A25&lt;'Données projet'!$A$192,$EG$205^A25,IF(A25='Données projet'!$A$192,'Données projet'!$B$192,EJ24+EI25-ER24)))</f>
        <v>107.6</v>
      </c>
      <c r="EK25" s="17">
        <f>EJ25*VLOOKUP('Données projet'!$B$15,Paramètres!$A$1:$I$89,3,0)*VLOOKUP('Données projet'!$B$15,Paramètres!$A$1:$I$89,5,0)</f>
        <v>64.344800000000006</v>
      </c>
      <c r="EL25" s="13">
        <f t="shared" si="45"/>
        <v>18.262261364330694</v>
      </c>
      <c r="EM25" s="20">
        <f t="shared" si="19"/>
        <v>143.87396520954266</v>
      </c>
      <c r="EN25" s="59">
        <f t="shared" si="20"/>
        <v>437.20729854287595</v>
      </c>
      <c r="EO25" s="59">
        <f ca="1">AVERAGE(OFFSET($EN$3,0,0,'Données projet'!$E$15+1,1))-AVERAGE(OFFSET($H$3,0,0,'Données projet'!$E$15+1,1))</f>
        <v>316.58509520829671</v>
      </c>
      <c r="EP25" s="59">
        <f t="shared" si="46"/>
        <v>240.71332110643596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>
        <f>EXP(-LN(2)/35)*EV24+(1-EXP(-LN(2)/35))/(LN(2)/35)*ER25*ES25*VLOOKUP('Données projet'!$B$15,Paramètres!$A$1:$I$89,3,0)*0.475*44/12</f>
        <v>0</v>
      </c>
      <c r="EW25" s="21">
        <f>EXP(-LN(2)/25)*EW24+(1-EXP(-LN(2)/25))/(LN(2)/25)*Calculateur!ER25*Calculateur!ET25*VLOOKUP('Données projet'!$B$15,Paramètres!$A$1:$I$89,3,0)*0.475*44/12</f>
        <v>4.8776911593952468</v>
      </c>
      <c r="EX25" s="21">
        <f>EXP(-LN(2)/2)*EX24+(1-EXP(-LN(2)/2))/(LN(2)/2)*ER25*EU25*VLOOKUP('Données projet'!$B$15,Paramètres!$A$1:$I$89,3,0)*0.475*44/12</f>
        <v>4.9087931259259934</v>
      </c>
      <c r="EY25" s="22">
        <f t="shared" si="21"/>
        <v>9.7864842853212402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13.3</v>
      </c>
      <c r="FE25" s="12">
        <f>IF('Données projet'!$A$218&gt;35,FE24+FD25-FM24,IF(A25&lt;'Données projet'!$A$218,$FB$205^A25,IF(A25='Données projet'!$A$218,'Données projet'!$B$218,FE24+FD25-FM24)))</f>
        <v>93.6</v>
      </c>
      <c r="FF25" s="17">
        <f>FE25*VLOOKUP('Données projet'!$B$16,Paramètres!$A$1:$I$89,3,0)*VLOOKUP('Données projet'!$B$16,Paramètres!$A$1:$I$89,5,0)</f>
        <v>55.972799999999999</v>
      </c>
      <c r="FG25" s="13">
        <f t="shared" si="47"/>
        <v>16.145985978099571</v>
      </c>
      <c r="FH25" s="20">
        <f t="shared" si="22"/>
        <v>125.6068855785234</v>
      </c>
      <c r="FI25" s="59">
        <f t="shared" si="23"/>
        <v>418.94021891185673</v>
      </c>
      <c r="FJ25" s="59">
        <f ca="1">AVERAGE(OFFSET($FI$3,0,0,'Données projet'!$E$16+1,1))-AVERAGE(OFFSET($H$3,0,0,'Données projet'!$E$16+1,1))</f>
        <v>270.30888762640245</v>
      </c>
      <c r="FK25" s="59">
        <f t="shared" si="48"/>
        <v>202.23783851977691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>
        <f>EXP(-LN(2)/35)*FQ24+(1-EXP(-LN(2)/35))/(LN(2)/35)*FM25*FN25*VLOOKUP('Données projet'!$B$16,Paramètres!$A$1:$I$89,3,0)*0.475*44/12</f>
        <v>0</v>
      </c>
      <c r="FR25" s="21">
        <f>EXP(-LN(2)/25)*FR24+(1-EXP(-LN(2)/25))/(LN(2)/25)*Calculateur!FM25*Calculateur!FO25*VLOOKUP('Données projet'!$B$16,Paramètres!$A$1:$I$89,3,0)*0.475*44/12</f>
        <v>3.3639249375139624</v>
      </c>
      <c r="FS25" s="21">
        <f>EXP(-LN(2)/2)*FS24+(1-EXP(-LN(2)/2))/(LN(2)/2)*FM25*FP25*VLOOKUP('Données projet'!$B$16,Paramètres!$A$1:$I$89,3,0)*0.475*44/12</f>
        <v>3.3853745696041333</v>
      </c>
      <c r="FT25" s="22">
        <f t="shared" si="24"/>
        <v>6.7492995071180957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14.5</v>
      </c>
      <c r="FZ25" s="12">
        <f>IF('Données projet'!$A$244&gt;35,FZ24+FY25-GH24,IF(A25&lt;'Données projet'!$A$244,$FW$205^A25,IF(A25='Données projet'!$A$244,'Données projet'!$B$244,FZ24+FY25-GH24)))</f>
        <v>96</v>
      </c>
      <c r="GA25" s="17">
        <f>FZ25*VLOOKUP('Données projet'!$B$17,Paramètres!$A$1:$I$89,3,0)*VLOOKUP('Données projet'!$B$17,Paramètres!$A$1:$I$89,5,0)</f>
        <v>76.377600000000001</v>
      </c>
      <c r="GB25" s="13">
        <f t="shared" si="49"/>
        <v>21.249114127498419</v>
      </c>
      <c r="GC25" s="20">
        <f t="shared" si="25"/>
        <v>170.03319377205972</v>
      </c>
      <c r="GD25" s="59">
        <f t="shared" si="26"/>
        <v>463.36652710539306</v>
      </c>
      <c r="GE25" s="59">
        <f ca="1">AVERAGE(OFFSET($GD$3,0,0,'Données projet'!$E$17+1,1))-AVERAGE(OFFSET($H$3,0,0,'Données projet'!$E$17+1,1))</f>
        <v>260.20517190557814</v>
      </c>
      <c r="GF25" s="59">
        <f t="shared" si="50"/>
        <v>307.22009971147133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>
        <f>EXP(-LN(2)/35)*GL24+(1-EXP(-LN(2)/35))/(LN(2)/35)*GH25*GI25*VLOOKUP('Données projet'!$B$17,Paramètres!$A$1:$I$89,3,0)*0.475*44/12</f>
        <v>0</v>
      </c>
      <c r="GM25" s="21">
        <f>EXP(-LN(2)/25)*GM24+(1-EXP(-LN(2)/25))/(LN(2)/25)*Calculateur!GH25*Calculateur!GJ25*VLOOKUP('Données projet'!$B$17,Paramètres!$A$1:$I$89,3,0)*0.475*44/12</f>
        <v>7.357610750105267</v>
      </c>
      <c r="GN25" s="21">
        <f>EXP(-LN(2)/2)*GN24+(1-EXP(-LN(2)/2))/(LN(2)/2)*GH25*GK25*VLOOKUP('Données projet'!$B$17,Paramètres!$A$1:$I$89,3,0)*0.475*44/12</f>
        <v>6.2868613610528934</v>
      </c>
      <c r="GO25" s="21">
        <f t="shared" si="27"/>
        <v>13.64447211115816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12.2</v>
      </c>
      <c r="GU25" s="12">
        <f>IF('Données projet'!$A$270&gt;35,GU24+GT25-HC24,IF(A25&lt;'Données projet'!$A$270,$GR$205^A25,IF(A25='Données projet'!$A$270,'Données projet'!$B$270,GU24+GT25-HC24)))</f>
        <v>76.400000000000006</v>
      </c>
      <c r="GV25" s="17">
        <f>GU25*VLOOKUP('Données projet'!$B$18,Paramètres!$A$1:$I$89,3,0)*VLOOKUP('Données projet'!$B$18,Paramètres!$A$1:$I$89,5,0)</f>
        <v>60.783840000000012</v>
      </c>
      <c r="GW25" s="13">
        <f t="shared" si="51"/>
        <v>17.366298404318218</v>
      </c>
      <c r="GX25" s="20">
        <f t="shared" si="28"/>
        <v>136.11149105418758</v>
      </c>
      <c r="GY25" s="59">
        <f t="shared" si="29"/>
        <v>429.4448243875209</v>
      </c>
      <c r="GZ25" s="59">
        <f ca="1">AVERAGE(OFFSET($GY$3,0,0,'Données projet'!$E$18+1,1))-AVERAGE(OFFSET($H$3,0,0,'Données projet'!$E$18+1,1))</f>
        <v>199.58763537752952</v>
      </c>
      <c r="HA25" s="59">
        <f t="shared" si="52"/>
        <v>242.62852778451929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>
        <f>EXP(-LN(2)/35)*HG24+(1-EXP(-LN(2)/35))/(LN(2)/35)*HC25*HD25*VLOOKUP('Données projet'!$B$18,Paramètres!$A$1:$I$89,3,0)*0.475*44/12</f>
        <v>0</v>
      </c>
      <c r="HH25" s="21">
        <f>EXP(-LN(2)/25)*HH24+(1-EXP(-LN(2)/25))/(LN(2)/25)*Calculateur!HC25*Calculateur!HE25*VLOOKUP('Données projet'!$B$18,Paramètres!$A$1:$I$89,3,0)*0.475*44/12</f>
        <v>4.7220486903660666</v>
      </c>
      <c r="HI25" s="21">
        <f>EXP(-LN(2)/2)*HI24+(1-EXP(-LN(2)/2))/(LN(2)/2)*HC25*HF25*VLOOKUP('Données projet'!$B$18,Paramètres!$A$1:$I$89,3,0)*0.475*44/12</f>
        <v>4.034851321272753</v>
      </c>
      <c r="HJ25" s="22">
        <f t="shared" si="30"/>
        <v>8.7569000116388196</v>
      </c>
    </row>
    <row r="26" spans="1:218" x14ac:dyDescent="0.2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20.451599999999999</v>
      </c>
      <c r="D26" s="11">
        <f t="shared" si="32"/>
        <v>6.6330107072474558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209.07418791559442</v>
      </c>
      <c r="H26" s="67">
        <f t="shared" si="1"/>
        <v>340.5056969817893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20.658974358974358</v>
      </c>
      <c r="N26" s="13">
        <f>IF('Données projet'!$A$36&gt;35,N25+M26-V25,IF(A26&lt;'Données projet'!$A$36,$K$205^A26,IF(A26='Données projet'!$A$36,'Données projet'!$B$36,N25+M26-V25)))</f>
        <v>216.90256410256404</v>
      </c>
      <c r="O26" s="13">
        <f>N26*VLOOKUP('Données projet'!$B$9,Paramètres!$A$1:$I$89,3,0)*VLOOKUP('Données projet'!$B$9,Paramètres!$A$1:$I$89,5,0)</f>
        <v>121.2485333333333</v>
      </c>
      <c r="P26" s="13">
        <f t="shared" si="33"/>
        <v>31.966023537079113</v>
      </c>
      <c r="Q26" s="20">
        <f t="shared" si="2"/>
        <v>266.84868654930165</v>
      </c>
      <c r="R26" s="59">
        <f t="shared" si="0"/>
        <v>560.1820198826349</v>
      </c>
      <c r="S26" s="59">
        <f ca="1">AVERAGE(OFFSET($R$3,0,0,'Données projet'!$E$9+1,1))-AVERAGE(OFFSET($H$3,0,0,'Données projet'!$E$9+1,1))</f>
        <v>255.5374979188561</v>
      </c>
      <c r="T26" s="59">
        <f t="shared" si="34"/>
        <v>343.10418468620901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12.251529534718349</v>
      </c>
      <c r="AB26" s="21">
        <f>EXP(-LN(2)/2)*AB25+(1-EXP(-LN(2)/2))/(LN(2)/2)*V26*Y26*VLOOKUP('Données projet'!$B$9,Paramètres!$A$1:$I$89,3,0)*0.475*44/12</f>
        <v>3.8759589846569593</v>
      </c>
      <c r="AC26" s="22">
        <f t="shared" si="3"/>
        <v>16.127488519375309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16.687912087912085</v>
      </c>
      <c r="AI26" s="13">
        <f>IF('Données projet'!$A$62&gt;35,AI25+AH26-AQ25,IF(A26&lt;'Données projet'!$A$62,$AF$205^A26,IF(A26='Données projet'!$A$62,'Données projet'!$B$62,AI25+AH26-AQ25)))</f>
        <v>152.26813186813189</v>
      </c>
      <c r="AJ26" s="13">
        <f>AI26*VLOOKUP('Données projet'!$B$10,Paramètres!$A$1:$I$89,3,0)*VLOOKUP('Données projet'!$B$10,Paramètres!$A$1:$I$89,5,0)</f>
        <v>85.11788571428572</v>
      </c>
      <c r="AK26" s="13">
        <f t="shared" si="35"/>
        <v>23.383981996566973</v>
      </c>
      <c r="AL26" s="20">
        <f t="shared" si="4"/>
        <v>188.97408626306844</v>
      </c>
      <c r="AM26" s="59">
        <f t="shared" si="5"/>
        <v>482.30741959640176</v>
      </c>
      <c r="AN26" s="59">
        <f ca="1">AVERAGE(OFFSET($AM$3,0,0,'Données projet'!$E$10+1,1))-AVERAGE(OFFSET($H$3,0,0,'Données projet'!$E$10+1,1))</f>
        <v>224.7049802939942</v>
      </c>
      <c r="AO26" s="59">
        <f t="shared" si="36"/>
        <v>203.48513862195352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11.754661289271196</v>
      </c>
      <c r="AW26" s="21">
        <f>EXP(-LN(2)/2)*AW25+(1-EXP(-LN(2)/2))/(LN(2)/2)*AQ26*AT26*VLOOKUP('Données projet'!$B$10,Paramètres!$A$1:$I$89,3,0)*0.475*44/12</f>
        <v>9.6787745721752412</v>
      </c>
      <c r="AX26" s="21">
        <f t="shared" si="6"/>
        <v>21.433435861446437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16.399999999999999</v>
      </c>
      <c r="BD26" s="12">
        <f>IF('Données projet'!$A$88&gt;35,BD25+BC26-BL25,IF(A26&lt;'Données projet'!$A$88,$BA$205^A26,IF(A26='Données projet'!$A$88,'Données projet'!$B$88,BD25+BC26-BL25)))</f>
        <v>145.19999999999999</v>
      </c>
      <c r="BE26" s="13">
        <f>BD26*VLOOKUP('Données projet'!$B$11,Paramètres!$A$1:$I$89,3,0)*VLOOKUP('Données projet'!$B$11,Paramètres!$A$1:$I$89,5,0)</f>
        <v>79.279199999999989</v>
      </c>
      <c r="BF26" s="13">
        <f t="shared" si="37"/>
        <v>21.960852053344638</v>
      </c>
      <c r="BG26" s="20">
        <f t="shared" si="7"/>
        <v>176.32642399290856</v>
      </c>
      <c r="BH26" s="59">
        <f t="shared" si="8"/>
        <v>469.6597573262419</v>
      </c>
      <c r="BI26" s="59">
        <f ca="1">AVERAGE(OFFSET($BH$3,0,0,'Données projet'!$E$11+1,1))-AVERAGE(OFFSET($H$3,0,0,'Données projet'!$E$11+1,1))</f>
        <v>210.04871822652808</v>
      </c>
      <c r="BJ26" s="59">
        <f t="shared" si="38"/>
        <v>250.17540614049324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16.132078071499357</v>
      </c>
      <c r="BR26" s="21">
        <f>EXP(-LN(2)/2)*BR25+(1-EXP(-LN(2)/2))/(LN(2)/2)*BL26*BO26*VLOOKUP('Données projet'!$B$11,Paramètres!$A$1:$I$89,3,0)*0.475*44/12</f>
        <v>8.851934906206731</v>
      </c>
      <c r="BS26" s="22">
        <f t="shared" si="9"/>
        <v>24.984012977706087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14</v>
      </c>
      <c r="BY26" s="12">
        <f>IF('Données projet'!$A$114&gt;35,BY25+BX26-CG25,IF(A26&lt;'Données projet'!$A$114,$BV$205^A26,IF(A26='Données projet'!$A$114,'Données projet'!$B$114,BY25+BX26-CG25)))</f>
        <v>122.00000000000003</v>
      </c>
      <c r="BZ26" s="13">
        <f>BY26*VLOOKUP('Données projet'!$B$12,Paramètres!$A$1:$I$89,3,0)*VLOOKUP('Données projet'!$B$12,Paramètres!$A$1:$I$89,5,0)</f>
        <v>66.612000000000009</v>
      </c>
      <c r="CA26" s="13">
        <f t="shared" si="39"/>
        <v>18.829683939536409</v>
      </c>
      <c r="CB26" s="20">
        <f t="shared" si="10"/>
        <v>148.81093286135925</v>
      </c>
      <c r="CC26" s="59">
        <f t="shared" si="11"/>
        <v>442.14426619469259</v>
      </c>
      <c r="CD26" s="59">
        <f ca="1">AVERAGE(OFFSET($CC$3,0,0,'Données projet'!$E$12+1,1))-AVERAGE(OFFSET($H$3,0,0,'Données projet'!$E$12+1,1))</f>
        <v>168.72306536277267</v>
      </c>
      <c r="CE26" s="59">
        <f t="shared" si="40"/>
        <v>203.35476578922339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11.352203087351398</v>
      </c>
      <c r="CM26" s="21">
        <f>EXP(-LN(2)/2)*CM25+(1-EXP(-LN(2)/2))/(LN(2)/2)*CG26*CJ26*VLOOKUP('Données projet'!$B$12,Paramètres!$A$1:$I$89,3,0)*0.475*44/12</f>
        <v>6.2291393784417748</v>
      </c>
      <c r="CN26" s="22">
        <f t="shared" si="12"/>
        <v>17.581342465793174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5.6730769230769225</v>
      </c>
      <c r="CT26" s="12">
        <f>IF('Données projet'!$A$140&gt;35,CT25+CS26-DB25,IF(A26&lt;'Données projet'!$A$140,$CQ$205^A26,IF(A26='Données projet'!$A$140,'Données projet'!$B$140,CT25+CS26-DB25)))</f>
        <v>130.48076923076917</v>
      </c>
      <c r="CU26" s="17">
        <f>CT26*VLOOKUP('Données projet'!$B$13,Paramètres!$A$1:$I$89,3,0)*VLOOKUP('Données projet'!$B$13,Paramètres!$A$1:$I$89,5,0)</f>
        <v>62.761249999999976</v>
      </c>
      <c r="CV26" s="13">
        <f t="shared" si="41"/>
        <v>17.864561030182113</v>
      </c>
      <c r="CW26" s="20">
        <f t="shared" si="13"/>
        <v>140.42328754423383</v>
      </c>
      <c r="CX26" s="59">
        <f t="shared" si="14"/>
        <v>433.75662087756712</v>
      </c>
      <c r="CY26" s="59">
        <f ca="1">AVERAGE(OFFSET($CX$3,0,0,'Données projet'!$E$13+1,1))-AVERAGE(OFFSET($H$3,0,0,'Données projet'!$E$13+1,1))</f>
        <v>304.15237106473313</v>
      </c>
      <c r="CZ26" s="59">
        <f t="shared" si="42"/>
        <v>120.85458928724336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>
        <f>EXP(-LN(2)/35)*DF25+(1-EXP(-LN(2)/35))/(LN(2)/35)*DB26*DC26*VLOOKUP('Données projet'!$B$13,Paramètres!$A$1:$I$89,3,0)*0.475*44/12</f>
        <v>0</v>
      </c>
      <c r="DG26" s="21">
        <f>EXP(-LN(2)/25)*DG25+(1-EXP(-LN(2)/25))/(LN(2)/25)*Calculateur!DB26*Calculateur!DD26*VLOOKUP('Données projet'!$B$13,Paramètres!$A$1:$I$89,3,0)*0.475*44/12</f>
        <v>0</v>
      </c>
      <c r="DH26" s="21">
        <f>EXP(-LN(2)/2)*DH25+(1-EXP(-LN(2)/2))/(LN(2)/2)*DB26*DE26*VLOOKUP('Données projet'!$B$13,Paramètres!$A$1:$I$89,3,0)*0.475*44/12</f>
        <v>0</v>
      </c>
      <c r="DI26" s="22">
        <f t="shared" si="15"/>
        <v>0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3.8846153846153846</v>
      </c>
      <c r="DO26" s="12">
        <f>IF('Données projet'!$A$166&gt;35,DO25+DN26-DW25,IF(A26&lt;'Données projet'!$A$166,$DL$205^A26,IF(A26='Données projet'!$A$166,'Données projet'!$B$166,DO25+DN26-DW25)))</f>
        <v>89.346153846153868</v>
      </c>
      <c r="DP26" s="17">
        <f>DO26*VLOOKUP('Données projet'!$B$14,Paramètres!$A$1:$I$89,3,0)*VLOOKUP('Données projet'!$B$14,Paramètres!$A$1:$I$89,5,0)</f>
        <v>42.975500000000011</v>
      </c>
      <c r="DQ26" s="13">
        <f t="shared" si="43"/>
        <v>12.78398009805135</v>
      </c>
      <c r="DR26" s="20">
        <f t="shared" si="16"/>
        <v>97.11442783743945</v>
      </c>
      <c r="DS26" s="59">
        <f t="shared" si="17"/>
        <v>390.44776117077276</v>
      </c>
      <c r="DT26" s="59">
        <f ca="1">AVERAGE(OFFSET($DS$3,0,0,'Données projet'!$E$14+1,1))-AVERAGE(OFFSET($H$3,0,0,'Données projet'!$E$14+1,1))</f>
        <v>91.053246648097399</v>
      </c>
      <c r="DU26" s="59">
        <f t="shared" si="44"/>
        <v>64.716270355703955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>
        <f>EXP(-LN(2)/35)*EA25+(1-EXP(-LN(2)/35))/(LN(2)/35)*DW26*DX26*VLOOKUP('Données projet'!$B$14,Paramètres!$A$1:$I$89,3,0)*0.475*44/12</f>
        <v>0</v>
      </c>
      <c r="EB26" s="21">
        <f>EXP(-LN(2)/25)*EB25+(1-EXP(-LN(2)/25))/(LN(2)/25)*Calculateur!DW26*Calculateur!DY26*VLOOKUP('Données projet'!$B$14,Paramètres!$A$1:$I$89,3,0)*0.475*44/12</f>
        <v>0</v>
      </c>
      <c r="EC26" s="21">
        <f>EXP(-LN(2)/2)*EC25+(1-EXP(-LN(2)/2))/(LN(2)/2)*DW26*DZ26*VLOOKUP('Données projet'!$B$14,Paramètres!$A$1:$I$89,3,0)*0.475*44/12</f>
        <v>0</v>
      </c>
      <c r="ED26" s="22">
        <f t="shared" si="18"/>
        <v>0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15.3</v>
      </c>
      <c r="EJ26" s="12">
        <f>IF('Données projet'!$A$192&gt;35,EJ25+EI26-ER25,IF(A26&lt;'Données projet'!$A$192,$EG$205^A26,IF(A26='Données projet'!$A$192,'Données projet'!$B$192,EJ25+EI26-ER25)))</f>
        <v>122.89999999999999</v>
      </c>
      <c r="EK26" s="17">
        <f>EJ26*VLOOKUP('Données projet'!$B$15,Paramètres!$A$1:$I$89,3,0)*VLOOKUP('Données projet'!$B$15,Paramètres!$A$1:$I$89,5,0)</f>
        <v>73.494200000000006</v>
      </c>
      <c r="EL26" s="13">
        <f t="shared" si="45"/>
        <v>20.538715292443293</v>
      </c>
      <c r="EM26" s="20">
        <f t="shared" si="19"/>
        <v>163.77399413433875</v>
      </c>
      <c r="EN26" s="59">
        <f t="shared" si="20"/>
        <v>457.10732746767206</v>
      </c>
      <c r="EO26" s="59">
        <f ca="1">AVERAGE(OFFSET($EN$3,0,0,'Données projet'!$E$15+1,1))-AVERAGE(OFFSET($H$3,0,0,'Données projet'!$E$15+1,1))</f>
        <v>316.58509520829671</v>
      </c>
      <c r="EP26" s="59">
        <f t="shared" si="46"/>
        <v>240.71332110643596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>
        <f>EXP(-LN(2)/35)*EV25+(1-EXP(-LN(2)/35))/(LN(2)/35)*ER26*ES26*VLOOKUP('Données projet'!$B$15,Paramètres!$A$1:$I$89,3,0)*0.475*44/12</f>
        <v>0</v>
      </c>
      <c r="EW26" s="21">
        <f>EXP(-LN(2)/25)*EW25+(1-EXP(-LN(2)/25))/(LN(2)/25)*Calculateur!ER26*Calculateur!ET26*VLOOKUP('Données projet'!$B$15,Paramètres!$A$1:$I$89,3,0)*0.475*44/12</f>
        <v>4.7443104381349537</v>
      </c>
      <c r="EX26" s="21">
        <f>EXP(-LN(2)/2)*EX25+(1-EXP(-LN(2)/2))/(LN(2)/2)*ER26*EU26*VLOOKUP('Données projet'!$B$15,Paramètres!$A$1:$I$89,3,0)*0.475*44/12</f>
        <v>3.4710409067841801</v>
      </c>
      <c r="EY26" s="22">
        <f t="shared" si="21"/>
        <v>8.2153513449191333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13.3</v>
      </c>
      <c r="FE26" s="12">
        <f>IF('Données projet'!$A$218&gt;35,FE25+FD26-FM25,IF(A26&lt;'Données projet'!$A$218,$FB$205^A26,IF(A26='Données projet'!$A$218,'Données projet'!$B$218,FE25+FD26-FM25)))</f>
        <v>106.89999999999999</v>
      </c>
      <c r="FF26" s="17">
        <f>FE26*VLOOKUP('Données projet'!$B$16,Paramètres!$A$1:$I$89,3,0)*VLOOKUP('Données projet'!$B$16,Paramètres!$A$1:$I$89,5,0)</f>
        <v>63.926200000000001</v>
      </c>
      <c r="FG26" s="13">
        <f t="shared" si="47"/>
        <v>18.157244068140116</v>
      </c>
      <c r="FH26" s="20">
        <f t="shared" si="22"/>
        <v>142.96199841867738</v>
      </c>
      <c r="FI26" s="59">
        <f t="shared" si="23"/>
        <v>436.29533175201072</v>
      </c>
      <c r="FJ26" s="59">
        <f ca="1">AVERAGE(OFFSET($FI$3,0,0,'Données projet'!$E$16+1,1))-AVERAGE(OFFSET($H$3,0,0,'Données projet'!$E$16+1,1))</f>
        <v>270.30888762640245</v>
      </c>
      <c r="FK26" s="59">
        <f t="shared" si="48"/>
        <v>202.23783851977691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>
        <f>EXP(-LN(2)/35)*FQ25+(1-EXP(-LN(2)/35))/(LN(2)/35)*FM26*FN26*VLOOKUP('Données projet'!$B$16,Paramètres!$A$1:$I$89,3,0)*0.475*44/12</f>
        <v>0</v>
      </c>
      <c r="FR26" s="21">
        <f>EXP(-LN(2)/25)*FR25+(1-EXP(-LN(2)/25))/(LN(2)/25)*Calculateur!FM26*Calculateur!FO26*VLOOKUP('Données projet'!$B$16,Paramètres!$A$1:$I$89,3,0)*0.475*44/12</f>
        <v>3.271938233196519</v>
      </c>
      <c r="FS26" s="21">
        <f>EXP(-LN(2)/2)*FS25+(1-EXP(-LN(2)/2))/(LN(2)/2)*FM26*FP26*VLOOKUP('Données projet'!$B$16,Paramètres!$A$1:$I$89,3,0)*0.475*44/12</f>
        <v>2.3938213150235725</v>
      </c>
      <c r="FT26" s="22">
        <f t="shared" si="24"/>
        <v>5.6657595482200911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14.5</v>
      </c>
      <c r="FZ26" s="12">
        <f>IF('Données projet'!$A$244&gt;35,FZ25+FY26-GH25,IF(A26&lt;'Données projet'!$A$244,$FW$205^A26,IF(A26='Données projet'!$A$244,'Données projet'!$B$244,FZ25+FY26-GH25)))</f>
        <v>110.5</v>
      </c>
      <c r="GA26" s="17">
        <f>FZ26*VLOOKUP('Données projet'!$B$17,Paramètres!$A$1:$I$89,3,0)*VLOOKUP('Données projet'!$B$17,Paramètres!$A$1:$I$89,5,0)</f>
        <v>87.913800000000009</v>
      </c>
      <c r="GB26" s="13">
        <f t="shared" si="49"/>
        <v>24.061399085756083</v>
      </c>
      <c r="GC26" s="20">
        <f t="shared" si="25"/>
        <v>195.02347174102519</v>
      </c>
      <c r="GD26" s="59">
        <f t="shared" si="26"/>
        <v>488.35680507435848</v>
      </c>
      <c r="GE26" s="59">
        <f ca="1">AVERAGE(OFFSET($GD$3,0,0,'Données projet'!$E$17+1,1))-AVERAGE(OFFSET($H$3,0,0,'Données projet'!$E$17+1,1))</f>
        <v>260.20517190557814</v>
      </c>
      <c r="GF26" s="59">
        <f t="shared" si="50"/>
        <v>307.22009971147133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>
        <f>EXP(-LN(2)/35)*GL25+(1-EXP(-LN(2)/35))/(LN(2)/35)*GH26*GI26*VLOOKUP('Données projet'!$B$17,Paramètres!$A$1:$I$89,3,0)*0.475*44/12</f>
        <v>0</v>
      </c>
      <c r="GM26" s="21">
        <f>EXP(-LN(2)/25)*GM25+(1-EXP(-LN(2)/25))/(LN(2)/25)*Calculateur!GH26*Calculateur!GJ26*VLOOKUP('Données projet'!$B$17,Paramètres!$A$1:$I$89,3,0)*0.475*44/12</f>
        <v>7.156416497223705</v>
      </c>
      <c r="GN26" s="21">
        <f>EXP(-LN(2)/2)*GN25+(1-EXP(-LN(2)/2))/(LN(2)/2)*GH26*GK26*VLOOKUP('Données projet'!$B$17,Paramètres!$A$1:$I$89,3,0)*0.475*44/12</f>
        <v>4.4454823007801894</v>
      </c>
      <c r="GO26" s="21">
        <f t="shared" si="27"/>
        <v>11.601898798003894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12.2</v>
      </c>
      <c r="GU26" s="12">
        <f>IF('Données projet'!$A$270&gt;35,GU25+GT26-HC25,IF(A26&lt;'Données projet'!$A$270,$GR$205^A26,IF(A26='Données projet'!$A$270,'Données projet'!$B$270,GU25+GT26-HC25)))</f>
        <v>88.600000000000009</v>
      </c>
      <c r="GV26" s="17">
        <f>GU26*VLOOKUP('Données projet'!$B$18,Paramètres!$A$1:$I$89,3,0)*VLOOKUP('Données projet'!$B$18,Paramètres!$A$1:$I$89,5,0)</f>
        <v>70.490160000000017</v>
      </c>
      <c r="GW26" s="13">
        <f t="shared" si="51"/>
        <v>19.795132097024002</v>
      </c>
      <c r="GX26" s="20">
        <f t="shared" si="28"/>
        <v>157.24688373565013</v>
      </c>
      <c r="GY26" s="59">
        <f t="shared" si="29"/>
        <v>450.58021706898342</v>
      </c>
      <c r="GZ26" s="59">
        <f ca="1">AVERAGE(OFFSET($GY$3,0,0,'Données projet'!$E$18+1,1))-AVERAGE(OFFSET($H$3,0,0,'Données projet'!$E$18+1,1))</f>
        <v>199.58763537752952</v>
      </c>
      <c r="HA26" s="59">
        <f t="shared" si="52"/>
        <v>242.62852778451929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>
        <f>EXP(-LN(2)/35)*HG25+(1-EXP(-LN(2)/35))/(LN(2)/35)*HC26*HD26*VLOOKUP('Données projet'!$B$18,Paramètres!$A$1:$I$89,3,0)*0.475*44/12</f>
        <v>0</v>
      </c>
      <c r="HH26" s="21">
        <f>EXP(-LN(2)/25)*HH25+(1-EXP(-LN(2)/25))/(LN(2)/25)*Calculateur!HC26*Calculateur!HE26*VLOOKUP('Données projet'!$B$18,Paramètres!$A$1:$I$89,3,0)*0.475*44/12</f>
        <v>4.592924020606258</v>
      </c>
      <c r="HI26" s="21">
        <f>EXP(-LN(2)/2)*HI25+(1-EXP(-LN(2)/2))/(LN(2)/2)*HC26*HF26*VLOOKUP('Données projet'!$B$18,Paramètres!$A$1:$I$89,3,0)*0.475*44/12</f>
        <v>2.8530707303514649</v>
      </c>
      <c r="HJ26" s="22">
        <f t="shared" si="30"/>
        <v>7.4459947509577233</v>
      </c>
    </row>
    <row r="27" spans="1:218" x14ac:dyDescent="0.2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21.340799999999998</v>
      </c>
      <c r="D27" s="11">
        <f t="shared" si="32"/>
        <v>6.8871990614123195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217.90034363195477</v>
      </c>
      <c r="H27" s="67">
        <f t="shared" si="1"/>
        <v>342.49709836529308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237.56153846153845</v>
      </c>
      <c r="L27" s="12">
        <f>VLOOKUP(A27,'Données projet'!$A$35:$I$55,9,0)</f>
        <v>20.658974358974358</v>
      </c>
      <c r="M27" s="12">
        <f t="array" ref="M27">INDEX(L:L,MIN(IF(ISNUMBER(L27:L223),ROW(L27:L223),"")))</f>
        <v>20.658974358974358</v>
      </c>
      <c r="N27" s="13">
        <f>IF('Données projet'!$A$36&gt;35,N26+M27-V26,IF(A27&lt;'Données projet'!$A$36,$K$205^A27,IF(A27='Données projet'!$A$36,'Données projet'!$B$36,N26+M27-V26)))</f>
        <v>237.56153846153839</v>
      </c>
      <c r="O27" s="13">
        <f>N27*VLOOKUP('Données projet'!$B$9,Paramètres!$A$1:$I$89,3,0)*VLOOKUP('Données projet'!$B$9,Paramètres!$A$1:$I$89,5,0)</f>
        <v>132.79689999999997</v>
      </c>
      <c r="P27" s="13">
        <f t="shared" si="33"/>
        <v>34.641837967861036</v>
      </c>
      <c r="Q27" s="20">
        <f t="shared" si="2"/>
        <v>291.62246862735793</v>
      </c>
      <c r="R27" s="59">
        <f t="shared" si="0"/>
        <v>584.95580196069125</v>
      </c>
      <c r="S27" s="59">
        <f ca="1">AVERAGE(OFFSET($R$3,0,0,'Données projet'!$E$9+1,1))-AVERAGE(OFFSET($H$3,0,0,'Données projet'!$E$9+1,1))</f>
        <v>255.5374979188561</v>
      </c>
      <c r="T27" s="59">
        <f t="shared" si="34"/>
        <v>343.10418468620901</v>
      </c>
      <c r="U27" s="15">
        <f>IF(ISNA(VLOOKUP(A27,'Données projet'!$A$35:$I$55,3,0)),0,VLOOKUP(A27,'Données projet'!$A$35:$I$55,3,0))</f>
        <v>2</v>
      </c>
      <c r="V27" s="15">
        <f>IF(ISNA(VLOOKUP(A27,'Données projet'!$A$35:$I$55,4,0)),0,VLOOKUP(A27,'Données projet'!$A$35:$I$55,4,0))</f>
        <v>42.661538461538463</v>
      </c>
      <c r="W27" s="16">
        <f>IF(ISNA(VLOOKUP(A27,'Données projet'!$A$35:$I$55,5,0)),0%,VLOOKUP(A27,'Données projet'!$A$35:$I$55,5,0)*VLOOKUP('Données projet'!$B$9,Paramètres!$A$1:$I$89,7,0))</f>
        <v>0.11000000000000001</v>
      </c>
      <c r="X27" s="16">
        <f>IF(ISNA(VLOOKUP(A27,'Données projet'!$A$35:$I$55,6,0)),0%,VLOOKUP(A27,'Données projet'!$A$35:$I$55,6,0)*VLOOKUP('Données projet'!$B$9,Paramètres!$A$1:$I$89,7,0))</f>
        <v>0.22000000000000003</v>
      </c>
      <c r="Y27" s="16">
        <f>IF(ISNA(VLOOKUP(A27,'Données projet'!$A$35:$I$55,7,0)),0%,VLOOKUP(A27,'Données projet'!$A$35:$I$55,7,0))</f>
        <v>0.4</v>
      </c>
      <c r="Z27" s="21">
        <f>EXP(-LN(2)/35)*Z26+(1-EXP(-LN(2)/35))/(LN(2)/35)*V27*W27*VLOOKUP('Données projet'!$B$9,Paramètres!$A$1:$I$89,3,0)*0.475*44/12</f>
        <v>3.4799208202474183</v>
      </c>
      <c r="AA27" s="21">
        <f>EXP(-LN(2)/25)*AA26+(1-EXP(-LN(2)/25))/(LN(2)/25)*Calculateur!V27*Calculateur!X27*VLOOKUP('Données projet'!$B$9,Paramètres!$A$1:$I$89,3,0)*0.475*44/12</f>
        <v>18.848948907360175</v>
      </c>
      <c r="AB27" s="21">
        <f>EXP(-LN(2)/2)*AB26+(1-EXP(-LN(2)/2))/(LN(2)/2)*V27*Y27*VLOOKUP('Données projet'!$B$9,Paramètres!$A$1:$I$89,3,0)*0.475*44/12</f>
        <v>13.541216635632523</v>
      </c>
      <c r="AC27" s="22">
        <f t="shared" si="3"/>
        <v>35.870086363240119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16.687912087912085</v>
      </c>
      <c r="AI27" s="13">
        <f>IF('Données projet'!$A$62&gt;35,AI26+AH27-AQ26,IF(A27&lt;'Données projet'!$A$62,$AF$205^A27,IF(A27='Données projet'!$A$62,'Données projet'!$B$62,AI26+AH27-AQ26)))</f>
        <v>168.95604395604397</v>
      </c>
      <c r="AJ27" s="13">
        <f>AI27*VLOOKUP('Données projet'!$B$10,Paramètres!$A$1:$I$89,3,0)*VLOOKUP('Données projet'!$B$10,Paramètres!$A$1:$I$89,5,0)</f>
        <v>94.446428571428584</v>
      </c>
      <c r="AK27" s="13">
        <f t="shared" si="35"/>
        <v>25.634568296511581</v>
      </c>
      <c r="AL27" s="20">
        <f t="shared" si="4"/>
        <v>209.14106954499582</v>
      </c>
      <c r="AM27" s="59">
        <f t="shared" si="5"/>
        <v>502.4744028783291</v>
      </c>
      <c r="AN27" s="59">
        <f ca="1">AVERAGE(OFFSET($AM$3,0,0,'Données projet'!$E$10+1,1))-AVERAGE(OFFSET($H$3,0,0,'Données projet'!$E$10+1,1))</f>
        <v>224.7049802939942</v>
      </c>
      <c r="AO27" s="59">
        <f t="shared" si="36"/>
        <v>203.48513862195352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11.433229458165304</v>
      </c>
      <c r="AW27" s="21">
        <f>EXP(-LN(2)/2)*AW26+(1-EXP(-LN(2)/2))/(LN(2)/2)*AQ27*AT27*VLOOKUP('Données projet'!$B$10,Paramètres!$A$1:$I$89,3,0)*0.475*44/12</f>
        <v>6.8439271335610385</v>
      </c>
      <c r="AX27" s="21">
        <f t="shared" si="6"/>
        <v>18.277156591726342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16.399999999999999</v>
      </c>
      <c r="BD27" s="12">
        <f>IF('Données projet'!$A$88&gt;35,BD26+BC27-BL26,IF(A27&lt;'Données projet'!$A$88,$BA$205^A27,IF(A27='Données projet'!$A$88,'Données projet'!$B$88,BD26+BC27-BL26)))</f>
        <v>161.6</v>
      </c>
      <c r="BE27" s="13">
        <f>BD27*VLOOKUP('Données projet'!$B$11,Paramètres!$A$1:$I$89,3,0)*VLOOKUP('Données projet'!$B$11,Paramètres!$A$1:$I$89,5,0)</f>
        <v>88.23360000000001</v>
      </c>
      <c r="BF27" s="13">
        <f t="shared" si="37"/>
        <v>24.138721634312098</v>
      </c>
      <c r="BG27" s="20">
        <f t="shared" si="7"/>
        <v>195.7151268464269</v>
      </c>
      <c r="BH27" s="59">
        <f t="shared" si="8"/>
        <v>489.04846017976024</v>
      </c>
      <c r="BI27" s="59">
        <f ca="1">AVERAGE(OFFSET($BH$3,0,0,'Données projet'!$E$11+1,1))-AVERAGE(OFFSET($H$3,0,0,'Données projet'!$E$11+1,1))</f>
        <v>210.04871822652808</v>
      </c>
      <c r="BJ27" s="59">
        <f t="shared" si="38"/>
        <v>250.17540614049324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15.690945548285091</v>
      </c>
      <c r="BR27" s="21">
        <f>EXP(-LN(2)/2)*BR26+(1-EXP(-LN(2)/2))/(LN(2)/2)*BL27*BO27*VLOOKUP('Données projet'!$B$11,Paramètres!$A$1:$I$89,3,0)*0.475*44/12</f>
        <v>6.259263198800685</v>
      </c>
      <c r="BS27" s="22">
        <f t="shared" si="9"/>
        <v>21.950208747085775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14</v>
      </c>
      <c r="BY27" s="12">
        <f>IF('Données projet'!$A$114&gt;35,BY26+BX27-CG26,IF(A27&lt;'Données projet'!$A$114,$BV$205^A27,IF(A27='Données projet'!$A$114,'Données projet'!$B$114,BY26+BX27-CG26)))</f>
        <v>136.00000000000003</v>
      </c>
      <c r="BZ27" s="13">
        <f>BY27*VLOOKUP('Données projet'!$B$12,Paramètres!$A$1:$I$89,3,0)*VLOOKUP('Données projet'!$B$12,Paramètres!$A$1:$I$89,5,0)</f>
        <v>74.256000000000014</v>
      </c>
      <c r="CA27" s="13">
        <f t="shared" si="39"/>
        <v>20.726714411291823</v>
      </c>
      <c r="CB27" s="20">
        <f t="shared" si="10"/>
        <v>165.4282275996666</v>
      </c>
      <c r="CC27" s="59">
        <f t="shared" si="11"/>
        <v>458.76156093299994</v>
      </c>
      <c r="CD27" s="59">
        <f ca="1">AVERAGE(OFFSET($CC$3,0,0,'Données projet'!$E$12+1,1))-AVERAGE(OFFSET($H$3,0,0,'Données projet'!$E$12+1,1))</f>
        <v>168.72306536277267</v>
      </c>
      <c r="CE27" s="59">
        <f t="shared" si="40"/>
        <v>203.35476578922339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11.04177649694136</v>
      </c>
      <c r="CM27" s="21">
        <f>EXP(-LN(2)/2)*CM26+(1-EXP(-LN(2)/2))/(LN(2)/2)*CG27*CJ27*VLOOKUP('Données projet'!$B$12,Paramètres!$A$1:$I$89,3,0)*0.475*44/12</f>
        <v>4.4046666954523346</v>
      </c>
      <c r="CN27" s="22">
        <f t="shared" si="12"/>
        <v>15.446443192393694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5.6730769230769225</v>
      </c>
      <c r="CT27" s="12">
        <f>IF('Données projet'!$A$140&gt;35,CT26+CS27-DB26,IF(A27&lt;'Données projet'!$A$140,$CQ$205^A27,IF(A27='Données projet'!$A$140,'Données projet'!$B$140,CT26+CS27-DB26)))</f>
        <v>136.1538461538461</v>
      </c>
      <c r="CU27" s="17">
        <f>CT27*VLOOKUP('Données projet'!$B$13,Paramètres!$A$1:$I$89,3,0)*VLOOKUP('Données projet'!$B$13,Paramètres!$A$1:$I$89,5,0)</f>
        <v>65.489999999999981</v>
      </c>
      <c r="CV27" s="13">
        <f t="shared" si="41"/>
        <v>18.54916166879983</v>
      </c>
      <c r="CW27" s="20">
        <f t="shared" si="13"/>
        <v>146.36820657315965</v>
      </c>
      <c r="CX27" s="59">
        <f t="shared" si="14"/>
        <v>439.70153990649294</v>
      </c>
      <c r="CY27" s="59">
        <f ca="1">AVERAGE(OFFSET($CX$3,0,0,'Données projet'!$E$13+1,1))-AVERAGE(OFFSET($H$3,0,0,'Données projet'!$E$13+1,1))</f>
        <v>304.15237106473313</v>
      </c>
      <c r="CZ27" s="59">
        <f t="shared" si="42"/>
        <v>120.85458928724336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>
        <f>EXP(-LN(2)/35)*DF26+(1-EXP(-LN(2)/35))/(LN(2)/35)*DB27*DC27*VLOOKUP('Données projet'!$B$13,Paramètres!$A$1:$I$89,3,0)*0.475*44/12</f>
        <v>0</v>
      </c>
      <c r="DG27" s="21">
        <f>EXP(-LN(2)/25)*DG26+(1-EXP(-LN(2)/25))/(LN(2)/25)*Calculateur!DB27*Calculateur!DD27*VLOOKUP('Données projet'!$B$13,Paramètres!$A$1:$I$89,3,0)*0.475*44/12</f>
        <v>0</v>
      </c>
      <c r="DH27" s="21">
        <f>EXP(-LN(2)/2)*DH26+(1-EXP(-LN(2)/2))/(LN(2)/2)*DB27*DE27*VLOOKUP('Données projet'!$B$13,Paramètres!$A$1:$I$89,3,0)*0.475*44/12</f>
        <v>0</v>
      </c>
      <c r="DI27" s="22">
        <f t="shared" si="15"/>
        <v>0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3.8846153846153846</v>
      </c>
      <c r="DO27" s="12">
        <f>IF('Données projet'!$A$166&gt;35,DO26+DN27-DW26,IF(A27&lt;'Données projet'!$A$166,$DL$205^A27,IF(A27='Données projet'!$A$166,'Données projet'!$B$166,DO26+DN27-DW26)))</f>
        <v>93.230769230769255</v>
      </c>
      <c r="DP27" s="17">
        <f>DO27*VLOOKUP('Données projet'!$B$14,Paramètres!$A$1:$I$89,3,0)*VLOOKUP('Données projet'!$B$14,Paramètres!$A$1:$I$89,5,0)</f>
        <v>44.844000000000008</v>
      </c>
      <c r="DQ27" s="13">
        <f t="shared" si="43"/>
        <v>13.273884155834565</v>
      </c>
      <c r="DR27" s="20">
        <f t="shared" si="16"/>
        <v>101.22198157141189</v>
      </c>
      <c r="DS27" s="59">
        <f t="shared" si="17"/>
        <v>394.55531490474522</v>
      </c>
      <c r="DT27" s="59">
        <f ca="1">AVERAGE(OFFSET($DS$3,0,0,'Données projet'!$E$14+1,1))-AVERAGE(OFFSET($H$3,0,0,'Données projet'!$E$14+1,1))</f>
        <v>91.053246648097399</v>
      </c>
      <c r="DU27" s="59">
        <f t="shared" si="44"/>
        <v>64.716270355703955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>
        <f>EXP(-LN(2)/35)*EA26+(1-EXP(-LN(2)/35))/(LN(2)/35)*DW27*DX27*VLOOKUP('Données projet'!$B$14,Paramètres!$A$1:$I$89,3,0)*0.475*44/12</f>
        <v>0</v>
      </c>
      <c r="EB27" s="21">
        <f>EXP(-LN(2)/25)*EB26+(1-EXP(-LN(2)/25))/(LN(2)/25)*Calculateur!DW27*Calculateur!DY27*VLOOKUP('Données projet'!$B$14,Paramètres!$A$1:$I$89,3,0)*0.475*44/12</f>
        <v>0</v>
      </c>
      <c r="EC27" s="21">
        <f>EXP(-LN(2)/2)*EC26+(1-EXP(-LN(2)/2))/(LN(2)/2)*DW27*DZ27*VLOOKUP('Données projet'!$B$14,Paramètres!$A$1:$I$89,3,0)*0.475*44/12</f>
        <v>0</v>
      </c>
      <c r="ED27" s="22">
        <f t="shared" si="18"/>
        <v>0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15.3</v>
      </c>
      <c r="EJ27" s="12">
        <f>IF('Données projet'!$A$192&gt;35,EJ26+EI27-ER26,IF(A27&lt;'Données projet'!$A$192,$EG$205^A27,IF(A27='Données projet'!$A$192,'Données projet'!$B$192,EJ26+EI27-ER26)))</f>
        <v>138.19999999999999</v>
      </c>
      <c r="EK27" s="17">
        <f>EJ27*VLOOKUP('Données projet'!$B$15,Paramètres!$A$1:$I$89,3,0)*VLOOKUP('Données projet'!$B$15,Paramètres!$A$1:$I$89,5,0)</f>
        <v>82.643599999999992</v>
      </c>
      <c r="EL27" s="13">
        <f t="shared" si="45"/>
        <v>22.782329978216918</v>
      </c>
      <c r="EM27" s="20">
        <f t="shared" si="19"/>
        <v>183.61682804539444</v>
      </c>
      <c r="EN27" s="59">
        <f t="shared" si="20"/>
        <v>476.95016137872778</v>
      </c>
      <c r="EO27" s="59">
        <f ca="1">AVERAGE(OFFSET($EN$3,0,0,'Données projet'!$E$15+1,1))-AVERAGE(OFFSET($H$3,0,0,'Données projet'!$E$15+1,1))</f>
        <v>316.58509520829671</v>
      </c>
      <c r="EP27" s="59">
        <f t="shared" si="46"/>
        <v>240.71332110643596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>
        <f>EXP(-LN(2)/35)*EV26+(1-EXP(-LN(2)/35))/(LN(2)/35)*ER27*ES27*VLOOKUP('Données projet'!$B$15,Paramètres!$A$1:$I$89,3,0)*0.475*44/12</f>
        <v>0</v>
      </c>
      <c r="EW27" s="21">
        <f>EXP(-LN(2)/25)*EW26+(1-EXP(-LN(2)/25))/(LN(2)/25)*Calculateur!ER27*Calculateur!ET27*VLOOKUP('Données projet'!$B$15,Paramètres!$A$1:$I$89,3,0)*0.475*44/12</f>
        <v>4.6145770197117111</v>
      </c>
      <c r="EX27" s="21">
        <f>EXP(-LN(2)/2)*EX26+(1-EXP(-LN(2)/2))/(LN(2)/2)*ER27*EU27*VLOOKUP('Données projet'!$B$15,Paramètres!$A$1:$I$89,3,0)*0.475*44/12</f>
        <v>2.4543965629629967</v>
      </c>
      <c r="EY27" s="22">
        <f t="shared" si="21"/>
        <v>7.0689735826747082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13.3</v>
      </c>
      <c r="FE27" s="12">
        <f>IF('Données projet'!$A$218&gt;35,FE26+FD27-FM26,IF(A27&lt;'Données projet'!$A$218,$FB$205^A27,IF(A27='Données projet'!$A$218,'Données projet'!$B$218,FE26+FD27-FM26)))</f>
        <v>120.19999999999999</v>
      </c>
      <c r="FF27" s="17">
        <f>FE27*VLOOKUP('Données projet'!$B$16,Paramètres!$A$1:$I$89,3,0)*VLOOKUP('Données projet'!$B$16,Paramètres!$A$1:$I$89,5,0)</f>
        <v>71.879599999999996</v>
      </c>
      <c r="FG27" s="13">
        <f t="shared" si="47"/>
        <v>20.139506236095318</v>
      </c>
      <c r="FH27" s="20">
        <f t="shared" si="22"/>
        <v>160.26661002786599</v>
      </c>
      <c r="FI27" s="59">
        <f t="shared" si="23"/>
        <v>453.59994336119928</v>
      </c>
      <c r="FJ27" s="59">
        <f ca="1">AVERAGE(OFFSET($FI$3,0,0,'Données projet'!$E$16+1,1))-AVERAGE(OFFSET($H$3,0,0,'Données projet'!$E$16+1,1))</f>
        <v>270.30888762640245</v>
      </c>
      <c r="FK27" s="59">
        <f t="shared" si="48"/>
        <v>202.23783851977691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>
        <f>EXP(-LN(2)/35)*FQ26+(1-EXP(-LN(2)/35))/(LN(2)/35)*FM27*FN27*VLOOKUP('Données projet'!$B$16,Paramètres!$A$1:$I$89,3,0)*0.475*44/12</f>
        <v>0</v>
      </c>
      <c r="FR27" s="21">
        <f>EXP(-LN(2)/25)*FR26+(1-EXP(-LN(2)/25))/(LN(2)/25)*Calculateur!FM27*Calculateur!FO27*VLOOKUP('Données projet'!$B$16,Paramètres!$A$1:$I$89,3,0)*0.475*44/12</f>
        <v>3.1824669101460068</v>
      </c>
      <c r="FS27" s="21">
        <f>EXP(-LN(2)/2)*FS26+(1-EXP(-LN(2)/2))/(LN(2)/2)*FM27*FP27*VLOOKUP('Données projet'!$B$16,Paramètres!$A$1:$I$89,3,0)*0.475*44/12</f>
        <v>1.6926872848020669</v>
      </c>
      <c r="FT27" s="22">
        <f t="shared" si="24"/>
        <v>4.8751541949480739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14.5</v>
      </c>
      <c r="FZ27" s="12">
        <f>IF('Données projet'!$A$244&gt;35,FZ26+FY27-GH26,IF(A27&lt;'Données projet'!$A$244,$FW$205^A27,IF(A27='Données projet'!$A$244,'Données projet'!$B$244,FZ26+FY27-GH26)))</f>
        <v>125</v>
      </c>
      <c r="GA27" s="17">
        <f>FZ27*VLOOKUP('Données projet'!$B$17,Paramètres!$A$1:$I$89,3,0)*VLOOKUP('Données projet'!$B$17,Paramètres!$A$1:$I$89,5,0)</f>
        <v>99.45</v>
      </c>
      <c r="GB27" s="13">
        <f t="shared" si="49"/>
        <v>26.830925603893352</v>
      </c>
      <c r="GC27" s="20">
        <f t="shared" si="25"/>
        <v>219.93927876011423</v>
      </c>
      <c r="GD27" s="59">
        <f t="shared" si="26"/>
        <v>513.27261209344761</v>
      </c>
      <c r="GE27" s="59">
        <f ca="1">AVERAGE(OFFSET($GD$3,0,0,'Données projet'!$E$17+1,1))-AVERAGE(OFFSET($H$3,0,0,'Données projet'!$E$17+1,1))</f>
        <v>260.20517190557814</v>
      </c>
      <c r="GF27" s="59">
        <f t="shared" si="50"/>
        <v>307.22009971147133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>
        <f>EXP(-LN(2)/35)*GL26+(1-EXP(-LN(2)/35))/(LN(2)/35)*GH27*GI27*VLOOKUP('Données projet'!$B$17,Paramètres!$A$1:$I$89,3,0)*0.475*44/12</f>
        <v>0</v>
      </c>
      <c r="GM27" s="21">
        <f>EXP(-LN(2)/25)*GM26+(1-EXP(-LN(2)/25))/(LN(2)/25)*Calculateur!GH27*Calculateur!GJ27*VLOOKUP('Données projet'!$B$17,Paramètres!$A$1:$I$89,3,0)*0.475*44/12</f>
        <v>6.960723911767535</v>
      </c>
      <c r="GN27" s="21">
        <f>EXP(-LN(2)/2)*GN26+(1-EXP(-LN(2)/2))/(LN(2)/2)*GH27*GK27*VLOOKUP('Données projet'!$B$17,Paramètres!$A$1:$I$89,3,0)*0.475*44/12</f>
        <v>3.1434306805264476</v>
      </c>
      <c r="GO27" s="21">
        <f t="shared" si="27"/>
        <v>10.104154592293982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12.2</v>
      </c>
      <c r="GU27" s="12">
        <f>IF('Données projet'!$A$270&gt;35,GU26+GT27-HC26,IF(A27&lt;'Données projet'!$A$270,$GR$205^A27,IF(A27='Données projet'!$A$270,'Données projet'!$B$270,GU26+GT27-HC26)))</f>
        <v>100.80000000000001</v>
      </c>
      <c r="GV27" s="17">
        <f>GU27*VLOOKUP('Données projet'!$B$18,Paramètres!$A$1:$I$89,3,0)*VLOOKUP('Données projet'!$B$18,Paramètres!$A$1:$I$89,5,0)</f>
        <v>80.196480000000022</v>
      </c>
      <c r="GW27" s="13">
        <f t="shared" si="51"/>
        <v>22.185217649516332</v>
      </c>
      <c r="GX27" s="20">
        <f t="shared" si="28"/>
        <v>178.31479007290764</v>
      </c>
      <c r="GY27" s="59">
        <f t="shared" si="29"/>
        <v>471.64812340624098</v>
      </c>
      <c r="GZ27" s="59">
        <f ca="1">AVERAGE(OFFSET($GY$3,0,0,'Données projet'!$E$18+1,1))-AVERAGE(OFFSET($H$3,0,0,'Données projet'!$E$18+1,1))</f>
        <v>199.58763537752952</v>
      </c>
      <c r="HA27" s="59">
        <f t="shared" si="52"/>
        <v>242.62852778451929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>
        <f>EXP(-LN(2)/35)*HG26+(1-EXP(-LN(2)/35))/(LN(2)/35)*HC27*HD27*VLOOKUP('Données projet'!$B$18,Paramètres!$A$1:$I$89,3,0)*0.475*44/12</f>
        <v>0</v>
      </c>
      <c r="HH27" s="21">
        <f>EXP(-LN(2)/25)*HH26+(1-EXP(-LN(2)/25))/(LN(2)/25)*Calculateur!HC27*Calculateur!HE27*VLOOKUP('Données projet'!$B$18,Paramètres!$A$1:$I$89,3,0)*0.475*44/12</f>
        <v>4.4673302717314032</v>
      </c>
      <c r="HI27" s="21">
        <f>EXP(-LN(2)/2)*HI26+(1-EXP(-LN(2)/2))/(LN(2)/2)*HC27*HF27*VLOOKUP('Données projet'!$B$18,Paramètres!$A$1:$I$89,3,0)*0.475*44/12</f>
        <v>2.0174256606363765</v>
      </c>
      <c r="HJ27" s="22">
        <f t="shared" si="30"/>
        <v>6.4847559323677793</v>
      </c>
    </row>
    <row r="28" spans="1:218" x14ac:dyDescent="0.2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22.229999999999997</v>
      </c>
      <c r="D28" s="11">
        <f t="shared" si="32"/>
        <v>7.140157210880437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226.71700303135776</v>
      </c>
      <c r="H28" s="67">
        <f t="shared" si="1"/>
        <v>344.4863571422834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22.828205128205127</v>
      </c>
      <c r="N28" s="13">
        <f>IF('Données projet'!$A$36&gt;35,N27+M28-V27,IF(A28&lt;'Données projet'!$A$36,$K$205^A28,IF(A28='Données projet'!$A$36,'Données projet'!$B$36,N27+M28-V27)))</f>
        <v>217.72820512820502</v>
      </c>
      <c r="O28" s="13">
        <f>N28*VLOOKUP('Données projet'!$B$9,Paramètres!$A$1:$I$89,3,0)*VLOOKUP('Données projet'!$B$9,Paramètres!$A$1:$I$89,5,0)</f>
        <v>121.71006666666661</v>
      </c>
      <c r="P28" s="13">
        <f t="shared" si="33"/>
        <v>32.073515207801002</v>
      </c>
      <c r="Q28" s="20">
        <f t="shared" si="2"/>
        <v>267.83973843136442</v>
      </c>
      <c r="R28" s="59">
        <f t="shared" si="0"/>
        <v>561.17307176469774</v>
      </c>
      <c r="S28" s="59">
        <f ca="1">AVERAGE(OFFSET($R$3,0,0,'Données projet'!$E$9+1,1))-AVERAGE(OFFSET($H$3,0,0,'Données projet'!$E$9+1,1))</f>
        <v>255.5374979188561</v>
      </c>
      <c r="T28" s="59">
        <f t="shared" si="34"/>
        <v>343.10418468620901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3.4116816955044831</v>
      </c>
      <c r="AA28" s="21">
        <f>EXP(-LN(2)/25)*AA27+(1-EXP(-LN(2)/25))/(LN(2)/25)*Calculateur!V28*Calculateur!X28*VLOOKUP('Données projet'!$B$9,Paramètres!$A$1:$I$89,3,0)*0.475*44/12</f>
        <v>18.333523408265268</v>
      </c>
      <c r="AB28" s="21">
        <f>EXP(-LN(2)/2)*AB27+(1-EXP(-LN(2)/2))/(LN(2)/2)*V28*Y28*VLOOKUP('Données projet'!$B$9,Paramètres!$A$1:$I$89,3,0)*0.475*44/12</f>
        <v>9.5750861085718437</v>
      </c>
      <c r="AC28" s="22">
        <f t="shared" si="3"/>
        <v>31.320291212341594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16.687912087912085</v>
      </c>
      <c r="AI28" s="13">
        <f>IF('Données projet'!$A$62&gt;35,AI27+AH28-AQ27,IF(A28&lt;'Données projet'!$A$62,$AF$205^A28,IF(A28='Données projet'!$A$62,'Données projet'!$B$62,AI27+AH28-AQ27)))</f>
        <v>185.64395604395605</v>
      </c>
      <c r="AJ28" s="13">
        <f>AI28*VLOOKUP('Données projet'!$B$10,Paramètres!$A$1:$I$89,3,0)*VLOOKUP('Données projet'!$B$10,Paramètres!$A$1:$I$89,5,0)</f>
        <v>103.77497142857143</v>
      </c>
      <c r="AK28" s="13">
        <f t="shared" si="35"/>
        <v>27.859383782043167</v>
      </c>
      <c r="AL28" s="20">
        <f t="shared" si="4"/>
        <v>229.2631686584871</v>
      </c>
      <c r="AM28" s="59">
        <f t="shared" si="5"/>
        <v>522.59650199182045</v>
      </c>
      <c r="AN28" s="59">
        <f ca="1">AVERAGE(OFFSET($AM$3,0,0,'Données projet'!$E$10+1,1))-AVERAGE(OFFSET($H$3,0,0,'Données projet'!$E$10+1,1))</f>
        <v>224.7049802939942</v>
      </c>
      <c r="AO28" s="59">
        <f t="shared" si="36"/>
        <v>203.48513862195352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11.120587197384367</v>
      </c>
      <c r="AW28" s="21">
        <f>EXP(-LN(2)/2)*AW27+(1-EXP(-LN(2)/2))/(LN(2)/2)*AQ28*AT28*VLOOKUP('Données projet'!$B$10,Paramètres!$A$1:$I$89,3,0)*0.475*44/12</f>
        <v>4.8393872860876206</v>
      </c>
      <c r="AX28" s="21">
        <f t="shared" si="6"/>
        <v>15.959974483471989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16.399999999999999</v>
      </c>
      <c r="BD28" s="12">
        <f>IF('Données projet'!$A$88&gt;35,BD27+BC28-BL27,IF(A28&lt;'Données projet'!$A$88,$BA$205^A28,IF(A28='Données projet'!$A$88,'Données projet'!$B$88,BD27+BC28-BL27)))</f>
        <v>178</v>
      </c>
      <c r="BE28" s="13">
        <f>BD28*VLOOKUP('Données projet'!$B$11,Paramètres!$A$1:$I$89,3,0)*VLOOKUP('Données projet'!$B$11,Paramètres!$A$1:$I$89,5,0)</f>
        <v>97.187999999999988</v>
      </c>
      <c r="BF28" s="13">
        <f t="shared" si="37"/>
        <v>26.290969297460332</v>
      </c>
      <c r="BG28" s="20">
        <f t="shared" si="7"/>
        <v>215.0592048597434</v>
      </c>
      <c r="BH28" s="59">
        <f t="shared" si="8"/>
        <v>508.39253819307669</v>
      </c>
      <c r="BI28" s="59">
        <f ca="1">AVERAGE(OFFSET($BH$3,0,0,'Données projet'!$E$11+1,1))-AVERAGE(OFFSET($H$3,0,0,'Données projet'!$E$11+1,1))</f>
        <v>210.04871822652808</v>
      </c>
      <c r="BJ28" s="59">
        <f t="shared" si="38"/>
        <v>250.17540614049324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15.261875817116271</v>
      </c>
      <c r="BR28" s="21">
        <f>EXP(-LN(2)/2)*BR27+(1-EXP(-LN(2)/2))/(LN(2)/2)*BL28*BO28*VLOOKUP('Données projet'!$B$11,Paramètres!$A$1:$I$89,3,0)*0.475*44/12</f>
        <v>4.4259674531033655</v>
      </c>
      <c r="BS28" s="22">
        <f t="shared" si="9"/>
        <v>19.687843270219638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14</v>
      </c>
      <c r="BY28" s="12">
        <f>IF('Données projet'!$A$114&gt;35,BY27+BX28-CG27,IF(A28&lt;'Données projet'!$A$114,$BV$205^A28,IF(A28='Données projet'!$A$114,'Données projet'!$B$114,BY27+BX28-CG27)))</f>
        <v>150.00000000000003</v>
      </c>
      <c r="BZ28" s="13">
        <f>BY28*VLOOKUP('Données projet'!$B$12,Paramètres!$A$1:$I$89,3,0)*VLOOKUP('Données projet'!$B$12,Paramètres!$A$1:$I$89,5,0)</f>
        <v>81.900000000000006</v>
      </c>
      <c r="CA28" s="13">
        <f t="shared" si="39"/>
        <v>22.601107473346342</v>
      </c>
      <c r="CB28" s="20">
        <f t="shared" si="10"/>
        <v>182.0060955160782</v>
      </c>
      <c r="CC28" s="59">
        <f t="shared" si="11"/>
        <v>475.33942884941155</v>
      </c>
      <c r="CD28" s="59">
        <f ca="1">AVERAGE(OFFSET($CC$3,0,0,'Données projet'!$E$12+1,1))-AVERAGE(OFFSET($H$3,0,0,'Données projet'!$E$12+1,1))</f>
        <v>168.72306536277267</v>
      </c>
      <c r="CE28" s="59">
        <f t="shared" si="40"/>
        <v>203.35476578922339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10.739838537970709</v>
      </c>
      <c r="CM28" s="21">
        <f>EXP(-LN(2)/2)*CM27+(1-EXP(-LN(2)/2))/(LN(2)/2)*CG28*CJ28*VLOOKUP('Données projet'!$B$12,Paramètres!$A$1:$I$89,3,0)*0.475*44/12</f>
        <v>3.1145696892208874</v>
      </c>
      <c r="CN28" s="22">
        <f t="shared" si="12"/>
        <v>13.854408227191596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5.6730769230769225</v>
      </c>
      <c r="CT28" s="12">
        <f>IF('Données projet'!$A$140&gt;35,CT27+CS28-DB27,IF(A28&lt;'Données projet'!$A$140,$CQ$205^A28,IF(A28='Données projet'!$A$140,'Données projet'!$B$140,CT27+CS28-DB27)))</f>
        <v>141.82692307692304</v>
      </c>
      <c r="CU28" s="17">
        <f>CT28*VLOOKUP('Données projet'!$B$13,Paramètres!$A$1:$I$89,3,0)*VLOOKUP('Données projet'!$B$13,Paramètres!$A$1:$I$89,5,0)</f>
        <v>68.218749999999986</v>
      </c>
      <c r="CV28" s="13">
        <f t="shared" si="41"/>
        <v>19.230449020607896</v>
      </c>
      <c r="CW28" s="20">
        <f t="shared" si="13"/>
        <v>152.30735496089207</v>
      </c>
      <c r="CX28" s="59">
        <f t="shared" si="14"/>
        <v>445.64068829422536</v>
      </c>
      <c r="CY28" s="59">
        <f ca="1">AVERAGE(OFFSET($CX$3,0,0,'Données projet'!$E$13+1,1))-AVERAGE(OFFSET($H$3,0,0,'Données projet'!$E$13+1,1))</f>
        <v>304.15237106473313</v>
      </c>
      <c r="CZ28" s="59">
        <f t="shared" si="42"/>
        <v>120.85458928724336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>
        <f>EXP(-LN(2)/35)*DF27+(1-EXP(-LN(2)/35))/(LN(2)/35)*DB28*DC28*VLOOKUP('Données projet'!$B$13,Paramètres!$A$1:$I$89,3,0)*0.475*44/12</f>
        <v>0</v>
      </c>
      <c r="DG28" s="21">
        <f>EXP(-LN(2)/25)*DG27+(1-EXP(-LN(2)/25))/(LN(2)/25)*Calculateur!DB28*Calculateur!DD28*VLOOKUP('Données projet'!$B$13,Paramètres!$A$1:$I$89,3,0)*0.475*44/12</f>
        <v>0</v>
      </c>
      <c r="DH28" s="21">
        <f>EXP(-LN(2)/2)*DH27+(1-EXP(-LN(2)/2))/(LN(2)/2)*DB28*DE28*VLOOKUP('Données projet'!$B$13,Paramètres!$A$1:$I$89,3,0)*0.475*44/12</f>
        <v>0</v>
      </c>
      <c r="DI28" s="22">
        <f t="shared" si="15"/>
        <v>0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3.8846153846153846</v>
      </c>
      <c r="DO28" s="12">
        <f>IF('Données projet'!$A$166&gt;35,DO27+DN28-DW27,IF(A28&lt;'Données projet'!$A$166,$DL$205^A28,IF(A28='Données projet'!$A$166,'Données projet'!$B$166,DO27+DN28-DW27)))</f>
        <v>97.115384615384642</v>
      </c>
      <c r="DP28" s="17">
        <f>DO28*VLOOKUP('Données projet'!$B$14,Paramètres!$A$1:$I$89,3,0)*VLOOKUP('Données projet'!$B$14,Paramètres!$A$1:$I$89,5,0)</f>
        <v>46.712500000000013</v>
      </c>
      <c r="DQ28" s="13">
        <f t="shared" si="43"/>
        <v>13.761417206988387</v>
      </c>
      <c r="DR28" s="20">
        <f t="shared" si="16"/>
        <v>105.32540580217147</v>
      </c>
      <c r="DS28" s="59">
        <f t="shared" si="17"/>
        <v>398.65873913550479</v>
      </c>
      <c r="DT28" s="59">
        <f ca="1">AVERAGE(OFFSET($DS$3,0,0,'Données projet'!$E$14+1,1))-AVERAGE(OFFSET($H$3,0,0,'Données projet'!$E$14+1,1))</f>
        <v>91.053246648097399</v>
      </c>
      <c r="DU28" s="59">
        <f t="shared" si="44"/>
        <v>64.716270355703955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>
        <f>EXP(-LN(2)/35)*EA27+(1-EXP(-LN(2)/35))/(LN(2)/35)*DW28*DX28*VLOOKUP('Données projet'!$B$14,Paramètres!$A$1:$I$89,3,0)*0.475*44/12</f>
        <v>0</v>
      </c>
      <c r="EB28" s="21">
        <f>EXP(-LN(2)/25)*EB27+(1-EXP(-LN(2)/25))/(LN(2)/25)*Calculateur!DW28*Calculateur!DY28*VLOOKUP('Données projet'!$B$14,Paramètres!$A$1:$I$89,3,0)*0.475*44/12</f>
        <v>0</v>
      </c>
      <c r="EC28" s="21">
        <f>EXP(-LN(2)/2)*EC27+(1-EXP(-LN(2)/2))/(LN(2)/2)*DW28*DZ28*VLOOKUP('Données projet'!$B$14,Paramètres!$A$1:$I$89,3,0)*0.475*44/12</f>
        <v>0</v>
      </c>
      <c r="ED28" s="22">
        <f t="shared" si="18"/>
        <v>0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15.3</v>
      </c>
      <c r="EJ28" s="12">
        <f>IF('Données projet'!$A$192&gt;35,EJ27+EI28-ER27,IF(A28&lt;'Données projet'!$A$192,$EG$205^A28,IF(A28='Données projet'!$A$192,'Données projet'!$B$192,EJ27+EI28-ER27)))</f>
        <v>153.5</v>
      </c>
      <c r="EK28" s="17">
        <f>EJ28*VLOOKUP('Données projet'!$B$15,Paramètres!$A$1:$I$89,3,0)*VLOOKUP('Données projet'!$B$15,Paramètres!$A$1:$I$89,5,0)</f>
        <v>91.793000000000006</v>
      </c>
      <c r="EL28" s="13">
        <f t="shared" si="45"/>
        <v>24.997155707793262</v>
      </c>
      <c r="EM28" s="20">
        <f t="shared" si="19"/>
        <v>203.40952119107328</v>
      </c>
      <c r="EN28" s="59">
        <f t="shared" si="20"/>
        <v>496.7428545244066</v>
      </c>
      <c r="EO28" s="59">
        <f ca="1">AVERAGE(OFFSET($EN$3,0,0,'Données projet'!$E$15+1,1))-AVERAGE(OFFSET($H$3,0,0,'Données projet'!$E$15+1,1))</f>
        <v>316.58509520829671</v>
      </c>
      <c r="EP28" s="59">
        <f t="shared" si="46"/>
        <v>240.71332110643596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>
        <f>EXP(-LN(2)/35)*EV27+(1-EXP(-LN(2)/35))/(LN(2)/35)*ER28*ES28*VLOOKUP('Données projet'!$B$15,Paramètres!$A$1:$I$89,3,0)*0.475*44/12</f>
        <v>0</v>
      </c>
      <c r="EW28" s="21">
        <f>EXP(-LN(2)/25)*EW27+(1-EXP(-LN(2)/25))/(LN(2)/25)*Calculateur!ER28*Calculateur!ET28*VLOOKUP('Données projet'!$B$15,Paramètres!$A$1:$I$89,3,0)*0.475*44/12</f>
        <v>4.4883911684376354</v>
      </c>
      <c r="EX28" s="21">
        <f>EXP(-LN(2)/2)*EX27+(1-EXP(-LN(2)/2))/(LN(2)/2)*ER28*EU28*VLOOKUP('Données projet'!$B$15,Paramètres!$A$1:$I$89,3,0)*0.475*44/12</f>
        <v>1.73552045339209</v>
      </c>
      <c r="EY28" s="22">
        <f t="shared" si="21"/>
        <v>6.2239116218297257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13.3</v>
      </c>
      <c r="FE28" s="12">
        <f>IF('Données projet'!$A$218&gt;35,FE27+FD28-FM27,IF(A28&lt;'Données projet'!$A$218,$FB$205^A28,IF(A28='Données projet'!$A$218,'Données projet'!$B$218,FE27+FD28-FM27)))</f>
        <v>133.5</v>
      </c>
      <c r="FF28" s="17">
        <f>FE28*VLOOKUP('Données projet'!$B$16,Paramètres!$A$1:$I$89,3,0)*VLOOKUP('Données projet'!$B$16,Paramètres!$A$1:$I$89,5,0)</f>
        <v>79.833000000000013</v>
      </c>
      <c r="FG28" s="13">
        <f t="shared" si="47"/>
        <v>22.096346795793803</v>
      </c>
      <c r="FH28" s="20">
        <f t="shared" si="22"/>
        <v>177.52694566934088</v>
      </c>
      <c r="FI28" s="59">
        <f t="shared" si="23"/>
        <v>470.86027900267419</v>
      </c>
      <c r="FJ28" s="59">
        <f ca="1">AVERAGE(OFFSET($FI$3,0,0,'Données projet'!$E$16+1,1))-AVERAGE(OFFSET($H$3,0,0,'Données projet'!$E$16+1,1))</f>
        <v>270.30888762640245</v>
      </c>
      <c r="FK28" s="59">
        <f t="shared" si="48"/>
        <v>202.23783851977691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>
        <f>EXP(-LN(2)/35)*FQ27+(1-EXP(-LN(2)/35))/(LN(2)/35)*FM28*FN28*VLOOKUP('Données projet'!$B$16,Paramètres!$A$1:$I$89,3,0)*0.475*44/12</f>
        <v>0</v>
      </c>
      <c r="FR28" s="21">
        <f>EXP(-LN(2)/25)*FR27+(1-EXP(-LN(2)/25))/(LN(2)/25)*Calculateur!FM28*Calculateur!FO28*VLOOKUP('Données projet'!$B$16,Paramètres!$A$1:$I$89,3,0)*0.475*44/12</f>
        <v>3.0954421851294032</v>
      </c>
      <c r="FS28" s="21">
        <f>EXP(-LN(2)/2)*FS27+(1-EXP(-LN(2)/2))/(LN(2)/2)*FM28*FP28*VLOOKUP('Données projet'!$B$16,Paramètres!$A$1:$I$89,3,0)*0.475*44/12</f>
        <v>1.1969106575117865</v>
      </c>
      <c r="FT28" s="22">
        <f t="shared" si="24"/>
        <v>4.2923528426411899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14.5</v>
      </c>
      <c r="FZ28" s="12">
        <f>IF('Données projet'!$A$244&gt;35,FZ27+FY28-GH27,IF(A28&lt;'Données projet'!$A$244,$FW$205^A28,IF(A28='Données projet'!$A$244,'Données projet'!$B$244,FZ27+FY28-GH27)))</f>
        <v>139.5</v>
      </c>
      <c r="GA28" s="17">
        <f>FZ28*VLOOKUP('Données projet'!$B$17,Paramètres!$A$1:$I$89,3,0)*VLOOKUP('Données projet'!$B$17,Paramètres!$A$1:$I$89,5,0)</f>
        <v>110.9862</v>
      </c>
      <c r="GB28" s="13">
        <f t="shared" si="49"/>
        <v>29.563220146103436</v>
      </c>
      <c r="GC28" s="20">
        <f t="shared" si="25"/>
        <v>244.79024008779683</v>
      </c>
      <c r="GD28" s="59">
        <f t="shared" si="26"/>
        <v>538.12357342113012</v>
      </c>
      <c r="GE28" s="59">
        <f ca="1">AVERAGE(OFFSET($GD$3,0,0,'Données projet'!$E$17+1,1))-AVERAGE(OFFSET($H$3,0,0,'Données projet'!$E$17+1,1))</f>
        <v>260.20517190557814</v>
      </c>
      <c r="GF28" s="59">
        <f t="shared" si="50"/>
        <v>307.22009971147133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>
        <f>EXP(-LN(2)/35)*GL27+(1-EXP(-LN(2)/35))/(LN(2)/35)*GH28*GI28*VLOOKUP('Données projet'!$B$17,Paramètres!$A$1:$I$89,3,0)*0.475*44/12</f>
        <v>0</v>
      </c>
      <c r="GM28" s="21">
        <f>EXP(-LN(2)/25)*GM27+(1-EXP(-LN(2)/25))/(LN(2)/25)*Calculateur!GH28*Calculateur!GJ28*VLOOKUP('Données projet'!$B$17,Paramètres!$A$1:$I$89,3,0)*0.475*44/12</f>
        <v>6.7703825503516901</v>
      </c>
      <c r="GN28" s="21">
        <f>EXP(-LN(2)/2)*GN27+(1-EXP(-LN(2)/2))/(LN(2)/2)*GH28*GK28*VLOOKUP('Données projet'!$B$17,Paramètres!$A$1:$I$89,3,0)*0.475*44/12</f>
        <v>2.2227411503900951</v>
      </c>
      <c r="GO28" s="21">
        <f t="shared" si="27"/>
        <v>8.9931237007417852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12.2</v>
      </c>
      <c r="GU28" s="12">
        <f>IF('Données projet'!$A$270&gt;35,GU27+GT28-HC27,IF(A28&lt;'Données projet'!$A$270,$GR$205^A28,IF(A28='Données projet'!$A$270,'Données projet'!$B$270,GU27+GT28-HC27)))</f>
        <v>113.00000000000001</v>
      </c>
      <c r="GV28" s="17">
        <f>GU28*VLOOKUP('Données projet'!$B$18,Paramètres!$A$1:$I$89,3,0)*VLOOKUP('Données projet'!$B$18,Paramètres!$A$1:$I$89,5,0)</f>
        <v>89.902800000000013</v>
      </c>
      <c r="GW28" s="13">
        <f t="shared" si="51"/>
        <v>24.541781220398729</v>
      </c>
      <c r="GX28" s="20">
        <f t="shared" si="28"/>
        <v>199.32431229219446</v>
      </c>
      <c r="GY28" s="59">
        <f t="shared" si="29"/>
        <v>492.65764562552778</v>
      </c>
      <c r="GZ28" s="59">
        <f ca="1">AVERAGE(OFFSET($GY$3,0,0,'Données projet'!$E$18+1,1))-AVERAGE(OFFSET($H$3,0,0,'Données projet'!$E$18+1,1))</f>
        <v>199.58763537752952</v>
      </c>
      <c r="HA28" s="59">
        <f t="shared" si="52"/>
        <v>242.62852778451929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>
        <f>EXP(-LN(2)/35)*HG27+(1-EXP(-LN(2)/35))/(LN(2)/35)*HC28*HD28*VLOOKUP('Données projet'!$B$18,Paramètres!$A$1:$I$89,3,0)*0.475*44/12</f>
        <v>0</v>
      </c>
      <c r="HH28" s="21">
        <f>EXP(-LN(2)/25)*HH27+(1-EXP(-LN(2)/25))/(LN(2)/25)*Calculateur!HC28*Calculateur!HE28*VLOOKUP('Données projet'!$B$18,Paramètres!$A$1:$I$89,3,0)*0.475*44/12</f>
        <v>4.3451708905242192</v>
      </c>
      <c r="HI28" s="21">
        <f>EXP(-LN(2)/2)*HI27+(1-EXP(-LN(2)/2))/(LN(2)/2)*HC28*HF28*VLOOKUP('Données projet'!$B$18,Paramètres!$A$1:$I$89,3,0)*0.475*44/12</f>
        <v>1.4265353651757324</v>
      </c>
      <c r="HJ28" s="22">
        <f t="shared" si="30"/>
        <v>5.7717062556999519</v>
      </c>
    </row>
    <row r="29" spans="1:218" x14ac:dyDescent="0.2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23.119199999999996</v>
      </c>
      <c r="D29" s="11">
        <f t="shared" si="32"/>
        <v>7.3919399937804329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235.5245894256735</v>
      </c>
      <c r="H29" s="67">
        <f t="shared" si="1"/>
        <v>346.47356882250091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22.828205128205127</v>
      </c>
      <c r="N29" s="13">
        <f>IF('Données projet'!$A$36&gt;35,N28+M29-V28,IF(A29&lt;'Données projet'!$A$36,$K$205^A29,IF(A29='Données projet'!$A$36,'Données projet'!$B$36,N28+M29-V28)))</f>
        <v>240.55641025641015</v>
      </c>
      <c r="O29" s="13">
        <f>N29*VLOOKUP('Données projet'!$B$9,Paramètres!$A$1:$I$89,3,0)*VLOOKUP('Données projet'!$B$9,Paramètres!$A$1:$I$89,5,0)</f>
        <v>134.47103333333328</v>
      </c>
      <c r="P29" s="13">
        <f t="shared" si="33"/>
        <v>35.027441907439481</v>
      </c>
      <c r="Q29" s="20">
        <f t="shared" si="2"/>
        <v>295.20984437767919</v>
      </c>
      <c r="R29" s="59">
        <f t="shared" si="0"/>
        <v>588.5431777110125</v>
      </c>
      <c r="S29" s="59">
        <f ca="1">AVERAGE(OFFSET($R$3,0,0,'Données projet'!$E$9+1,1))-AVERAGE(OFFSET($H$3,0,0,'Données projet'!$E$9+1,1))</f>
        <v>255.5374979188561</v>
      </c>
      <c r="T29" s="59">
        <f t="shared" si="34"/>
        <v>343.10418468620901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3.3447806983760007</v>
      </c>
      <c r="AA29" s="21">
        <f>EXP(-LN(2)/25)*AA28+(1-EXP(-LN(2)/25))/(LN(2)/25)*Calculateur!V29*Calculateur!X29*VLOOKUP('Données projet'!$B$9,Paramètres!$A$1:$I$89,3,0)*0.475*44/12</f>
        <v>17.832192246548161</v>
      </c>
      <c r="AB29" s="21">
        <f>EXP(-LN(2)/2)*AB28+(1-EXP(-LN(2)/2))/(LN(2)/2)*V29*Y29*VLOOKUP('Données projet'!$B$9,Paramètres!$A$1:$I$89,3,0)*0.475*44/12</f>
        <v>6.7706083178162624</v>
      </c>
      <c r="AC29" s="22">
        <f t="shared" si="3"/>
        <v>27.947581262740421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16.687912087912085</v>
      </c>
      <c r="AI29" s="13">
        <f>IF('Données projet'!$A$62&gt;35,AI28+AH29-AQ28,IF(A29&lt;'Données projet'!$A$62,$AF$205^A29,IF(A29='Données projet'!$A$62,'Données projet'!$B$62,AI28+AH29-AQ28)))</f>
        <v>202.33186813186813</v>
      </c>
      <c r="AJ29" s="13">
        <f>AI29*VLOOKUP('Données projet'!$B$10,Paramètres!$A$1:$I$89,3,0)*VLOOKUP('Données projet'!$B$10,Paramètres!$A$1:$I$89,5,0)</f>
        <v>113.1035142857143</v>
      </c>
      <c r="AK29" s="13">
        <f t="shared" si="35"/>
        <v>30.061008485627202</v>
      </c>
      <c r="AL29" s="20">
        <f t="shared" si="4"/>
        <v>249.34487716008644</v>
      </c>
      <c r="AM29" s="59">
        <f t="shared" si="5"/>
        <v>542.67821049341978</v>
      </c>
      <c r="AN29" s="59">
        <f ca="1">AVERAGE(OFFSET($AM$3,0,0,'Données projet'!$E$10+1,1))-AVERAGE(OFFSET($H$3,0,0,'Données projet'!$E$10+1,1))</f>
        <v>224.7049802939942</v>
      </c>
      <c r="AO29" s="59">
        <f t="shared" si="36"/>
        <v>203.48513862195352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10.816494155665627</v>
      </c>
      <c r="AW29" s="21">
        <f>EXP(-LN(2)/2)*AW28+(1-EXP(-LN(2)/2))/(LN(2)/2)*AQ29*AT29*VLOOKUP('Données projet'!$B$10,Paramètres!$A$1:$I$89,3,0)*0.475*44/12</f>
        <v>3.4219635667805193</v>
      </c>
      <c r="AX29" s="21">
        <f t="shared" si="6"/>
        <v>14.238457722446146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16.399999999999999</v>
      </c>
      <c r="BD29" s="12">
        <f>IF('Données projet'!$A$88&gt;35,BD28+BC29-BL28,IF(A29&lt;'Données projet'!$A$88,$BA$205^A29,IF(A29='Données projet'!$A$88,'Données projet'!$B$88,BD28+BC29-BL28)))</f>
        <v>194.4</v>
      </c>
      <c r="BE29" s="13">
        <f>BD29*VLOOKUP('Données projet'!$B$11,Paramètres!$A$1:$I$89,3,0)*VLOOKUP('Données projet'!$B$11,Paramètres!$A$1:$I$89,5,0)</f>
        <v>106.14239999999999</v>
      </c>
      <c r="BF29" s="13">
        <f t="shared" si="37"/>
        <v>28.420224211524975</v>
      </c>
      <c r="BG29" s="20">
        <f t="shared" si="7"/>
        <v>234.36323716840596</v>
      </c>
      <c r="BH29" s="59">
        <f t="shared" si="8"/>
        <v>527.6965705017393</v>
      </c>
      <c r="BI29" s="59">
        <f ca="1">AVERAGE(OFFSET($BH$3,0,0,'Données projet'!$E$11+1,1))-AVERAGE(OFFSET($H$3,0,0,'Données projet'!$E$11+1,1))</f>
        <v>210.04871822652808</v>
      </c>
      <c r="BJ29" s="59">
        <f t="shared" si="38"/>
        <v>250.17540614049324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14.844539020310059</v>
      </c>
      <c r="BR29" s="21">
        <f>EXP(-LN(2)/2)*BR28+(1-EXP(-LN(2)/2))/(LN(2)/2)*BL29*BO29*VLOOKUP('Données projet'!$B$11,Paramètres!$A$1:$I$89,3,0)*0.475*44/12</f>
        <v>3.1296315994003425</v>
      </c>
      <c r="BS29" s="22">
        <f t="shared" si="9"/>
        <v>17.974170619710399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14</v>
      </c>
      <c r="BY29" s="12">
        <f>IF('Données projet'!$A$114&gt;35,BY28+BX29-CG28,IF(A29&lt;'Données projet'!$A$114,$BV$205^A29,IF(A29='Données projet'!$A$114,'Données projet'!$B$114,BY28+BX29-CG28)))</f>
        <v>164.00000000000003</v>
      </c>
      <c r="BZ29" s="13">
        <f>BY29*VLOOKUP('Données projet'!$B$12,Paramètres!$A$1:$I$89,3,0)*VLOOKUP('Données projet'!$B$12,Paramètres!$A$1:$I$89,5,0)</f>
        <v>89.544000000000011</v>
      </c>
      <c r="CA29" s="13">
        <f t="shared" si="39"/>
        <v>24.45521628326841</v>
      </c>
      <c r="CB29" s="20">
        <f t="shared" si="10"/>
        <v>198.54863502669249</v>
      </c>
      <c r="CC29" s="59">
        <f t="shared" si="11"/>
        <v>491.88196836002578</v>
      </c>
      <c r="CD29" s="59">
        <f ca="1">AVERAGE(OFFSET($CC$3,0,0,'Données projet'!$E$12+1,1))-AVERAGE(OFFSET($H$3,0,0,'Données projet'!$E$12+1,1))</f>
        <v>168.72306536277267</v>
      </c>
      <c r="CE29" s="59">
        <f t="shared" si="40"/>
        <v>203.35476578922339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10.446157088366338</v>
      </c>
      <c r="CM29" s="21">
        <f>EXP(-LN(2)/2)*CM28+(1-EXP(-LN(2)/2))/(LN(2)/2)*CG29*CJ29*VLOOKUP('Données projet'!$B$12,Paramètres!$A$1:$I$89,3,0)*0.475*44/12</f>
        <v>2.2023333477261673</v>
      </c>
      <c r="CN29" s="22">
        <f t="shared" si="12"/>
        <v>12.648490436092505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5.6730769230769225</v>
      </c>
      <c r="CT29" s="12">
        <f>IF('Données projet'!$A$140&gt;35,CT28+CS29-DB28,IF(A29&lt;'Données projet'!$A$140,$CQ$205^A29,IF(A29='Données projet'!$A$140,'Données projet'!$B$140,CT28+CS29-DB28)))</f>
        <v>147.49999999999997</v>
      </c>
      <c r="CU29" s="17">
        <f>CT29*VLOOKUP('Données projet'!$B$13,Paramètres!$A$1:$I$89,3,0)*VLOOKUP('Données projet'!$B$13,Paramètres!$A$1:$I$89,5,0)</f>
        <v>70.947499999999991</v>
      </c>
      <c r="CV29" s="13">
        <f t="shared" si="41"/>
        <v>19.908570780090567</v>
      </c>
      <c r="CW29" s="20">
        <f t="shared" si="13"/>
        <v>158.24098994199105</v>
      </c>
      <c r="CX29" s="59">
        <f t="shared" si="14"/>
        <v>451.57432327532433</v>
      </c>
      <c r="CY29" s="59">
        <f ca="1">AVERAGE(OFFSET($CX$3,0,0,'Données projet'!$E$13+1,1))-AVERAGE(OFFSET($H$3,0,0,'Données projet'!$E$13+1,1))</f>
        <v>304.15237106473313</v>
      </c>
      <c r="CZ29" s="59">
        <f t="shared" si="42"/>
        <v>120.85458928724336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>
        <f>EXP(-LN(2)/35)*DF28+(1-EXP(-LN(2)/35))/(LN(2)/35)*DB29*DC29*VLOOKUP('Données projet'!$B$13,Paramètres!$A$1:$I$89,3,0)*0.475*44/12</f>
        <v>0</v>
      </c>
      <c r="DG29" s="21">
        <f>EXP(-LN(2)/25)*DG28+(1-EXP(-LN(2)/25))/(LN(2)/25)*Calculateur!DB29*Calculateur!DD29*VLOOKUP('Données projet'!$B$13,Paramètres!$A$1:$I$89,3,0)*0.475*44/12</f>
        <v>0</v>
      </c>
      <c r="DH29" s="21">
        <f>EXP(-LN(2)/2)*DH28+(1-EXP(-LN(2)/2))/(LN(2)/2)*DB29*DE29*VLOOKUP('Données projet'!$B$13,Paramètres!$A$1:$I$89,3,0)*0.475*44/12</f>
        <v>0</v>
      </c>
      <c r="DI29" s="22">
        <f t="shared" si="15"/>
        <v>0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3.8846153846153846</v>
      </c>
      <c r="DO29" s="12">
        <f>IF('Données projet'!$A$166&gt;35,DO28+DN29-DW28,IF(A29&lt;'Données projet'!$A$166,$DL$205^A29,IF(A29='Données projet'!$A$166,'Données projet'!$B$166,DO28+DN29-DW28)))</f>
        <v>101.00000000000003</v>
      </c>
      <c r="DP29" s="17">
        <f>DO29*VLOOKUP('Données projet'!$B$14,Paramètres!$A$1:$I$89,3,0)*VLOOKUP('Données projet'!$B$14,Paramètres!$A$1:$I$89,5,0)</f>
        <v>48.581000000000017</v>
      </c>
      <c r="DQ29" s="13">
        <f t="shared" si="43"/>
        <v>14.246684942514372</v>
      </c>
      <c r="DR29" s="20">
        <f t="shared" si="16"/>
        <v>109.42488460821255</v>
      </c>
      <c r="DS29" s="59">
        <f t="shared" si="17"/>
        <v>402.75821794154587</v>
      </c>
      <c r="DT29" s="59">
        <f ca="1">AVERAGE(OFFSET($DS$3,0,0,'Données projet'!$E$14+1,1))-AVERAGE(OFFSET($H$3,0,0,'Données projet'!$E$14+1,1))</f>
        <v>91.053246648097399</v>
      </c>
      <c r="DU29" s="59">
        <f t="shared" si="44"/>
        <v>64.716270355703955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>
        <f>EXP(-LN(2)/35)*EA28+(1-EXP(-LN(2)/35))/(LN(2)/35)*DW29*DX29*VLOOKUP('Données projet'!$B$14,Paramètres!$A$1:$I$89,3,0)*0.475*44/12</f>
        <v>0</v>
      </c>
      <c r="EB29" s="21">
        <f>EXP(-LN(2)/25)*EB28+(1-EXP(-LN(2)/25))/(LN(2)/25)*Calculateur!DW29*Calculateur!DY29*VLOOKUP('Données projet'!$B$14,Paramètres!$A$1:$I$89,3,0)*0.475*44/12</f>
        <v>0</v>
      </c>
      <c r="EC29" s="21">
        <f>EXP(-LN(2)/2)*EC28+(1-EXP(-LN(2)/2))/(LN(2)/2)*DW29*DZ29*VLOOKUP('Données projet'!$B$14,Paramètres!$A$1:$I$89,3,0)*0.475*44/12</f>
        <v>0</v>
      </c>
      <c r="ED29" s="22">
        <f t="shared" si="18"/>
        <v>0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15.3</v>
      </c>
      <c r="EJ29" s="12">
        <f>IF('Données projet'!$A$192&gt;35,EJ28+EI29-ER28,IF(A29&lt;'Données projet'!$A$192,$EG$205^A29,IF(A29='Données projet'!$A$192,'Données projet'!$B$192,EJ28+EI29-ER28)))</f>
        <v>168.8</v>
      </c>
      <c r="EK29" s="17">
        <f>EJ29*VLOOKUP('Données projet'!$B$15,Paramètres!$A$1:$I$89,3,0)*VLOOKUP('Données projet'!$B$15,Paramètres!$A$1:$I$89,5,0)</f>
        <v>100.94240000000002</v>
      </c>
      <c r="EL29" s="13">
        <f t="shared" si="45"/>
        <v>27.186388642071154</v>
      </c>
      <c r="EM29" s="20">
        <f t="shared" si="19"/>
        <v>223.15764021827397</v>
      </c>
      <c r="EN29" s="59">
        <f t="shared" si="20"/>
        <v>516.49097355160734</v>
      </c>
      <c r="EO29" s="59">
        <f ca="1">AVERAGE(OFFSET($EN$3,0,0,'Données projet'!$E$15+1,1))-AVERAGE(OFFSET($H$3,0,0,'Données projet'!$E$15+1,1))</f>
        <v>316.58509520829671</v>
      </c>
      <c r="EP29" s="59">
        <f t="shared" si="46"/>
        <v>240.71332110643596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>
        <f>EXP(-LN(2)/35)*EV28+(1-EXP(-LN(2)/35))/(LN(2)/35)*ER29*ES29*VLOOKUP('Données projet'!$B$15,Paramètres!$A$1:$I$89,3,0)*0.475*44/12</f>
        <v>0</v>
      </c>
      <c r="EW29" s="21">
        <f>EXP(-LN(2)/25)*EW28+(1-EXP(-LN(2)/25))/(LN(2)/25)*Calculateur!ER29*Calculateur!ET29*VLOOKUP('Données projet'!$B$15,Paramètres!$A$1:$I$89,3,0)*0.475*44/12</f>
        <v>4.3656558759024753</v>
      </c>
      <c r="EX29" s="21">
        <f>EXP(-LN(2)/2)*EX28+(1-EXP(-LN(2)/2))/(LN(2)/2)*ER29*EU29*VLOOKUP('Données projet'!$B$15,Paramètres!$A$1:$I$89,3,0)*0.475*44/12</f>
        <v>1.2271982814814983</v>
      </c>
      <c r="EY29" s="22">
        <f t="shared" si="21"/>
        <v>5.5928541573839734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13.3</v>
      </c>
      <c r="FE29" s="12">
        <f>IF('Données projet'!$A$218&gt;35,FE28+FD29-FM28,IF(A29&lt;'Données projet'!$A$218,$FB$205^A29,IF(A29='Données projet'!$A$218,'Données projet'!$B$218,FE28+FD29-FM28)))</f>
        <v>146.80000000000001</v>
      </c>
      <c r="FF29" s="17">
        <f>FE29*VLOOKUP('Données projet'!$B$16,Paramètres!$A$1:$I$89,3,0)*VLOOKUP('Données projet'!$B$16,Paramètres!$A$1:$I$89,5,0)</f>
        <v>87.786400000000015</v>
      </c>
      <c r="FG29" s="13">
        <f t="shared" si="47"/>
        <v>24.030586680166543</v>
      </c>
      <c r="FH29" s="20">
        <f t="shared" si="22"/>
        <v>194.74791846795674</v>
      </c>
      <c r="FI29" s="59">
        <f t="shared" si="23"/>
        <v>488.08125180129002</v>
      </c>
      <c r="FJ29" s="59">
        <f ca="1">AVERAGE(OFFSET($FI$3,0,0,'Données projet'!$E$16+1,1))-AVERAGE(OFFSET($H$3,0,0,'Données projet'!$E$16+1,1))</f>
        <v>270.30888762640245</v>
      </c>
      <c r="FK29" s="59">
        <f t="shared" si="48"/>
        <v>202.23783851977691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>
        <f>EXP(-LN(2)/35)*FQ28+(1-EXP(-LN(2)/35))/(LN(2)/35)*FM29*FN29*VLOOKUP('Données projet'!$B$16,Paramètres!$A$1:$I$89,3,0)*0.475*44/12</f>
        <v>0</v>
      </c>
      <c r="FR29" s="21">
        <f>EXP(-LN(2)/25)*FR28+(1-EXP(-LN(2)/25))/(LN(2)/25)*Calculateur!FM29*Calculateur!FO29*VLOOKUP('Données projet'!$B$16,Paramètres!$A$1:$I$89,3,0)*0.475*44/12</f>
        <v>3.0107971557948097</v>
      </c>
      <c r="FS29" s="21">
        <f>EXP(-LN(2)/2)*FS28+(1-EXP(-LN(2)/2))/(LN(2)/2)*FM29*FP29*VLOOKUP('Données projet'!$B$16,Paramètres!$A$1:$I$89,3,0)*0.475*44/12</f>
        <v>0.84634364240103355</v>
      </c>
      <c r="FT29" s="22">
        <f t="shared" si="24"/>
        <v>3.857140798195843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14.5</v>
      </c>
      <c r="FZ29" s="12">
        <f>IF('Données projet'!$A$244&gt;35,FZ28+FY29-GH28,IF(A29&lt;'Données projet'!$A$244,$FW$205^A29,IF(A29='Données projet'!$A$244,'Données projet'!$B$244,FZ28+FY29-GH28)))</f>
        <v>154</v>
      </c>
      <c r="GA29" s="17">
        <f>FZ29*VLOOKUP('Données projet'!$B$17,Paramètres!$A$1:$I$89,3,0)*VLOOKUP('Données projet'!$B$17,Paramètres!$A$1:$I$89,5,0)</f>
        <v>122.52240000000002</v>
      </c>
      <c r="GB29" s="13">
        <f t="shared" si="49"/>
        <v>32.26259352430629</v>
      </c>
      <c r="GC29" s="20">
        <f t="shared" si="25"/>
        <v>269.58386372150017</v>
      </c>
      <c r="GD29" s="59">
        <f t="shared" si="26"/>
        <v>562.91719705483342</v>
      </c>
      <c r="GE29" s="59">
        <f ca="1">AVERAGE(OFFSET($GD$3,0,0,'Données projet'!$E$17+1,1))-AVERAGE(OFFSET($H$3,0,0,'Données projet'!$E$17+1,1))</f>
        <v>260.20517190557814</v>
      </c>
      <c r="GF29" s="59">
        <f t="shared" si="50"/>
        <v>307.22009971147133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>
        <f>EXP(-LN(2)/35)*GL28+(1-EXP(-LN(2)/35))/(LN(2)/35)*GH29*GI29*VLOOKUP('Données projet'!$B$17,Paramètres!$A$1:$I$89,3,0)*0.475*44/12</f>
        <v>0</v>
      </c>
      <c r="GM29" s="21">
        <f>EXP(-LN(2)/25)*GM28+(1-EXP(-LN(2)/25))/(LN(2)/25)*Calculateur!GH29*Calculateur!GJ29*VLOOKUP('Données projet'!$B$17,Paramètres!$A$1:$I$89,3,0)*0.475*44/12</f>
        <v>6.585246083473379</v>
      </c>
      <c r="GN29" s="21">
        <f>EXP(-LN(2)/2)*GN28+(1-EXP(-LN(2)/2))/(LN(2)/2)*GH29*GK29*VLOOKUP('Données projet'!$B$17,Paramètres!$A$1:$I$89,3,0)*0.475*44/12</f>
        <v>1.571715340263224</v>
      </c>
      <c r="GO29" s="21">
        <f t="shared" si="27"/>
        <v>8.1569614237366039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12.2</v>
      </c>
      <c r="GU29" s="12">
        <f>IF('Données projet'!$A$270&gt;35,GU28+GT29-HC28,IF(A29&lt;'Données projet'!$A$270,$GR$205^A29,IF(A29='Données projet'!$A$270,'Données projet'!$B$270,GU28+GT29-HC28)))</f>
        <v>125.20000000000002</v>
      </c>
      <c r="GV29" s="17">
        <f>GU29*VLOOKUP('Données projet'!$B$18,Paramètres!$A$1:$I$89,3,0)*VLOOKUP('Données projet'!$B$18,Paramètres!$A$1:$I$89,5,0)</f>
        <v>99.609120000000019</v>
      </c>
      <c r="GW29" s="13">
        <f t="shared" si="51"/>
        <v>26.868854563103099</v>
      </c>
      <c r="GX29" s="20">
        <f t="shared" si="28"/>
        <v>220.28247236407125</v>
      </c>
      <c r="GY29" s="59">
        <f t="shared" si="29"/>
        <v>513.61580569740454</v>
      </c>
      <c r="GZ29" s="59">
        <f ca="1">AVERAGE(OFFSET($GY$3,0,0,'Données projet'!$E$18+1,1))-AVERAGE(OFFSET($H$3,0,0,'Données projet'!$E$18+1,1))</f>
        <v>199.58763537752952</v>
      </c>
      <c r="HA29" s="59">
        <f t="shared" si="52"/>
        <v>242.62852778451929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>
        <f>EXP(-LN(2)/35)*HG28+(1-EXP(-LN(2)/35))/(LN(2)/35)*HC29*HD29*VLOOKUP('Données projet'!$B$18,Paramètres!$A$1:$I$89,3,0)*0.475*44/12</f>
        <v>0</v>
      </c>
      <c r="HH29" s="21">
        <f>EXP(-LN(2)/25)*HH28+(1-EXP(-LN(2)/25))/(LN(2)/25)*Calculateur!HC29*Calculateur!HE29*VLOOKUP('Données projet'!$B$18,Paramètres!$A$1:$I$89,3,0)*0.475*44/12</f>
        <v>4.2263519640202283</v>
      </c>
      <c r="HI29" s="21">
        <f>EXP(-LN(2)/2)*HI28+(1-EXP(-LN(2)/2))/(LN(2)/2)*HC29*HF29*VLOOKUP('Données projet'!$B$18,Paramètres!$A$1:$I$89,3,0)*0.475*44/12</f>
        <v>1.0087128303181883</v>
      </c>
      <c r="HJ29" s="22">
        <f t="shared" si="30"/>
        <v>5.2350647943384168</v>
      </c>
    </row>
    <row r="30" spans="1:218" x14ac:dyDescent="0.2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24.008399999999995</v>
      </c>
      <c r="D30" s="11">
        <f t="shared" si="32"/>
        <v>7.6425977910346958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244.32349172026781</v>
      </c>
      <c r="H30" s="67">
        <f t="shared" si="1"/>
        <v>348.45882115271871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22.828205128205127</v>
      </c>
      <c r="N30" s="13">
        <f>IF('Données projet'!$A$36&gt;35,N29+M30-V29,IF(A30&lt;'Données projet'!$A$36,$K$205^A30,IF(A30='Données projet'!$A$36,'Données projet'!$B$36,N29+M30-V29)))</f>
        <v>263.38461538461524</v>
      </c>
      <c r="O30" s="13">
        <f>N30*VLOOKUP('Données projet'!$B$9,Paramètres!$A$1:$I$89,3,0)*VLOOKUP('Données projet'!$B$9,Paramètres!$A$1:$I$89,5,0)</f>
        <v>147.23199999999994</v>
      </c>
      <c r="P30" s="13">
        <f t="shared" si="33"/>
        <v>37.948867426510738</v>
      </c>
      <c r="Q30" s="20">
        <f t="shared" si="2"/>
        <v>322.52334410117277</v>
      </c>
      <c r="R30" s="59">
        <f t="shared" si="0"/>
        <v>615.85667743450608</v>
      </c>
      <c r="S30" s="59">
        <f ca="1">AVERAGE(OFFSET($R$3,0,0,'Données projet'!$E$9+1,1))-AVERAGE(OFFSET($H$3,0,0,'Données projet'!$E$9+1,1))</f>
        <v>255.5374979188561</v>
      </c>
      <c r="T30" s="59">
        <f t="shared" si="34"/>
        <v>343.10418468620901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3.2791915889956287</v>
      </c>
      <c r="AA30" s="21">
        <f>EXP(-LN(2)/25)*AA29+(1-EXP(-LN(2)/25))/(LN(2)/25)*Calculateur!V30*Calculateur!X30*VLOOKUP('Données projet'!$B$9,Paramètres!$A$1:$I$89,3,0)*0.475*44/12</f>
        <v>17.344570011812067</v>
      </c>
      <c r="AB30" s="21">
        <f>EXP(-LN(2)/2)*AB29+(1-EXP(-LN(2)/2))/(LN(2)/2)*V30*Y30*VLOOKUP('Données projet'!$B$9,Paramètres!$A$1:$I$89,3,0)*0.475*44/12</f>
        <v>4.7875430542859228</v>
      </c>
      <c r="AC30" s="22">
        <f t="shared" si="3"/>
        <v>25.41130465509362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16.687912087912085</v>
      </c>
      <c r="AI30" s="13">
        <f>IF('Données projet'!$A$62&gt;35,AI29+AH30-AQ29,IF(A30&lt;'Données projet'!$A$62,$AF$205^A30,IF(A30='Données projet'!$A$62,'Données projet'!$B$62,AI29+AH30-AQ29)))</f>
        <v>219.01978021978022</v>
      </c>
      <c r="AJ30" s="13">
        <f>AI30*VLOOKUP('Données projet'!$B$10,Paramètres!$A$1:$I$89,3,0)*VLOOKUP('Données projet'!$B$10,Paramètres!$A$1:$I$89,5,0)</f>
        <v>122.43205714285713</v>
      </c>
      <c r="AK30" s="13">
        <f t="shared" si="35"/>
        <v>32.241572593058322</v>
      </c>
      <c r="AL30" s="20">
        <f t="shared" si="4"/>
        <v>269.38990512338609</v>
      </c>
      <c r="AM30" s="59">
        <f t="shared" si="5"/>
        <v>562.7232384567194</v>
      </c>
      <c r="AN30" s="59">
        <f ca="1">AVERAGE(OFFSET($AM$3,0,0,'Données projet'!$E$10+1,1))-AVERAGE(OFFSET($H$3,0,0,'Données projet'!$E$10+1,1))</f>
        <v>224.7049802939942</v>
      </c>
      <c r="AO30" s="59">
        <f t="shared" si="36"/>
        <v>203.48513862195352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10.520716554164244</v>
      </c>
      <c r="AW30" s="21">
        <f>EXP(-LN(2)/2)*AW29+(1-EXP(-LN(2)/2))/(LN(2)/2)*AQ30*AT30*VLOOKUP('Données projet'!$B$10,Paramètres!$A$1:$I$89,3,0)*0.475*44/12</f>
        <v>2.4196936430438103</v>
      </c>
      <c r="AX30" s="21">
        <f t="shared" si="6"/>
        <v>12.940410197208054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16.399999999999999</v>
      </c>
      <c r="BD30" s="12">
        <f>IF('Données projet'!$A$88&gt;35,BD29+BC30-BL29,IF(A30&lt;'Données projet'!$A$88,$BA$205^A30,IF(A30='Données projet'!$A$88,'Données projet'!$B$88,BD29+BC30-BL29)))</f>
        <v>210.8</v>
      </c>
      <c r="BE30" s="13">
        <f>BD30*VLOOKUP('Données projet'!$B$11,Paramètres!$A$1:$I$89,3,0)*VLOOKUP('Données projet'!$B$11,Paramètres!$A$1:$I$89,5,0)</f>
        <v>115.0968</v>
      </c>
      <c r="BF30" s="13">
        <f t="shared" si="37"/>
        <v>30.528646626547697</v>
      </c>
      <c r="BG30" s="20">
        <f t="shared" si="7"/>
        <v>253.6309862079039</v>
      </c>
      <c r="BH30" s="59">
        <f t="shared" si="8"/>
        <v>546.96431954123727</v>
      </c>
      <c r="BI30" s="59">
        <f ca="1">AVERAGE(OFFSET($BH$3,0,0,'Données projet'!$E$11+1,1))-AVERAGE(OFFSET($H$3,0,0,'Données projet'!$E$11+1,1))</f>
        <v>210.04871822652808</v>
      </c>
      <c r="BJ30" s="59">
        <f t="shared" si="38"/>
        <v>250.17540614049324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14.438614320159301</v>
      </c>
      <c r="BR30" s="21">
        <f>EXP(-LN(2)/2)*BR29+(1-EXP(-LN(2)/2))/(LN(2)/2)*BL30*BO30*VLOOKUP('Données projet'!$B$11,Paramètres!$A$1:$I$89,3,0)*0.475*44/12</f>
        <v>2.2129837265516827</v>
      </c>
      <c r="BS30" s="22">
        <f t="shared" si="9"/>
        <v>16.651598046710983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14</v>
      </c>
      <c r="BY30" s="12">
        <f>IF('Données projet'!$A$114&gt;35,BY29+BX30-CG29,IF(A30&lt;'Données projet'!$A$114,$BV$205^A30,IF(A30='Données projet'!$A$114,'Données projet'!$B$114,BY29+BX30-CG29)))</f>
        <v>178.00000000000003</v>
      </c>
      <c r="BZ30" s="13">
        <f>BY30*VLOOKUP('Données projet'!$B$12,Paramètres!$A$1:$I$89,3,0)*VLOOKUP('Données projet'!$B$12,Paramètres!$A$1:$I$89,5,0)</f>
        <v>97.188000000000017</v>
      </c>
      <c r="CA30" s="13">
        <f t="shared" si="39"/>
        <v>26.290969297460332</v>
      </c>
      <c r="CB30" s="20">
        <f t="shared" si="10"/>
        <v>215.05920485974343</v>
      </c>
      <c r="CC30" s="59">
        <f t="shared" si="11"/>
        <v>508.39253819307675</v>
      </c>
      <c r="CD30" s="59">
        <f ca="1">AVERAGE(OFFSET($CC$3,0,0,'Données projet'!$E$12+1,1))-AVERAGE(OFFSET($H$3,0,0,'Données projet'!$E$12+1,1))</f>
        <v>168.72306536277267</v>
      </c>
      <c r="CE30" s="59">
        <f t="shared" si="40"/>
        <v>203.35476578922339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10.160506373445434</v>
      </c>
      <c r="CM30" s="21">
        <f>EXP(-LN(2)/2)*CM29+(1-EXP(-LN(2)/2))/(LN(2)/2)*CG30*CJ30*VLOOKUP('Données projet'!$B$12,Paramètres!$A$1:$I$89,3,0)*0.475*44/12</f>
        <v>1.5572848446104437</v>
      </c>
      <c r="CN30" s="22">
        <f t="shared" si="12"/>
        <v>11.717791218055877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5.6730769230769225</v>
      </c>
      <c r="CT30" s="12">
        <f>IF('Données projet'!$A$140&gt;35,CT29+CS30-DB29,IF(A30&lt;'Données projet'!$A$140,$CQ$205^A30,IF(A30='Données projet'!$A$140,'Données projet'!$B$140,CT29+CS30-DB29)))</f>
        <v>153.17307692307691</v>
      </c>
      <c r="CU30" s="17">
        <f>CT30*VLOOKUP('Données projet'!$B$13,Paramètres!$A$1:$I$89,3,0)*VLOOKUP('Données projet'!$B$13,Paramètres!$A$1:$I$89,5,0)</f>
        <v>73.676249999999996</v>
      </c>
      <c r="CV30" s="13">
        <f t="shared" si="41"/>
        <v>20.583662637223735</v>
      </c>
      <c r="CW30" s="20">
        <f t="shared" si="13"/>
        <v>164.16934784316467</v>
      </c>
      <c r="CX30" s="59">
        <f t="shared" si="14"/>
        <v>457.50268117649796</v>
      </c>
      <c r="CY30" s="59">
        <f ca="1">AVERAGE(OFFSET($CX$3,0,0,'Données projet'!$E$13+1,1))-AVERAGE(OFFSET($H$3,0,0,'Données projet'!$E$13+1,1))</f>
        <v>304.15237106473313</v>
      </c>
      <c r="CZ30" s="59">
        <f t="shared" si="42"/>
        <v>120.85458928724336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>
        <f>EXP(-LN(2)/35)*DF29+(1-EXP(-LN(2)/35))/(LN(2)/35)*DB30*DC30*VLOOKUP('Données projet'!$B$13,Paramètres!$A$1:$I$89,3,0)*0.475*44/12</f>
        <v>0</v>
      </c>
      <c r="DG30" s="21">
        <f>EXP(-LN(2)/25)*DG29+(1-EXP(-LN(2)/25))/(LN(2)/25)*Calculateur!DB30*Calculateur!DD30*VLOOKUP('Données projet'!$B$13,Paramètres!$A$1:$I$89,3,0)*0.475*44/12</f>
        <v>0</v>
      </c>
      <c r="DH30" s="21">
        <f>EXP(-LN(2)/2)*DH29+(1-EXP(-LN(2)/2))/(LN(2)/2)*DB30*DE30*VLOOKUP('Données projet'!$B$13,Paramètres!$A$1:$I$89,3,0)*0.475*44/12</f>
        <v>0</v>
      </c>
      <c r="DI30" s="22">
        <f t="shared" si="15"/>
        <v>0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3.8846153846153846</v>
      </c>
      <c r="DO30" s="12">
        <f>IF('Données projet'!$A$166&gt;35,DO29+DN30-DW29,IF(A30&lt;'Données projet'!$A$166,$DL$205^A30,IF(A30='Données projet'!$A$166,'Données projet'!$B$166,DO29+DN30-DW29)))</f>
        <v>104.88461538461542</v>
      </c>
      <c r="DP30" s="17">
        <f>DO30*VLOOKUP('Données projet'!$B$14,Paramètres!$A$1:$I$89,3,0)*VLOOKUP('Données projet'!$B$14,Paramètres!$A$1:$I$89,5,0)</f>
        <v>50.449500000000015</v>
      </c>
      <c r="DQ30" s="13">
        <f t="shared" si="43"/>
        <v>14.729784462920485</v>
      </c>
      <c r="DR30" s="20">
        <f t="shared" si="16"/>
        <v>113.52058710625317</v>
      </c>
      <c r="DS30" s="59">
        <f t="shared" si="17"/>
        <v>406.85392043958649</v>
      </c>
      <c r="DT30" s="59">
        <f ca="1">AVERAGE(OFFSET($DS$3,0,0,'Données projet'!$E$14+1,1))-AVERAGE(OFFSET($H$3,0,0,'Données projet'!$E$14+1,1))</f>
        <v>91.053246648097399</v>
      </c>
      <c r="DU30" s="59">
        <f t="shared" si="44"/>
        <v>64.716270355703955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>
        <f>EXP(-LN(2)/35)*EA29+(1-EXP(-LN(2)/35))/(LN(2)/35)*DW30*DX30*VLOOKUP('Données projet'!$B$14,Paramètres!$A$1:$I$89,3,0)*0.475*44/12</f>
        <v>0</v>
      </c>
      <c r="EB30" s="21">
        <f>EXP(-LN(2)/25)*EB29+(1-EXP(-LN(2)/25))/(LN(2)/25)*Calculateur!DW30*Calculateur!DY30*VLOOKUP('Données projet'!$B$14,Paramètres!$A$1:$I$89,3,0)*0.475*44/12</f>
        <v>0</v>
      </c>
      <c r="EC30" s="21">
        <f>EXP(-LN(2)/2)*EC29+(1-EXP(-LN(2)/2))/(LN(2)/2)*DW30*DZ30*VLOOKUP('Données projet'!$B$14,Paramètres!$A$1:$I$89,3,0)*0.475*44/12</f>
        <v>0</v>
      </c>
      <c r="ED30" s="22">
        <f t="shared" si="18"/>
        <v>0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15.3</v>
      </c>
      <c r="EJ30" s="12">
        <f>IF('Données projet'!$A$192&gt;35,EJ29+EI30-ER29,IF(A30&lt;'Données projet'!$A$192,$EG$205^A30,IF(A30='Données projet'!$A$192,'Données projet'!$B$192,EJ29+EI30-ER29)))</f>
        <v>184.10000000000002</v>
      </c>
      <c r="EK30" s="17">
        <f>EJ30*VLOOKUP('Données projet'!$B$15,Paramètres!$A$1:$I$89,3,0)*VLOOKUP('Données projet'!$B$15,Paramètres!$A$1:$I$89,5,0)</f>
        <v>110.09180000000001</v>
      </c>
      <c r="EL30" s="13">
        <f t="shared" si="45"/>
        <v>29.352612318376288</v>
      </c>
      <c r="EM30" s="20">
        <f t="shared" si="19"/>
        <v>242.86568478783872</v>
      </c>
      <c r="EN30" s="59">
        <f t="shared" si="20"/>
        <v>536.199018121172</v>
      </c>
      <c r="EO30" s="59">
        <f ca="1">AVERAGE(OFFSET($EN$3,0,0,'Données projet'!$E$15+1,1))-AVERAGE(OFFSET($H$3,0,0,'Données projet'!$E$15+1,1))</f>
        <v>316.58509520829671</v>
      </c>
      <c r="EP30" s="59">
        <f t="shared" si="46"/>
        <v>240.71332110643596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>
        <f>EXP(-LN(2)/35)*EV29+(1-EXP(-LN(2)/35))/(LN(2)/35)*ER30*ES30*VLOOKUP('Données projet'!$B$15,Paramètres!$A$1:$I$89,3,0)*0.475*44/12</f>
        <v>0</v>
      </c>
      <c r="EW30" s="21">
        <f>EXP(-LN(2)/25)*EW29+(1-EXP(-LN(2)/25))/(LN(2)/25)*Calculateur!ER30*Calculateur!ET30*VLOOKUP('Données projet'!$B$15,Paramètres!$A$1:$I$89,3,0)*0.475*44/12</f>
        <v>4.2462767863960575</v>
      </c>
      <c r="EX30" s="21">
        <f>EXP(-LN(2)/2)*EX29+(1-EXP(-LN(2)/2))/(LN(2)/2)*ER30*EU30*VLOOKUP('Données projet'!$B$15,Paramètres!$A$1:$I$89,3,0)*0.475*44/12</f>
        <v>0.86776022669604502</v>
      </c>
      <c r="EY30" s="22">
        <f t="shared" si="21"/>
        <v>5.1140370130921022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13.3</v>
      </c>
      <c r="FE30" s="12">
        <f>IF('Données projet'!$A$218&gt;35,FE29+FD30-FM29,IF(A30&lt;'Données projet'!$A$218,$FB$205^A30,IF(A30='Données projet'!$A$218,'Données projet'!$B$218,FE29+FD30-FM29)))</f>
        <v>160.10000000000002</v>
      </c>
      <c r="FF30" s="17">
        <f>FE30*VLOOKUP('Données projet'!$B$16,Paramètres!$A$1:$I$89,3,0)*VLOOKUP('Données projet'!$B$16,Paramètres!$A$1:$I$89,5,0)</f>
        <v>95.739800000000017</v>
      </c>
      <c r="FG30" s="13">
        <f t="shared" si="47"/>
        <v>25.944506362071046</v>
      </c>
      <c r="FH30" s="20">
        <f t="shared" si="22"/>
        <v>211.93350024727374</v>
      </c>
      <c r="FI30" s="59">
        <f t="shared" si="23"/>
        <v>505.26683358060706</v>
      </c>
      <c r="FJ30" s="59">
        <f ca="1">AVERAGE(OFFSET($FI$3,0,0,'Données projet'!$E$16+1,1))-AVERAGE(OFFSET($H$3,0,0,'Données projet'!$E$16+1,1))</f>
        <v>270.30888762640245</v>
      </c>
      <c r="FK30" s="59">
        <f t="shared" si="48"/>
        <v>202.23783851977691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>
        <f>EXP(-LN(2)/35)*FQ29+(1-EXP(-LN(2)/35))/(LN(2)/35)*FM30*FN30*VLOOKUP('Données projet'!$B$16,Paramètres!$A$1:$I$89,3,0)*0.475*44/12</f>
        <v>0</v>
      </c>
      <c r="FR30" s="21">
        <f>EXP(-LN(2)/25)*FR29+(1-EXP(-LN(2)/25))/(LN(2)/25)*Calculateur!FM30*Calculateur!FO30*VLOOKUP('Données projet'!$B$16,Paramètres!$A$1:$I$89,3,0)*0.475*44/12</f>
        <v>2.9284667492386594</v>
      </c>
      <c r="FS30" s="21">
        <f>EXP(-LN(2)/2)*FS29+(1-EXP(-LN(2)/2))/(LN(2)/2)*FM30*FP30*VLOOKUP('Données projet'!$B$16,Paramètres!$A$1:$I$89,3,0)*0.475*44/12</f>
        <v>0.59845532875589325</v>
      </c>
      <c r="FT30" s="22">
        <f t="shared" si="24"/>
        <v>3.5269220779945525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14.5</v>
      </c>
      <c r="FZ30" s="12">
        <f>IF('Données projet'!$A$244&gt;35,FZ29+FY30-GH29,IF(A30&lt;'Données projet'!$A$244,$FW$205^A30,IF(A30='Données projet'!$A$244,'Données projet'!$B$244,FZ29+FY30-GH29)))</f>
        <v>168.5</v>
      </c>
      <c r="GA30" s="17">
        <f>FZ30*VLOOKUP('Données projet'!$B$17,Paramètres!$A$1:$I$89,3,0)*VLOOKUP('Données projet'!$B$17,Paramètres!$A$1:$I$89,5,0)</f>
        <v>134.05860000000001</v>
      </c>
      <c r="GB30" s="13">
        <f t="shared" si="49"/>
        <v>34.932498076856362</v>
      </c>
      <c r="GC30" s="20">
        <f t="shared" si="25"/>
        <v>294.32616248385813</v>
      </c>
      <c r="GD30" s="59">
        <f t="shared" si="26"/>
        <v>587.65949581719144</v>
      </c>
      <c r="GE30" s="59">
        <f ca="1">AVERAGE(OFFSET($GD$3,0,0,'Données projet'!$E$17+1,1))-AVERAGE(OFFSET($H$3,0,0,'Données projet'!$E$17+1,1))</f>
        <v>260.20517190557814</v>
      </c>
      <c r="GF30" s="59">
        <f t="shared" si="50"/>
        <v>307.22009971147133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>
        <f>EXP(-LN(2)/35)*GL29+(1-EXP(-LN(2)/35))/(LN(2)/35)*GH30*GI30*VLOOKUP('Données projet'!$B$17,Paramètres!$A$1:$I$89,3,0)*0.475*44/12</f>
        <v>0</v>
      </c>
      <c r="GM30" s="21">
        <f>EXP(-LN(2)/25)*GM29+(1-EXP(-LN(2)/25))/(LN(2)/25)*Calculateur!GH30*Calculateur!GJ30*VLOOKUP('Données projet'!$B$17,Paramètres!$A$1:$I$89,3,0)*0.475*44/12</f>
        <v>6.4051721830177586</v>
      </c>
      <c r="GN30" s="21">
        <f>EXP(-LN(2)/2)*GN29+(1-EXP(-LN(2)/2))/(LN(2)/2)*GH30*GK30*VLOOKUP('Données projet'!$B$17,Paramètres!$A$1:$I$89,3,0)*0.475*44/12</f>
        <v>1.1113705751950478</v>
      </c>
      <c r="GO30" s="21">
        <f t="shared" si="27"/>
        <v>7.5165427582128066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12.2</v>
      </c>
      <c r="GU30" s="12">
        <f>IF('Données projet'!$A$270&gt;35,GU29+GT30-HC29,IF(A30&lt;'Données projet'!$A$270,$GR$205^A30,IF(A30='Données projet'!$A$270,'Données projet'!$B$270,GU29+GT30-HC29)))</f>
        <v>137.4</v>
      </c>
      <c r="GV30" s="17">
        <f>GU30*VLOOKUP('Données projet'!$B$18,Paramètres!$A$1:$I$89,3,0)*VLOOKUP('Données projet'!$B$18,Paramètres!$A$1:$I$89,5,0)</f>
        <v>109.31544</v>
      </c>
      <c r="GW30" s="13">
        <f t="shared" si="51"/>
        <v>29.169638343948144</v>
      </c>
      <c r="GX30" s="20">
        <f t="shared" si="28"/>
        <v>241.19484478237635</v>
      </c>
      <c r="GY30" s="59">
        <f t="shared" si="29"/>
        <v>534.52817811570969</v>
      </c>
      <c r="GZ30" s="59">
        <f ca="1">AVERAGE(OFFSET($GY$3,0,0,'Données projet'!$E$18+1,1))-AVERAGE(OFFSET($H$3,0,0,'Données projet'!$E$18+1,1))</f>
        <v>199.58763537752952</v>
      </c>
      <c r="HA30" s="59">
        <f t="shared" si="52"/>
        <v>242.62852778451929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>
        <f>EXP(-LN(2)/35)*HG29+(1-EXP(-LN(2)/35))/(LN(2)/35)*HC30*HD30*VLOOKUP('Données projet'!$B$18,Paramètres!$A$1:$I$89,3,0)*0.475*44/12</f>
        <v>0</v>
      </c>
      <c r="HH30" s="21">
        <f>EXP(-LN(2)/25)*HH29+(1-EXP(-LN(2)/25))/(LN(2)/25)*Calculateur!HC30*Calculateur!HE30*VLOOKUP('Données projet'!$B$18,Paramètres!$A$1:$I$89,3,0)*0.475*44/12</f>
        <v>4.1107821473099051</v>
      </c>
      <c r="HI30" s="21">
        <f>EXP(-LN(2)/2)*HI29+(1-EXP(-LN(2)/2))/(LN(2)/2)*HC30*HF30*VLOOKUP('Données projet'!$B$18,Paramètres!$A$1:$I$89,3,0)*0.475*44/12</f>
        <v>0.71326768258786621</v>
      </c>
      <c r="HJ30" s="22">
        <f t="shared" si="30"/>
        <v>4.8240498298977714</v>
      </c>
    </row>
    <row r="31" spans="1:218" x14ac:dyDescent="0.2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24.897599999999994</v>
      </c>
      <c r="D31" s="11">
        <f t="shared" si="32"/>
        <v>7.8921770401958202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253.11406838045892</v>
      </c>
      <c r="H31" s="67">
        <f t="shared" si="1"/>
        <v>350.44219501167436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22.828205128205127</v>
      </c>
      <c r="N31" s="13">
        <f>IF('Données projet'!$A$36&gt;35,N30+M31-V30,IF(A31&lt;'Données projet'!$A$36,$K$205^A31,IF(A31='Données projet'!$A$36,'Données projet'!$B$36,N30+M31-V30)))</f>
        <v>286.21282051282037</v>
      </c>
      <c r="O31" s="13">
        <f>N31*VLOOKUP('Données projet'!$B$9,Paramètres!$A$1:$I$89,3,0)*VLOOKUP('Données projet'!$B$9,Paramètres!$A$1:$I$89,5,0)</f>
        <v>159.99296666666658</v>
      </c>
      <c r="P31" s="13">
        <f t="shared" si="33"/>
        <v>40.840929014671453</v>
      </c>
      <c r="Q31" s="20">
        <f t="shared" si="2"/>
        <v>349.785701644997</v>
      </c>
      <c r="R31" s="59">
        <f t="shared" si="0"/>
        <v>643.11903497833032</v>
      </c>
      <c r="S31" s="59">
        <f ca="1">AVERAGE(OFFSET($R$3,0,0,'Données projet'!$E$9+1,1))-AVERAGE(OFFSET($H$3,0,0,'Données projet'!$E$9+1,1))</f>
        <v>255.5374979188561</v>
      </c>
      <c r="T31" s="59">
        <f t="shared" si="34"/>
        <v>343.10418468620901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3.2148886420447993</v>
      </c>
      <c r="AA31" s="21">
        <f>EXP(-LN(2)/25)*AA30+(1-EXP(-LN(2)/25))/(LN(2)/25)*Calculateur!V31*Calculateur!X31*VLOOKUP('Données projet'!$B$9,Paramètres!$A$1:$I$89,3,0)*0.475*44/12</f>
        <v>16.87028183272777</v>
      </c>
      <c r="AB31" s="21">
        <f>EXP(-LN(2)/2)*AB30+(1-EXP(-LN(2)/2))/(LN(2)/2)*V31*Y31*VLOOKUP('Données projet'!$B$9,Paramètres!$A$1:$I$89,3,0)*0.475*44/12</f>
        <v>3.3853041589081316</v>
      </c>
      <c r="AC31" s="22">
        <f t="shared" si="3"/>
        <v>23.470474633680698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>
        <f>VLOOKUP(A31,'Données projet'!$A$61:$I$81,2,0)</f>
        <v>235.7076923076923</v>
      </c>
      <c r="AG31" s="12">
        <f>VLOOKUP(A31,'Données projet'!$A$61:$I$81,9,0)</f>
        <v>16.687912087912085</v>
      </c>
      <c r="AH31" s="12">
        <f t="array" ref="AH31">INDEX(AG:AG,MIN(IF(ISNUMBER(AG31:AG227),ROW(AG31:AG227),"")))</f>
        <v>16.687912087912085</v>
      </c>
      <c r="AI31" s="13">
        <f>IF('Données projet'!$A$62&gt;35,AI30+AH31-AQ30,IF(A31&lt;'Données projet'!$A$62,$AF$205^A31,IF(A31='Données projet'!$A$62,'Données projet'!$B$62,AI30+AH31-AQ30)))</f>
        <v>235.7076923076923</v>
      </c>
      <c r="AJ31" s="13">
        <f>AI31*VLOOKUP('Données projet'!$B$10,Paramètres!$A$1:$I$89,3,0)*VLOOKUP('Données projet'!$B$10,Paramètres!$A$1:$I$89,5,0)</f>
        <v>131.76059999999998</v>
      </c>
      <c r="AK31" s="13">
        <f t="shared" si="35"/>
        <v>34.402863243711892</v>
      </c>
      <c r="AL31" s="20">
        <f t="shared" si="4"/>
        <v>289.40136514946488</v>
      </c>
      <c r="AM31" s="59">
        <f t="shared" si="5"/>
        <v>582.73469848279819</v>
      </c>
      <c r="AN31" s="59">
        <f ca="1">AVERAGE(OFFSET($AM$3,0,0,'Données projet'!$E$10+1,1))-AVERAGE(OFFSET($H$3,0,0,'Données projet'!$E$10+1,1))</f>
        <v>224.7049802939942</v>
      </c>
      <c r="AO31" s="59">
        <f t="shared" si="36"/>
        <v>203.48513862195352</v>
      </c>
      <c r="AP31" s="15">
        <f>IF(ISNA(VLOOKUP(A31,'Données projet'!$A$61:$I$81,3,0)),0,VLOOKUP(A31,'Données projet'!$A$61:$I$81,3,0))</f>
        <v>2</v>
      </c>
      <c r="AQ31" s="15">
        <f>IF(ISNA(VLOOKUP(A31,'Données projet'!$A$61:$I$81,4,0)),0,VLOOKUP(A31,'Données projet'!$A$61:$I$81,4,0))</f>
        <v>56.91538461538461</v>
      </c>
      <c r="AR31" s="16">
        <f>IF(ISNA(VLOOKUP(A31,'Données projet'!$A$61:$I$81,5,0)),0%,VLOOKUP(A31,'Données projet'!$A$61:$I$81,5,0)*VLOOKUP('Données projet'!$B$10,Paramètres!$A$1:$I$89,7,0))</f>
        <v>5.5000000000000007E-2</v>
      </c>
      <c r="AS31" s="16">
        <f>IF(ISNA(VLOOKUP(A31,'Données projet'!$A$61:$I$81,6,0)),0%,VLOOKUP(A31,'Données projet'!$A$61:$I$81,6,0)*VLOOKUP('Données projet'!$B$10,Paramètres!$A$1:$I$89,7,0))</f>
        <v>0.24750000000000003</v>
      </c>
      <c r="AT31" s="16">
        <f>IF(ISNA(VLOOKUP(A31,'Données projet'!$A$61:$I$81,7,0)),0%,VLOOKUP(A31,'Données projet'!$A$61:$I$81,7,0))</f>
        <v>0.45</v>
      </c>
      <c r="AU31" s="21">
        <f>EXP(-LN(2)/35)*AU30+(1-EXP(-LN(2)/35))/(LN(2)/35)*AQ31*AR31*VLOOKUP('Données projet'!$B$10,Paramètres!$A$1:$I$89,3,0)*0.475*44/12</f>
        <v>2.3213067209710281</v>
      </c>
      <c r="AV31" s="21">
        <f>EXP(-LN(2)/25)*AV30+(1-EXP(-LN(2)/25))/(LN(2)/25)*Calculateur!AQ31*Calculateur!AS31*VLOOKUP('Données projet'!$B$10,Paramètres!$A$1:$I$89,3,0)*0.475*44/12</f>
        <v>20.637777840385311</v>
      </c>
      <c r="AW31" s="21">
        <f>EXP(-LN(2)/2)*AW30+(1-EXP(-LN(2)/2))/(LN(2)/2)*AQ31*AT31*VLOOKUP('Données projet'!$B$10,Paramètres!$A$1:$I$89,3,0)*0.475*44/12</f>
        <v>17.921225182176006</v>
      </c>
      <c r="AX31" s="21">
        <f t="shared" si="6"/>
        <v>40.880309743532344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16.399999999999999</v>
      </c>
      <c r="BD31" s="12">
        <f>IF('Données projet'!$A$88&gt;35,BD30+BC31-BL30,IF(A31&lt;'Données projet'!$A$88,$BA$205^A31,IF(A31='Données projet'!$A$88,'Données projet'!$B$88,BD30+BC31-BL30)))</f>
        <v>227.20000000000002</v>
      </c>
      <c r="BE31" s="13">
        <f>BD31*VLOOKUP('Données projet'!$B$11,Paramètres!$A$1:$I$89,3,0)*VLOOKUP('Données projet'!$B$11,Paramètres!$A$1:$I$89,5,0)</f>
        <v>124.05120000000001</v>
      </c>
      <c r="BF31" s="13">
        <f t="shared" si="37"/>
        <v>32.618041559365977</v>
      </c>
      <c r="BG31" s="20">
        <f t="shared" si="7"/>
        <v>272.86559571589572</v>
      </c>
      <c r="BH31" s="59">
        <f t="shared" si="8"/>
        <v>566.19892904922904</v>
      </c>
      <c r="BI31" s="59">
        <f ca="1">AVERAGE(OFFSET($BH$3,0,0,'Données projet'!$E$11+1,1))-AVERAGE(OFFSET($H$3,0,0,'Données projet'!$E$11+1,1))</f>
        <v>210.04871822652808</v>
      </c>
      <c r="BJ31" s="59">
        <f t="shared" si="38"/>
        <v>250.17540614049324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14.043789652280818</v>
      </c>
      <c r="BR31" s="21">
        <f>EXP(-LN(2)/2)*BR30+(1-EXP(-LN(2)/2))/(LN(2)/2)*BL31*BO31*VLOOKUP('Données projet'!$B$11,Paramètres!$A$1:$I$89,3,0)*0.475*44/12</f>
        <v>1.5648157997001713</v>
      </c>
      <c r="BS31" s="22">
        <f t="shared" si="9"/>
        <v>15.608605451980988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14</v>
      </c>
      <c r="BY31" s="12">
        <f>IF('Données projet'!$A$114&gt;35,BY30+BX31-CG30,IF(A31&lt;'Données projet'!$A$114,$BV$205^A31,IF(A31='Données projet'!$A$114,'Données projet'!$B$114,BY30+BX31-CG30)))</f>
        <v>192.00000000000003</v>
      </c>
      <c r="BZ31" s="13">
        <f>BY31*VLOOKUP('Données projet'!$B$12,Paramètres!$A$1:$I$89,3,0)*VLOOKUP('Données projet'!$B$12,Paramètres!$A$1:$I$89,5,0)</f>
        <v>104.83200000000002</v>
      </c>
      <c r="CA31" s="13">
        <f t="shared" si="39"/>
        <v>28.109974371137717</v>
      </c>
      <c r="CB31" s="20">
        <f t="shared" si="10"/>
        <v>231.54060536306488</v>
      </c>
      <c r="CC31" s="59">
        <f t="shared" si="11"/>
        <v>524.87393869639823</v>
      </c>
      <c r="CD31" s="59">
        <f ca="1">AVERAGE(OFFSET($CC$3,0,0,'Données projet'!$E$12+1,1))-AVERAGE(OFFSET($H$3,0,0,'Données projet'!$E$12+1,1))</f>
        <v>168.72306536277267</v>
      </c>
      <c r="CE31" s="59">
        <f t="shared" si="40"/>
        <v>203.35476578922339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9.882666792345761</v>
      </c>
      <c r="CM31" s="21">
        <f>EXP(-LN(2)/2)*CM30+(1-EXP(-LN(2)/2))/(LN(2)/2)*CG31*CJ31*VLOOKUP('Données projet'!$B$12,Paramètres!$A$1:$I$89,3,0)*0.475*44/12</f>
        <v>1.1011666738630836</v>
      </c>
      <c r="CN31" s="22">
        <f t="shared" si="12"/>
        <v>10.983833466208845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5.6730769230769225</v>
      </c>
      <c r="CT31" s="12">
        <f>IF('Données projet'!$A$140&gt;35,CT30+CS31-DB30,IF(A31&lt;'Données projet'!$A$140,$CQ$205^A31,IF(A31='Données projet'!$A$140,'Données projet'!$B$140,CT30+CS31-DB30)))</f>
        <v>158.84615384615384</v>
      </c>
      <c r="CU31" s="17">
        <f>CT31*VLOOKUP('Données projet'!$B$13,Paramètres!$A$1:$I$89,3,0)*VLOOKUP('Données projet'!$B$13,Paramètres!$A$1:$I$89,5,0)</f>
        <v>76.405000000000001</v>
      </c>
      <c r="CV31" s="13">
        <f t="shared" si="41"/>
        <v>21.255849661380704</v>
      </c>
      <c r="CW31" s="20">
        <f t="shared" si="13"/>
        <v>170.09264649357141</v>
      </c>
      <c r="CX31" s="59">
        <f t="shared" si="14"/>
        <v>463.42597982690472</v>
      </c>
      <c r="CY31" s="59">
        <f ca="1">AVERAGE(OFFSET($CX$3,0,0,'Données projet'!$E$13+1,1))-AVERAGE(OFFSET($H$3,0,0,'Données projet'!$E$13+1,1))</f>
        <v>304.15237106473313</v>
      </c>
      <c r="CZ31" s="59">
        <f t="shared" si="42"/>
        <v>120.85458928724336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>
        <f>EXP(-LN(2)/35)*DF30+(1-EXP(-LN(2)/35))/(LN(2)/35)*DB31*DC31*VLOOKUP('Données projet'!$B$13,Paramètres!$A$1:$I$89,3,0)*0.475*44/12</f>
        <v>0</v>
      </c>
      <c r="DG31" s="21">
        <f>EXP(-LN(2)/25)*DG30+(1-EXP(-LN(2)/25))/(LN(2)/25)*Calculateur!DB31*Calculateur!DD31*VLOOKUP('Données projet'!$B$13,Paramètres!$A$1:$I$89,3,0)*0.475*44/12</f>
        <v>0</v>
      </c>
      <c r="DH31" s="21">
        <f>EXP(-LN(2)/2)*DH30+(1-EXP(-LN(2)/2))/(LN(2)/2)*DB31*DE31*VLOOKUP('Données projet'!$B$13,Paramètres!$A$1:$I$89,3,0)*0.475*44/12</f>
        <v>0</v>
      </c>
      <c r="DI31" s="22">
        <f t="shared" si="15"/>
        <v>0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3.8846153846153846</v>
      </c>
      <c r="DO31" s="12">
        <f>IF('Données projet'!$A$166&gt;35,DO30+DN31-DW30,IF(A31&lt;'Données projet'!$A$166,$DL$205^A31,IF(A31='Données projet'!$A$166,'Données projet'!$B$166,DO30+DN31-DW30)))</f>
        <v>108.7692307692308</v>
      </c>
      <c r="DP31" s="17">
        <f>DO31*VLOOKUP('Données projet'!$B$14,Paramètres!$A$1:$I$89,3,0)*VLOOKUP('Données projet'!$B$14,Paramètres!$A$1:$I$89,5,0)</f>
        <v>52.318000000000012</v>
      </c>
      <c r="DQ31" s="13">
        <f t="shared" si="43"/>
        <v>15.210805268551972</v>
      </c>
      <c r="DR31" s="20">
        <f t="shared" si="16"/>
        <v>117.61266917606139</v>
      </c>
      <c r="DS31" s="59">
        <f t="shared" si="17"/>
        <v>410.9460025093947</v>
      </c>
      <c r="DT31" s="59">
        <f ca="1">AVERAGE(OFFSET($DS$3,0,0,'Données projet'!$E$14+1,1))-AVERAGE(OFFSET($H$3,0,0,'Données projet'!$E$14+1,1))</f>
        <v>91.053246648097399</v>
      </c>
      <c r="DU31" s="59">
        <f t="shared" si="44"/>
        <v>64.716270355703955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>
        <f>EXP(-LN(2)/35)*EA30+(1-EXP(-LN(2)/35))/(LN(2)/35)*DW31*DX31*VLOOKUP('Données projet'!$B$14,Paramètres!$A$1:$I$89,3,0)*0.475*44/12</f>
        <v>0</v>
      </c>
      <c r="EB31" s="21">
        <f>EXP(-LN(2)/25)*EB30+(1-EXP(-LN(2)/25))/(LN(2)/25)*Calculateur!DW31*Calculateur!DY31*VLOOKUP('Données projet'!$B$14,Paramètres!$A$1:$I$89,3,0)*0.475*44/12</f>
        <v>0</v>
      </c>
      <c r="EC31" s="21">
        <f>EXP(-LN(2)/2)*EC30+(1-EXP(-LN(2)/2))/(LN(2)/2)*DW31*DZ31*VLOOKUP('Données projet'!$B$14,Paramètres!$A$1:$I$89,3,0)*0.475*44/12</f>
        <v>0</v>
      </c>
      <c r="ED31" s="22">
        <f t="shared" si="18"/>
        <v>0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15.3</v>
      </c>
      <c r="EJ31" s="12">
        <f>IF('Données projet'!$A$192&gt;35,EJ30+EI31-ER30,IF(A31&lt;'Données projet'!$A$192,$EG$205^A31,IF(A31='Données projet'!$A$192,'Données projet'!$B$192,EJ30+EI31-ER30)))</f>
        <v>199.40000000000003</v>
      </c>
      <c r="EK31" s="17">
        <f>EJ31*VLOOKUP('Données projet'!$B$15,Paramètres!$A$1:$I$89,3,0)*VLOOKUP('Données projet'!$B$15,Paramètres!$A$1:$I$89,5,0)</f>
        <v>119.24120000000002</v>
      </c>
      <c r="EL31" s="13">
        <f t="shared" si="45"/>
        <v>31.497956370300944</v>
      </c>
      <c r="EM31" s="20">
        <f t="shared" si="19"/>
        <v>262.53736401160751</v>
      </c>
      <c r="EN31" s="59">
        <f t="shared" si="20"/>
        <v>555.87069734494082</v>
      </c>
      <c r="EO31" s="59">
        <f ca="1">AVERAGE(OFFSET($EN$3,0,0,'Données projet'!$E$15+1,1))-AVERAGE(OFFSET($H$3,0,0,'Données projet'!$E$15+1,1))</f>
        <v>316.58509520829671</v>
      </c>
      <c r="EP31" s="59">
        <f t="shared" si="46"/>
        <v>240.71332110643596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>
        <f>EXP(-LN(2)/35)*EV30+(1-EXP(-LN(2)/35))/(LN(2)/35)*ER31*ES31*VLOOKUP('Données projet'!$B$15,Paramètres!$A$1:$I$89,3,0)*0.475*44/12</f>
        <v>0</v>
      </c>
      <c r="EW31" s="21">
        <f>EXP(-LN(2)/25)*EW30+(1-EXP(-LN(2)/25))/(LN(2)/25)*Calculateur!ER31*Calculateur!ET31*VLOOKUP('Données projet'!$B$15,Paramètres!$A$1:$I$89,3,0)*0.475*44/12</f>
        <v>4.1301621243700666</v>
      </c>
      <c r="EX31" s="21">
        <f>EXP(-LN(2)/2)*EX30+(1-EXP(-LN(2)/2))/(LN(2)/2)*ER31*EU31*VLOOKUP('Données projet'!$B$15,Paramètres!$A$1:$I$89,3,0)*0.475*44/12</f>
        <v>0.61359914074074917</v>
      </c>
      <c r="EY31" s="22">
        <f t="shared" si="21"/>
        <v>4.7437612651108161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13.3</v>
      </c>
      <c r="FE31" s="12">
        <f>IF('Données projet'!$A$218&gt;35,FE30+FD31-FM30,IF(A31&lt;'Données projet'!$A$218,$FB$205^A31,IF(A31='Données projet'!$A$218,'Données projet'!$B$218,FE30+FD31-FM30)))</f>
        <v>173.40000000000003</v>
      </c>
      <c r="FF31" s="17">
        <f>FE31*VLOOKUP('Données projet'!$B$16,Paramètres!$A$1:$I$89,3,0)*VLOOKUP('Données projet'!$B$16,Paramètres!$A$1:$I$89,5,0)</f>
        <v>103.69320000000003</v>
      </c>
      <c r="FG31" s="13">
        <f t="shared" si="47"/>
        <v>27.83998582032487</v>
      </c>
      <c r="FH31" s="20">
        <f t="shared" si="22"/>
        <v>229.08696530373251</v>
      </c>
      <c r="FI31" s="59">
        <f t="shared" si="23"/>
        <v>522.4202986370658</v>
      </c>
      <c r="FJ31" s="59">
        <f ca="1">AVERAGE(OFFSET($FI$3,0,0,'Données projet'!$E$16+1,1))-AVERAGE(OFFSET($H$3,0,0,'Données projet'!$E$16+1,1))</f>
        <v>270.30888762640245</v>
      </c>
      <c r="FK31" s="59">
        <f t="shared" si="48"/>
        <v>202.23783851977691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>
        <f>EXP(-LN(2)/35)*FQ30+(1-EXP(-LN(2)/35))/(LN(2)/35)*FM31*FN31*VLOOKUP('Données projet'!$B$16,Paramètres!$A$1:$I$89,3,0)*0.475*44/12</f>
        <v>0</v>
      </c>
      <c r="FR31" s="21">
        <f>EXP(-LN(2)/25)*FR30+(1-EXP(-LN(2)/25))/(LN(2)/25)*Calculateur!FM31*Calculateur!FO31*VLOOKUP('Données projet'!$B$16,Paramètres!$A$1:$I$89,3,0)*0.475*44/12</f>
        <v>2.8483876719793551</v>
      </c>
      <c r="FS31" s="21">
        <f>EXP(-LN(2)/2)*FS30+(1-EXP(-LN(2)/2))/(LN(2)/2)*FM31*FP31*VLOOKUP('Données projet'!$B$16,Paramètres!$A$1:$I$89,3,0)*0.475*44/12</f>
        <v>0.42317182120051677</v>
      </c>
      <c r="FT31" s="22">
        <f t="shared" si="24"/>
        <v>3.2715594931798719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14.5</v>
      </c>
      <c r="FZ31" s="12">
        <f>IF('Données projet'!$A$244&gt;35,FZ30+FY31-GH30,IF(A31&lt;'Données projet'!$A$244,$FW$205^A31,IF(A31='Données projet'!$A$244,'Données projet'!$B$244,FZ30+FY31-GH30)))</f>
        <v>183</v>
      </c>
      <c r="GA31" s="17">
        <f>FZ31*VLOOKUP('Données projet'!$B$17,Paramètres!$A$1:$I$89,3,0)*VLOOKUP('Données projet'!$B$17,Paramètres!$A$1:$I$89,5,0)</f>
        <v>145.59479999999999</v>
      </c>
      <c r="GB31" s="13">
        <f t="shared" si="49"/>
        <v>37.575758023691719</v>
      </c>
      <c r="GC31" s="20">
        <f t="shared" si="25"/>
        <v>319.02205522459639</v>
      </c>
      <c r="GD31" s="59">
        <f t="shared" si="26"/>
        <v>612.3553885579297</v>
      </c>
      <c r="GE31" s="59">
        <f ca="1">AVERAGE(OFFSET($GD$3,0,0,'Données projet'!$E$17+1,1))-AVERAGE(OFFSET($H$3,0,0,'Données projet'!$E$17+1,1))</f>
        <v>260.20517190557814</v>
      </c>
      <c r="GF31" s="59">
        <f t="shared" si="50"/>
        <v>307.22009971147133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>
        <f>EXP(-LN(2)/35)*GL30+(1-EXP(-LN(2)/35))/(LN(2)/35)*GH31*GI31*VLOOKUP('Données projet'!$B$17,Paramètres!$A$1:$I$89,3,0)*0.475*44/12</f>
        <v>0</v>
      </c>
      <c r="GM31" s="21">
        <f>EXP(-LN(2)/25)*GM30+(1-EXP(-LN(2)/25))/(LN(2)/25)*Calculateur!GH31*Calculateur!GJ31*VLOOKUP('Données projet'!$B$17,Paramètres!$A$1:$I$89,3,0)*0.475*44/12</f>
        <v>6.2300224128397721</v>
      </c>
      <c r="GN31" s="21">
        <f>EXP(-LN(2)/2)*GN30+(1-EXP(-LN(2)/2))/(LN(2)/2)*GH31*GK31*VLOOKUP('Données projet'!$B$17,Paramètres!$A$1:$I$89,3,0)*0.475*44/12</f>
        <v>0.78585767013161212</v>
      </c>
      <c r="GO31" s="21">
        <f t="shared" si="27"/>
        <v>7.0158800829713845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12.2</v>
      </c>
      <c r="GU31" s="12">
        <f>IF('Données projet'!$A$270&gt;35,GU30+GT31-HC30,IF(A31&lt;'Données projet'!$A$270,$GR$205^A31,IF(A31='Données projet'!$A$270,'Données projet'!$B$270,GU30+GT31-HC30)))</f>
        <v>149.6</v>
      </c>
      <c r="GV31" s="17">
        <f>GU31*VLOOKUP('Données projet'!$B$18,Paramètres!$A$1:$I$89,3,0)*VLOOKUP('Données projet'!$B$18,Paramètres!$A$1:$I$89,5,0)</f>
        <v>119.02175999999999</v>
      </c>
      <c r="GW31" s="13">
        <f t="shared" si="51"/>
        <v>31.446732299897718</v>
      </c>
      <c r="GX31" s="20">
        <f t="shared" si="28"/>
        <v>262.06595742232184</v>
      </c>
      <c r="GY31" s="59">
        <f t="shared" si="29"/>
        <v>555.3992907556551</v>
      </c>
      <c r="GZ31" s="59">
        <f ca="1">AVERAGE(OFFSET($GY$3,0,0,'Données projet'!$E$18+1,1))-AVERAGE(OFFSET($H$3,0,0,'Données projet'!$E$18+1,1))</f>
        <v>199.58763537752952</v>
      </c>
      <c r="HA31" s="59">
        <f t="shared" si="52"/>
        <v>242.62852778451929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>
        <f>EXP(-LN(2)/35)*HG30+(1-EXP(-LN(2)/35))/(LN(2)/35)*HC31*HD31*VLOOKUP('Données projet'!$B$18,Paramètres!$A$1:$I$89,3,0)*0.475*44/12</f>
        <v>0</v>
      </c>
      <c r="HH31" s="21">
        <f>EXP(-LN(2)/25)*HH30+(1-EXP(-LN(2)/25))/(LN(2)/25)*Calculateur!HC31*Calculateur!HE31*VLOOKUP('Données projet'!$B$18,Paramètres!$A$1:$I$89,3,0)*0.475*44/12</f>
        <v>3.9983725933150778</v>
      </c>
      <c r="HI31" s="21">
        <f>EXP(-LN(2)/2)*HI30+(1-EXP(-LN(2)/2))/(LN(2)/2)*HC31*HF31*VLOOKUP('Données projet'!$B$18,Paramètres!$A$1:$I$89,3,0)*0.475*44/12</f>
        <v>0.50435641515909413</v>
      </c>
      <c r="HJ31" s="22">
        <f t="shared" si="30"/>
        <v>4.502729008474172</v>
      </c>
    </row>
    <row r="32" spans="1:218" x14ac:dyDescent="0.2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25.786799999999992</v>
      </c>
      <c r="D32" s="11">
        <f t="shared" si="32"/>
        <v>8.1407206738151334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261.89665081541494</v>
      </c>
      <c r="H32" s="67">
        <f t="shared" si="1"/>
        <v>352.42376517356132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22.828205128205127</v>
      </c>
      <c r="N32" s="13">
        <f>IF('Données projet'!$A$36&gt;35,N31+M32-V31,IF(A32&lt;'Données projet'!$A$36,$K$205^A32,IF(A32='Données projet'!$A$36,'Données projet'!$B$36,N31+M32-V31)))</f>
        <v>309.0410256410255</v>
      </c>
      <c r="O32" s="13">
        <f>N32*VLOOKUP('Données projet'!$B$9,Paramètres!$A$1:$I$89,3,0)*VLOOKUP('Données projet'!$B$9,Paramètres!$A$1:$I$89,5,0)</f>
        <v>172.75393333333326</v>
      </c>
      <c r="P32" s="13">
        <f t="shared" si="33"/>
        <v>43.706234996805463</v>
      </c>
      <c r="Q32" s="20">
        <f t="shared" si="2"/>
        <v>377.00145984165829</v>
      </c>
      <c r="R32" s="59">
        <f t="shared" si="0"/>
        <v>670.33479317499155</v>
      </c>
      <c r="S32" s="59">
        <f ca="1">AVERAGE(OFFSET($R$3,0,0,'Données projet'!$E$9+1,1))-AVERAGE(OFFSET($H$3,0,0,'Données projet'!$E$9+1,1))</f>
        <v>255.5374979188561</v>
      </c>
      <c r="T32" s="59">
        <f t="shared" si="34"/>
        <v>343.10418468620901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3.1518466366627509</v>
      </c>
      <c r="AA32" s="21">
        <f>EXP(-LN(2)/25)*AA31+(1-EXP(-LN(2)/25))/(LN(2)/25)*Calculateur!V32*Calculateur!X32*VLOOKUP('Données projet'!$B$9,Paramètres!$A$1:$I$89,3,0)*0.475*44/12</f>
        <v>16.408963088842263</v>
      </c>
      <c r="AB32" s="21">
        <f>EXP(-LN(2)/2)*AB31+(1-EXP(-LN(2)/2))/(LN(2)/2)*V32*Y32*VLOOKUP('Données projet'!$B$9,Paramètres!$A$1:$I$89,3,0)*0.475*44/12</f>
        <v>2.3937715271429618</v>
      </c>
      <c r="AC32" s="22">
        <f t="shared" si="3"/>
        <v>21.954581252647976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18.099999999999998</v>
      </c>
      <c r="AI32" s="13">
        <f>IF('Données projet'!$A$62&gt;35,AI31+AH32-AQ31,IF(A32&lt;'Données projet'!$A$62,$AF$205^A32,IF(A32='Données projet'!$A$62,'Données projet'!$B$62,AI31+AH32-AQ31)))</f>
        <v>196.89230769230767</v>
      </c>
      <c r="AJ32" s="13">
        <f>AI32*VLOOKUP('Données projet'!$B$10,Paramètres!$A$1:$I$89,3,0)*VLOOKUP('Données projet'!$B$10,Paramètres!$A$1:$I$89,5,0)</f>
        <v>110.0628</v>
      </c>
      <c r="AK32" s="13">
        <f t="shared" si="35"/>
        <v>29.345780250854382</v>
      </c>
      <c r="AL32" s="20">
        <f t="shared" si="4"/>
        <v>242.80327727023806</v>
      </c>
      <c r="AM32" s="59">
        <f t="shared" si="5"/>
        <v>536.1366106035714</v>
      </c>
      <c r="AN32" s="59">
        <f ca="1">AVERAGE(OFFSET($AM$3,0,0,'Données projet'!$E$10+1,1))-AVERAGE(OFFSET($H$3,0,0,'Données projet'!$E$10+1,1))</f>
        <v>224.7049802939942</v>
      </c>
      <c r="AO32" s="59">
        <f t="shared" si="36"/>
        <v>203.48513862195352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2.2757873120300816</v>
      </c>
      <c r="AV32" s="21">
        <f>EXP(-LN(2)/25)*AV31+(1-EXP(-LN(2)/25))/(LN(2)/25)*Calculateur!AQ32*Calculateur!AS32*VLOOKUP('Données projet'!$B$10,Paramètres!$A$1:$I$89,3,0)*0.475*44/12</f>
        <v>20.073436720046406</v>
      </c>
      <c r="AW32" s="21">
        <f>EXP(-LN(2)/2)*AW31+(1-EXP(-LN(2)/2))/(LN(2)/2)*AQ32*AT32*VLOOKUP('Données projet'!$B$10,Paramètres!$A$1:$I$89,3,0)*0.475*44/12</f>
        <v>12.672219853487775</v>
      </c>
      <c r="AX32" s="21">
        <f t="shared" si="6"/>
        <v>35.021443885564267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16.399999999999999</v>
      </c>
      <c r="BD32" s="12">
        <f>IF('Données projet'!$A$88&gt;35,BD31+BC32-BL31,IF(A32&lt;'Données projet'!$A$88,$BA$205^A32,IF(A32='Données projet'!$A$88,'Données projet'!$B$88,BD31+BC32-BL31)))</f>
        <v>243.60000000000002</v>
      </c>
      <c r="BE32" s="13">
        <f>BD32*VLOOKUP('Données projet'!$B$11,Paramètres!$A$1:$I$89,3,0)*VLOOKUP('Données projet'!$B$11,Paramètres!$A$1:$I$89,5,0)</f>
        <v>133.00560000000002</v>
      </c>
      <c r="BF32" s="13">
        <f t="shared" si="37"/>
        <v>34.689938673073549</v>
      </c>
      <c r="BG32" s="20">
        <f t="shared" si="7"/>
        <v>292.06972985560316</v>
      </c>
      <c r="BH32" s="59">
        <f t="shared" si="8"/>
        <v>585.40306318893647</v>
      </c>
      <c r="BI32" s="59">
        <f ca="1">AVERAGE(OFFSET($BH$3,0,0,'Données projet'!$E$11+1,1))-AVERAGE(OFFSET($H$3,0,0,'Données projet'!$E$11+1,1))</f>
        <v>210.04871822652808</v>
      </c>
      <c r="BJ32" s="59">
        <f t="shared" si="38"/>
        <v>250.17540614049324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13.659761485708399</v>
      </c>
      <c r="BR32" s="21">
        <f>EXP(-LN(2)/2)*BR31+(1-EXP(-LN(2)/2))/(LN(2)/2)*BL32*BO32*VLOOKUP('Données projet'!$B$11,Paramètres!$A$1:$I$89,3,0)*0.475*44/12</f>
        <v>1.1064918632758414</v>
      </c>
      <c r="BS32" s="22">
        <f t="shared" si="9"/>
        <v>14.766253348984241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14</v>
      </c>
      <c r="BY32" s="12">
        <f>IF('Données projet'!$A$114&gt;35,BY31+BX32-CG31,IF(A32&lt;'Données projet'!$A$114,$BV$205^A32,IF(A32='Données projet'!$A$114,'Données projet'!$B$114,BY31+BX32-CG31)))</f>
        <v>206.00000000000003</v>
      </c>
      <c r="BZ32" s="13">
        <f>BY32*VLOOKUP('Données projet'!$B$12,Paramètres!$A$1:$I$89,3,0)*VLOOKUP('Données projet'!$B$12,Paramètres!$A$1:$I$89,5,0)</f>
        <v>112.47600000000001</v>
      </c>
      <c r="CA32" s="13">
        <f t="shared" si="39"/>
        <v>29.913591585896704</v>
      </c>
      <c r="CB32" s="20">
        <f t="shared" si="10"/>
        <v>247.99520534543674</v>
      </c>
      <c r="CC32" s="59">
        <f t="shared" si="11"/>
        <v>541.32853867877009</v>
      </c>
      <c r="CD32" s="59">
        <f ca="1">AVERAGE(OFFSET($CC$3,0,0,'Données projet'!$E$12+1,1))-AVERAGE(OFFSET($H$3,0,0,'Données projet'!$E$12+1,1))</f>
        <v>168.72306536277267</v>
      </c>
      <c r="CE32" s="59">
        <f t="shared" si="40"/>
        <v>203.35476578922339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9.6124247492022068</v>
      </c>
      <c r="CM32" s="21">
        <f>EXP(-LN(2)/2)*CM31+(1-EXP(-LN(2)/2))/(LN(2)/2)*CG32*CJ32*VLOOKUP('Données projet'!$B$12,Paramètres!$A$1:$I$89,3,0)*0.475*44/12</f>
        <v>0.77864242230522185</v>
      </c>
      <c r="CN32" s="22">
        <f t="shared" si="12"/>
        <v>10.391067171507428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5.6730769230769225</v>
      </c>
      <c r="CT32" s="12">
        <f>IF('Données projet'!$A$140&gt;35,CT31+CS32-DB31,IF(A32&lt;'Données projet'!$A$140,$CQ$205^A32,IF(A32='Données projet'!$A$140,'Données projet'!$B$140,CT31+CS32-DB31)))</f>
        <v>164.51923076923077</v>
      </c>
      <c r="CU32" s="17">
        <f>CT32*VLOOKUP('Données projet'!$B$13,Paramètres!$A$1:$I$89,3,0)*VLOOKUP('Données projet'!$B$13,Paramètres!$A$1:$I$89,5,0)</f>
        <v>79.133750000000006</v>
      </c>
      <c r="CV32" s="13">
        <f t="shared" si="41"/>
        <v>21.925247481981831</v>
      </c>
      <c r="CW32" s="20">
        <f t="shared" si="13"/>
        <v>176.01108728111834</v>
      </c>
      <c r="CX32" s="59">
        <f t="shared" si="14"/>
        <v>469.34442061445168</v>
      </c>
      <c r="CY32" s="59">
        <f ca="1">AVERAGE(OFFSET($CX$3,0,0,'Données projet'!$E$13+1,1))-AVERAGE(OFFSET($H$3,0,0,'Données projet'!$E$13+1,1))</f>
        <v>304.15237106473313</v>
      </c>
      <c r="CZ32" s="59">
        <f t="shared" si="42"/>
        <v>120.85458928724336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>
        <f>EXP(-LN(2)/35)*DF31+(1-EXP(-LN(2)/35))/(LN(2)/35)*DB32*DC32*VLOOKUP('Données projet'!$B$13,Paramètres!$A$1:$I$89,3,0)*0.475*44/12</f>
        <v>0</v>
      </c>
      <c r="DG32" s="21">
        <f>EXP(-LN(2)/25)*DG31+(1-EXP(-LN(2)/25))/(LN(2)/25)*Calculateur!DB32*Calculateur!DD32*VLOOKUP('Données projet'!$B$13,Paramètres!$A$1:$I$89,3,0)*0.475*44/12</f>
        <v>0</v>
      </c>
      <c r="DH32" s="21">
        <f>EXP(-LN(2)/2)*DH31+(1-EXP(-LN(2)/2))/(LN(2)/2)*DB32*DE32*VLOOKUP('Données projet'!$B$13,Paramètres!$A$1:$I$89,3,0)*0.475*44/12</f>
        <v>0</v>
      </c>
      <c r="DI32" s="22">
        <f t="shared" si="15"/>
        <v>0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3.8846153846153846</v>
      </c>
      <c r="DO32" s="12">
        <f>IF('Données projet'!$A$166&gt;35,DO31+DN32-DW31,IF(A32&lt;'Données projet'!$A$166,$DL$205^A32,IF(A32='Données projet'!$A$166,'Données projet'!$B$166,DO31+DN32-DW31)))</f>
        <v>112.65384615384619</v>
      </c>
      <c r="DP32" s="17">
        <f>DO32*VLOOKUP('Données projet'!$B$14,Paramètres!$A$1:$I$89,3,0)*VLOOKUP('Données projet'!$B$14,Paramètres!$A$1:$I$89,5,0)</f>
        <v>54.186500000000024</v>
      </c>
      <c r="DQ32" s="13">
        <f t="shared" si="43"/>
        <v>15.689830104470737</v>
      </c>
      <c r="DR32" s="20">
        <f t="shared" si="16"/>
        <v>121.70127493195322</v>
      </c>
      <c r="DS32" s="59">
        <f t="shared" si="17"/>
        <v>415.03460826528652</v>
      </c>
      <c r="DT32" s="59">
        <f ca="1">AVERAGE(OFFSET($DS$3,0,0,'Données projet'!$E$14+1,1))-AVERAGE(OFFSET($H$3,0,0,'Données projet'!$E$14+1,1))</f>
        <v>91.053246648097399</v>
      </c>
      <c r="DU32" s="59">
        <f t="shared" si="44"/>
        <v>64.716270355703955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>
        <f>EXP(-LN(2)/35)*EA31+(1-EXP(-LN(2)/35))/(LN(2)/35)*DW32*DX32*VLOOKUP('Données projet'!$B$14,Paramètres!$A$1:$I$89,3,0)*0.475*44/12</f>
        <v>0</v>
      </c>
      <c r="EB32" s="21">
        <f>EXP(-LN(2)/25)*EB31+(1-EXP(-LN(2)/25))/(LN(2)/25)*Calculateur!DW32*Calculateur!DY32*VLOOKUP('Données projet'!$B$14,Paramètres!$A$1:$I$89,3,0)*0.475*44/12</f>
        <v>0</v>
      </c>
      <c r="EC32" s="21">
        <f>EXP(-LN(2)/2)*EC31+(1-EXP(-LN(2)/2))/(LN(2)/2)*DW32*DZ32*VLOOKUP('Données projet'!$B$14,Paramètres!$A$1:$I$89,3,0)*0.475*44/12</f>
        <v>0</v>
      </c>
      <c r="ED32" s="22">
        <f t="shared" si="18"/>
        <v>0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15.3</v>
      </c>
      <c r="EJ32" s="12">
        <f>IF('Données projet'!$A$192&gt;35,EJ31+EI32-ER31,IF(A32&lt;'Données projet'!$A$192,$EG$205^A32,IF(A32='Données projet'!$A$192,'Données projet'!$B$192,EJ31+EI32-ER31)))</f>
        <v>214.70000000000005</v>
      </c>
      <c r="EK32" s="17">
        <f>EJ32*VLOOKUP('Données projet'!$B$15,Paramètres!$A$1:$I$89,3,0)*VLOOKUP('Données projet'!$B$15,Paramètres!$A$1:$I$89,5,0)</f>
        <v>128.39060000000003</v>
      </c>
      <c r="EL32" s="13">
        <f t="shared" si="45"/>
        <v>33.624205053748</v>
      </c>
      <c r="EM32" s="20">
        <f t="shared" si="19"/>
        <v>282.17578546861114</v>
      </c>
      <c r="EN32" s="59">
        <f t="shared" si="20"/>
        <v>575.5091188019444</v>
      </c>
      <c r="EO32" s="59">
        <f ca="1">AVERAGE(OFFSET($EN$3,0,0,'Données projet'!$E$15+1,1))-AVERAGE(OFFSET($H$3,0,0,'Données projet'!$E$15+1,1))</f>
        <v>316.58509520829671</v>
      </c>
      <c r="EP32" s="59">
        <f t="shared" si="46"/>
        <v>240.71332110643596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>
        <f>EXP(-LN(2)/35)*EV31+(1-EXP(-LN(2)/35))/(LN(2)/35)*ER32*ES32*VLOOKUP('Données projet'!$B$15,Paramètres!$A$1:$I$89,3,0)*0.475*44/12</f>
        <v>0</v>
      </c>
      <c r="EW32" s="21">
        <f>EXP(-LN(2)/25)*EW31+(1-EXP(-LN(2)/25))/(LN(2)/25)*Calculateur!ER32*Calculateur!ET32*VLOOKUP('Données projet'!$B$15,Paramètres!$A$1:$I$89,3,0)*0.475*44/12</f>
        <v>4.0172226238833808</v>
      </c>
      <c r="EX32" s="21">
        <f>EXP(-LN(2)/2)*EX31+(1-EXP(-LN(2)/2))/(LN(2)/2)*ER32*EU32*VLOOKUP('Données projet'!$B$15,Paramètres!$A$1:$I$89,3,0)*0.475*44/12</f>
        <v>0.43388011334802251</v>
      </c>
      <c r="EY32" s="22">
        <f t="shared" si="21"/>
        <v>4.4511027372314036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13.3</v>
      </c>
      <c r="FE32" s="12">
        <f>IF('Données projet'!$A$218&gt;35,FE31+FD32-FM31,IF(A32&lt;'Données projet'!$A$218,$FB$205^A32,IF(A32='Données projet'!$A$218,'Données projet'!$B$218,FE31+FD32-FM31)))</f>
        <v>186.70000000000005</v>
      </c>
      <c r="FF32" s="17">
        <f>FE32*VLOOKUP('Données projet'!$B$16,Paramètres!$A$1:$I$89,3,0)*VLOOKUP('Données projet'!$B$16,Paramètres!$A$1:$I$89,5,0)</f>
        <v>111.64660000000003</v>
      </c>
      <c r="FG32" s="13">
        <f t="shared" si="47"/>
        <v>29.718600259496139</v>
      </c>
      <c r="FH32" s="20">
        <f t="shared" si="22"/>
        <v>246.21105711862251</v>
      </c>
      <c r="FI32" s="59">
        <f t="shared" si="23"/>
        <v>539.54439045195579</v>
      </c>
      <c r="FJ32" s="59">
        <f ca="1">AVERAGE(OFFSET($FI$3,0,0,'Données projet'!$E$16+1,1))-AVERAGE(OFFSET($H$3,0,0,'Données projet'!$E$16+1,1))</f>
        <v>270.30888762640245</v>
      </c>
      <c r="FK32" s="59">
        <f t="shared" si="48"/>
        <v>202.23783851977691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>
        <f>EXP(-LN(2)/35)*FQ31+(1-EXP(-LN(2)/35))/(LN(2)/35)*FM32*FN32*VLOOKUP('Données projet'!$B$16,Paramètres!$A$1:$I$89,3,0)*0.475*44/12</f>
        <v>0</v>
      </c>
      <c r="FR32" s="21">
        <f>EXP(-LN(2)/25)*FR31+(1-EXP(-LN(2)/25))/(LN(2)/25)*Calculateur!FM32*Calculateur!FO32*VLOOKUP('Données projet'!$B$16,Paramètres!$A$1:$I$89,3,0)*0.475*44/12</f>
        <v>2.7704983612988818</v>
      </c>
      <c r="FS32" s="21">
        <f>EXP(-LN(2)/2)*FS31+(1-EXP(-LN(2)/2))/(LN(2)/2)*FM32*FP32*VLOOKUP('Données projet'!$B$16,Paramètres!$A$1:$I$89,3,0)*0.475*44/12</f>
        <v>0.29922766437794662</v>
      </c>
      <c r="FT32" s="22">
        <f t="shared" si="24"/>
        <v>3.0697260256768284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14.5</v>
      </c>
      <c r="FZ32" s="12">
        <f>IF('Données projet'!$A$244&gt;35,FZ31+FY32-GH31,IF(A32&lt;'Données projet'!$A$244,$FW$205^A32,IF(A32='Données projet'!$A$244,'Données projet'!$B$244,FZ31+FY32-GH31)))</f>
        <v>197.5</v>
      </c>
      <c r="GA32" s="17">
        <f>FZ32*VLOOKUP('Données projet'!$B$17,Paramètres!$A$1:$I$89,3,0)*VLOOKUP('Données projet'!$B$17,Paramètres!$A$1:$I$89,5,0)</f>
        <v>157.13100000000003</v>
      </c>
      <c r="GB32" s="13">
        <f t="shared" si="49"/>
        <v>40.194724574621844</v>
      </c>
      <c r="GC32" s="20">
        <f t="shared" si="25"/>
        <v>343.67563696746635</v>
      </c>
      <c r="GD32" s="59">
        <f t="shared" si="26"/>
        <v>637.00897030079966</v>
      </c>
      <c r="GE32" s="59">
        <f ca="1">AVERAGE(OFFSET($GD$3,0,0,'Données projet'!$E$17+1,1))-AVERAGE(OFFSET($H$3,0,0,'Données projet'!$E$17+1,1))</f>
        <v>260.20517190557814</v>
      </c>
      <c r="GF32" s="59">
        <f t="shared" si="50"/>
        <v>307.22009971147133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>
        <f>EXP(-LN(2)/35)*GL31+(1-EXP(-LN(2)/35))/(LN(2)/35)*GH32*GI32*VLOOKUP('Données projet'!$B$17,Paramètres!$A$1:$I$89,3,0)*0.475*44/12</f>
        <v>0</v>
      </c>
      <c r="GM32" s="21">
        <f>EXP(-LN(2)/25)*GM31+(1-EXP(-LN(2)/25))/(LN(2)/25)*Calculateur!GH32*Calculateur!GJ32*VLOOKUP('Données projet'!$B$17,Paramètres!$A$1:$I$89,3,0)*0.475*44/12</f>
        <v>6.0596621223380289</v>
      </c>
      <c r="GN32" s="21">
        <f>EXP(-LN(2)/2)*GN31+(1-EXP(-LN(2)/2))/(LN(2)/2)*GH32*GK32*VLOOKUP('Données projet'!$B$17,Paramètres!$A$1:$I$89,3,0)*0.475*44/12</f>
        <v>0.55568528759752389</v>
      </c>
      <c r="GO32" s="21">
        <f t="shared" si="27"/>
        <v>6.6153474099355529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12.2</v>
      </c>
      <c r="GU32" s="12">
        <f>IF('Données projet'!$A$270&gt;35,GU31+GT32-HC31,IF(A32&lt;'Données projet'!$A$270,$GR$205^A32,IF(A32='Données projet'!$A$270,'Données projet'!$B$270,GU31+GT32-HC31)))</f>
        <v>161.79999999999998</v>
      </c>
      <c r="GV32" s="17">
        <f>GU32*VLOOKUP('Données projet'!$B$18,Paramètres!$A$1:$I$89,3,0)*VLOOKUP('Données projet'!$B$18,Paramètres!$A$1:$I$89,5,0)</f>
        <v>128.72807999999998</v>
      </c>
      <c r="GW32" s="13">
        <f t="shared" si="51"/>
        <v>33.702287995285367</v>
      </c>
      <c r="GX32" s="20">
        <f t="shared" si="28"/>
        <v>282.89955759178861</v>
      </c>
      <c r="GY32" s="59">
        <f t="shared" si="29"/>
        <v>576.23289092512186</v>
      </c>
      <c r="GZ32" s="59">
        <f ca="1">AVERAGE(OFFSET($GY$3,0,0,'Données projet'!$E$18+1,1))-AVERAGE(OFFSET($H$3,0,0,'Données projet'!$E$18+1,1))</f>
        <v>199.58763537752952</v>
      </c>
      <c r="HA32" s="59">
        <f t="shared" si="52"/>
        <v>242.62852778451929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>
        <f>EXP(-LN(2)/35)*HG31+(1-EXP(-LN(2)/35))/(LN(2)/35)*HC32*HD32*VLOOKUP('Données projet'!$B$18,Paramètres!$A$1:$I$89,3,0)*0.475*44/12</f>
        <v>0</v>
      </c>
      <c r="HH32" s="21">
        <f>EXP(-LN(2)/25)*HH31+(1-EXP(-LN(2)/25))/(LN(2)/25)*Calculateur!HC32*Calculateur!HE32*VLOOKUP('Données projet'!$B$18,Paramètres!$A$1:$I$89,3,0)*0.475*44/12</f>
        <v>3.8890368844856007</v>
      </c>
      <c r="HI32" s="21">
        <f>EXP(-LN(2)/2)*HI31+(1-EXP(-LN(2)/2))/(LN(2)/2)*HC32*HF32*VLOOKUP('Données projet'!$B$18,Paramètres!$A$1:$I$89,3,0)*0.475*44/12</f>
        <v>0.35663384129393311</v>
      </c>
      <c r="HJ32" s="22">
        <f t="shared" si="30"/>
        <v>4.2456707257795339</v>
      </c>
    </row>
    <row r="33" spans="1:218" x14ac:dyDescent="0.2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26.675999999999991</v>
      </c>
      <c r="D33" s="11">
        <f t="shared" si="32"/>
        <v>8.388268495647786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270.67154628219339</v>
      </c>
      <c r="H33" s="67">
        <f t="shared" si="1"/>
        <v>354.40360096325321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331.86923076923074</v>
      </c>
      <c r="L33" s="12">
        <f>VLOOKUP(A33,'Données projet'!$A$35:$I$55,9,0)</f>
        <v>22.828205128205127</v>
      </c>
      <c r="M33" s="12">
        <f t="array" ref="M33">INDEX(L:L,MIN(IF(ISNUMBER(L33:L229),ROW(L33:L229),"")))</f>
        <v>22.828205128205127</v>
      </c>
      <c r="N33" s="13">
        <f>IF('Données projet'!$A$36&gt;35,N32+M33-V32,IF(A33&lt;'Données projet'!$A$36,$K$205^A33,IF(A33='Données projet'!$A$36,'Données projet'!$B$36,N32+M33-V32)))</f>
        <v>331.86923076923063</v>
      </c>
      <c r="O33" s="13">
        <f>N33*VLOOKUP('Données projet'!$B$9,Paramètres!$A$1:$I$89,3,0)*VLOOKUP('Données projet'!$B$9,Paramètres!$A$1:$I$89,5,0)</f>
        <v>185.5148999999999</v>
      </c>
      <c r="P33" s="13">
        <f t="shared" si="33"/>
        <v>46.546986497298995</v>
      </c>
      <c r="Q33" s="20">
        <f t="shared" si="2"/>
        <v>404.17445231612891</v>
      </c>
      <c r="R33" s="59">
        <f t="shared" si="0"/>
        <v>697.50778564946222</v>
      </c>
      <c r="S33" s="59">
        <f ca="1">AVERAGE(OFFSET($R$3,0,0,'Données projet'!$E$9+1,1))-AVERAGE(OFFSET($H$3,0,0,'Données projet'!$E$9+1,1))</f>
        <v>255.5374979188561</v>
      </c>
      <c r="T33" s="59">
        <f t="shared" si="34"/>
        <v>343.10418468620901</v>
      </c>
      <c r="U33" s="15">
        <f>IF(ISNA(VLOOKUP(A33,'Données projet'!$A$35:$I$55,3,0)),0,VLOOKUP(A33,'Données projet'!$A$35:$I$55,3,0))</f>
        <v>3</v>
      </c>
      <c r="V33" s="15">
        <f>IF(ISNA(VLOOKUP(A33,'Données projet'!$A$35:$I$55,4,0)),0,VLOOKUP(A33,'Données projet'!$A$35:$I$55,4,0))</f>
        <v>65.669230769230765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3.0900408465544178</v>
      </c>
      <c r="AA33" s="21">
        <f>EXP(-LN(2)/25)*AA32+(1-EXP(-LN(2)/25))/(LN(2)/25)*Calculateur!V33*Calculateur!X33*VLOOKUP('Données projet'!$B$9,Paramètres!$A$1:$I$89,3,0)*0.475*44/12</f>
        <v>15.960259130268007</v>
      </c>
      <c r="AB33" s="21">
        <f>EXP(-LN(2)/2)*AB32+(1-EXP(-LN(2)/2))/(LN(2)/2)*V33*Y33*VLOOKUP('Données projet'!$B$9,Paramètres!$A$1:$I$89,3,0)*0.475*44/12</f>
        <v>1.692652079454066</v>
      </c>
      <c r="AC33" s="22">
        <f t="shared" si="3"/>
        <v>20.74295205627649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18.099999999999998</v>
      </c>
      <c r="AI33" s="13">
        <f>IF('Données projet'!$A$62&gt;35,AI32+AH33-AQ32,IF(A33&lt;'Données projet'!$A$62,$AF$205^A33,IF(A33='Données projet'!$A$62,'Données projet'!$B$62,AI32+AH33-AQ32)))</f>
        <v>214.99230769230766</v>
      </c>
      <c r="AJ33" s="13">
        <f>AI33*VLOOKUP('Données projet'!$B$10,Paramètres!$A$1:$I$89,3,0)*VLOOKUP('Données projet'!$B$10,Paramètres!$A$1:$I$89,5,0)</f>
        <v>120.18069999999997</v>
      </c>
      <c r="AK33" s="13">
        <f t="shared" si="35"/>
        <v>31.717140910166616</v>
      </c>
      <c r="AL33" s="20">
        <f t="shared" si="4"/>
        <v>264.55540625187342</v>
      </c>
      <c r="AM33" s="59">
        <f t="shared" si="5"/>
        <v>557.88873958520674</v>
      </c>
      <c r="AN33" s="59">
        <f ca="1">AVERAGE(OFFSET($AM$3,0,0,'Données projet'!$E$10+1,1))-AVERAGE(OFFSET($H$3,0,0,'Données projet'!$E$10+1,1))</f>
        <v>224.7049802939942</v>
      </c>
      <c r="AO33" s="59">
        <f t="shared" si="36"/>
        <v>203.48513862195352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2.2311605109343691</v>
      </c>
      <c r="AV33" s="21">
        <f>EXP(-LN(2)/25)*AV32+(1-EXP(-LN(2)/25))/(LN(2)/25)*Calculateur!AQ33*Calculateur!AS33*VLOOKUP('Données projet'!$B$10,Paramètres!$A$1:$I$89,3,0)*0.475*44/12</f>
        <v>19.524527537320576</v>
      </c>
      <c r="AW33" s="21">
        <f>EXP(-LN(2)/2)*AW32+(1-EXP(-LN(2)/2))/(LN(2)/2)*AQ33*AT33*VLOOKUP('Données projet'!$B$10,Paramètres!$A$1:$I$89,3,0)*0.475*44/12</f>
        <v>8.9606125910880046</v>
      </c>
      <c r="AX33" s="21">
        <f t="shared" si="6"/>
        <v>30.716300639342951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>
        <f>VLOOKUP(A33,'Données projet'!$A$87:$I$107,2,0)</f>
        <v>260</v>
      </c>
      <c r="BB33" s="12">
        <f>VLOOKUP(A33,'Données projet'!$A$87:$I$107,9,0)</f>
        <v>16.399999999999999</v>
      </c>
      <c r="BC33" s="12">
        <f t="array" ref="BC33">INDEX(BB:BB,MIN(IF(ISNUMBER(BB33:BB229),ROW(BB33:BB229),"")))</f>
        <v>16.399999999999999</v>
      </c>
      <c r="BD33" s="12">
        <f>IF('Données projet'!$A$88&gt;35,BD32+BC33-BL32,IF(A33&lt;'Données projet'!$A$88,$BA$205^A33,IF(A33='Données projet'!$A$88,'Données projet'!$B$88,BD32+BC33-BL32)))</f>
        <v>260</v>
      </c>
      <c r="BE33" s="13">
        <f>BD33*VLOOKUP('Données projet'!$B$11,Paramètres!$A$1:$I$89,3,0)*VLOOKUP('Données projet'!$B$11,Paramètres!$A$1:$I$89,5,0)</f>
        <v>141.96</v>
      </c>
      <c r="BF33" s="13">
        <f t="shared" si="37"/>
        <v>36.745650011720485</v>
      </c>
      <c r="BG33" s="20">
        <f t="shared" si="7"/>
        <v>311.24567377041313</v>
      </c>
      <c r="BH33" s="59">
        <f t="shared" si="8"/>
        <v>604.57900710374645</v>
      </c>
      <c r="BI33" s="59">
        <f ca="1">AVERAGE(OFFSET($BH$3,0,0,'Données projet'!$E$11+1,1))-AVERAGE(OFFSET($H$3,0,0,'Données projet'!$E$11+1,1))</f>
        <v>210.04871822652808</v>
      </c>
      <c r="BJ33" s="59">
        <f t="shared" si="38"/>
        <v>250.17540614049324</v>
      </c>
      <c r="BK33" s="15">
        <f>IF(ISNA(VLOOKUP(A33,'Données projet'!$A$87:$I$107,3,0)),0,VLOOKUP(A33,'Données projet'!$A$87:$I$107,3,0))</f>
        <v>2</v>
      </c>
      <c r="BL33" s="15">
        <f>IF(ISNA(VLOOKUP(A33,'Données projet'!$A$87:$I$107,4,0)),0,VLOOKUP(A33,'Données projet'!$A$87:$I$107,4,0))</f>
        <v>84</v>
      </c>
      <c r="BM33" s="16">
        <f>IF(ISNA(VLOOKUP(A33,'Données projet'!$A$87:$I$107,5,0)),0%,VLOOKUP(A33,'Données projet'!$A$87:$I$107,5,0)*VLOOKUP('Données projet'!$B$11,Paramètres!$A$1:$I$89,7,0))</f>
        <v>0.12</v>
      </c>
      <c r="BN33" s="16">
        <f>IF(ISNA(VLOOKUP(A33,'Données projet'!$A$87:$I$107,6,0)),0%,VLOOKUP(A33,'Données projet'!$A$87:$I$107,6,0)*VLOOKUP('Données projet'!$B$11,Paramètres!$A$1:$I$89,7,0))</f>
        <v>0.24</v>
      </c>
      <c r="BO33" s="16">
        <f>IF(ISNA(VLOOKUP(A33,'Données projet'!$A$87:$I$107,7,0)),0%,VLOOKUP(A33,'Données projet'!$A$87:$I$107,7,0))</f>
        <v>0.4</v>
      </c>
      <c r="BP33" s="21">
        <f>EXP(-LN(2)/35)*BP32+(1-EXP(-LN(2)/35))/(LN(2)/35)*BL33*BM33*VLOOKUP('Données projet'!$B$11,Paramètres!$A$1:$I$89,3,0)*0.475*44/12</f>
        <v>7.3009862621134873</v>
      </c>
      <c r="BQ33" s="21">
        <f>EXP(-LN(2)/25)*BQ32+(1-EXP(-LN(2)/25))/(LN(2)/25)*Calculateur!BL33*Calculateur!BN33*VLOOKUP('Données projet'!$B$11,Paramètres!$A$1:$I$89,3,0)*0.475*44/12</f>
        <v>27.830713584157436</v>
      </c>
      <c r="BR33" s="21">
        <f>EXP(-LN(2)/2)*BR32+(1-EXP(-LN(2)/2))/(LN(2)/2)*BL33*BO33*VLOOKUP('Données projet'!$B$11,Paramètres!$A$1:$I$89,3,0)*0.475*44/12</f>
        <v>21.553888737351617</v>
      </c>
      <c r="BS33" s="22">
        <f t="shared" si="9"/>
        <v>56.685588583622547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>
        <f>VLOOKUP(A33,'Données projet'!$A$113:$I$133,2,0)</f>
        <v>220</v>
      </c>
      <c r="BW33" s="12">
        <f>VLOOKUP(A33,'Données projet'!$A$113:$I$133,9,0)</f>
        <v>14</v>
      </c>
      <c r="BX33" s="12">
        <f t="array" ref="BX33">INDEX(BW:BW,MIN(IF(ISNUMBER(BW33:BW229),ROW(BW33:BW229),"")))</f>
        <v>14</v>
      </c>
      <c r="BY33" s="12">
        <f>IF('Données projet'!$A$114&gt;35,BY32+BX33-CG32,IF(A33&lt;'Données projet'!$A$114,$BV$205^A33,IF(A33='Données projet'!$A$114,'Données projet'!$B$114,BY32+BX33-CG32)))</f>
        <v>220.00000000000003</v>
      </c>
      <c r="BZ33" s="13">
        <f>BY33*VLOOKUP('Données projet'!$B$12,Paramètres!$A$1:$I$89,3,0)*VLOOKUP('Données projet'!$B$12,Paramètres!$A$1:$I$89,5,0)</f>
        <v>120.12</v>
      </c>
      <c r="CA33" s="13">
        <f t="shared" si="39"/>
        <v>31.702985695201871</v>
      </c>
      <c r="CB33" s="20">
        <f t="shared" si="10"/>
        <v>264.42503341914329</v>
      </c>
      <c r="CC33" s="59">
        <f t="shared" si="11"/>
        <v>557.7583667524766</v>
      </c>
      <c r="CD33" s="59">
        <f ca="1">AVERAGE(OFFSET($CC$3,0,0,'Données projet'!$E$12+1,1))-AVERAGE(OFFSET($H$3,0,0,'Données projet'!$E$12+1,1))</f>
        <v>168.72306536277267</v>
      </c>
      <c r="CE33" s="59">
        <f t="shared" si="40"/>
        <v>203.35476578922339</v>
      </c>
      <c r="CF33" s="15">
        <f>IF(ISNA(VLOOKUP(A33,'Données projet'!$A$113:$I$133,3,0)),0,VLOOKUP(A33,'Données projet'!$A$113:$I$133,3,0))</f>
        <v>2</v>
      </c>
      <c r="CG33" s="15">
        <f>IF(ISNA(VLOOKUP(A33,'Données projet'!$A$113:$I$133,4,0)),0,VLOOKUP(A33,'Données projet'!$A$113:$I$133,4,0))</f>
        <v>70</v>
      </c>
      <c r="CH33" s="16">
        <f>IF(ISNA(VLOOKUP(A33,'Données projet'!$A$113:$I$133,5,0)),0%,VLOOKUP(A33,'Données projet'!$A$113:$I$133,5,0)*VLOOKUP('Données projet'!$B$12,Paramètres!$A$1:$I$89,7,0))</f>
        <v>0.06</v>
      </c>
      <c r="CI33" s="16">
        <f>IF(ISNA(VLOOKUP(A33,'Données projet'!$A$113:$I$133,6,0)),0%,VLOOKUP(A33,'Données projet'!$A$113:$I$133,6,0)*VLOOKUP('Données projet'!$B$12,Paramètres!$A$1:$I$89,7,0))</f>
        <v>0.27</v>
      </c>
      <c r="CJ33" s="16">
        <f>IF(ISNA(VLOOKUP(A33,'Données projet'!$A$113:$I$133,7,0)),0%,VLOOKUP(A33,'Données projet'!$A$113:$I$133,7,0))</f>
        <v>0.45</v>
      </c>
      <c r="CK33" s="21">
        <f>EXP(-LN(2)/35)*CK32+(1-EXP(-LN(2)/35))/(LN(2)/35)*CG33*CH33*VLOOKUP('Données projet'!$B$12,Paramètres!$A$1:$I$89,3,0)*0.475*44/12</f>
        <v>3.0420776092139534</v>
      </c>
      <c r="CL33" s="21">
        <f>EXP(-LN(2)/25)*CL32+(1-EXP(-LN(2)/25))/(LN(2)/25)*Calculateur!CG33*Calculateur!CI33*VLOOKUP('Données projet'!$B$12,Paramètres!$A$1:$I$89,3,0)*0.475*44/12</f>
        <v>22.985021546387983</v>
      </c>
      <c r="CM33" s="21">
        <f>EXP(-LN(2)/2)*CM32+(1-EXP(-LN(2)/2))/(LN(2)/2)*CG33*CJ33*VLOOKUP('Données projet'!$B$12,Paramètres!$A$1:$I$89,3,0)*0.475*44/12</f>
        <v>20.023846622089227</v>
      </c>
      <c r="CN33" s="22">
        <f t="shared" si="12"/>
        <v>46.050945777691169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5.6730769230769225</v>
      </c>
      <c r="CT33" s="12">
        <f>IF('Données projet'!$A$140&gt;35,CT32+CS33-DB32,IF(A33&lt;'Données projet'!$A$140,$CQ$205^A33,IF(A33='Données projet'!$A$140,'Données projet'!$B$140,CT32+CS33-DB32)))</f>
        <v>170.19230769230771</v>
      </c>
      <c r="CU33" s="17">
        <f>CT33*VLOOKUP('Données projet'!$B$13,Paramètres!$A$1:$I$89,3,0)*VLOOKUP('Données projet'!$B$13,Paramètres!$A$1:$I$89,5,0)</f>
        <v>81.862500000000011</v>
      </c>
      <c r="CV33" s="13">
        <f t="shared" si="41"/>
        <v>22.591963301720547</v>
      </c>
      <c r="CW33" s="20">
        <f t="shared" si="13"/>
        <v>181.92485691716328</v>
      </c>
      <c r="CX33" s="59">
        <f t="shared" si="14"/>
        <v>475.25819025049657</v>
      </c>
      <c r="CY33" s="59">
        <f ca="1">AVERAGE(OFFSET($CX$3,0,0,'Données projet'!$E$13+1,1))-AVERAGE(OFFSET($H$3,0,0,'Données projet'!$E$13+1,1))</f>
        <v>304.15237106473313</v>
      </c>
      <c r="CZ33" s="59">
        <f t="shared" si="42"/>
        <v>120.85458928724336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>
        <f>EXP(-LN(2)/35)*DF32+(1-EXP(-LN(2)/35))/(LN(2)/35)*DB33*DC33*VLOOKUP('Données projet'!$B$13,Paramètres!$A$1:$I$89,3,0)*0.475*44/12</f>
        <v>0</v>
      </c>
      <c r="DG33" s="21">
        <f>EXP(-LN(2)/25)*DG32+(1-EXP(-LN(2)/25))/(LN(2)/25)*Calculateur!DB33*Calculateur!DD33*VLOOKUP('Données projet'!$B$13,Paramètres!$A$1:$I$89,3,0)*0.475*44/12</f>
        <v>0</v>
      </c>
      <c r="DH33" s="21">
        <f>EXP(-LN(2)/2)*DH32+(1-EXP(-LN(2)/2))/(LN(2)/2)*DB33*DE33*VLOOKUP('Données projet'!$B$13,Paramètres!$A$1:$I$89,3,0)*0.475*44/12</f>
        <v>0</v>
      </c>
      <c r="DI33" s="22">
        <f t="shared" si="15"/>
        <v>0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3.8846153846153846</v>
      </c>
      <c r="DO33" s="12">
        <f>IF('Données projet'!$A$166&gt;35,DO32+DN33-DW32,IF(A33&lt;'Données projet'!$A$166,$DL$205^A33,IF(A33='Données projet'!$A$166,'Données projet'!$B$166,DO32+DN33-DW32)))</f>
        <v>116.53846153846158</v>
      </c>
      <c r="DP33" s="17">
        <f>DO33*VLOOKUP('Données projet'!$B$14,Paramètres!$A$1:$I$89,3,0)*VLOOKUP('Données projet'!$B$14,Paramètres!$A$1:$I$89,5,0)</f>
        <v>56.055000000000021</v>
      </c>
      <c r="DQ33" s="13">
        <f t="shared" si="43"/>
        <v>16.166935685525633</v>
      </c>
      <c r="DR33" s="20">
        <f t="shared" si="16"/>
        <v>125.78653798562384</v>
      </c>
      <c r="DS33" s="59">
        <f t="shared" si="17"/>
        <v>419.11987131895717</v>
      </c>
      <c r="DT33" s="59">
        <f ca="1">AVERAGE(OFFSET($DS$3,0,0,'Données projet'!$E$14+1,1))-AVERAGE(OFFSET($H$3,0,0,'Données projet'!$E$14+1,1))</f>
        <v>91.053246648097399</v>
      </c>
      <c r="DU33" s="59">
        <f t="shared" si="44"/>
        <v>64.716270355703955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>
        <f>EXP(-LN(2)/35)*EA32+(1-EXP(-LN(2)/35))/(LN(2)/35)*DW33*DX33*VLOOKUP('Données projet'!$B$14,Paramètres!$A$1:$I$89,3,0)*0.475*44/12</f>
        <v>0</v>
      </c>
      <c r="EB33" s="21">
        <f>EXP(-LN(2)/25)*EB32+(1-EXP(-LN(2)/25))/(LN(2)/25)*Calculateur!DW33*Calculateur!DY33*VLOOKUP('Données projet'!$B$14,Paramètres!$A$1:$I$89,3,0)*0.475*44/12</f>
        <v>0</v>
      </c>
      <c r="EC33" s="21">
        <f>EXP(-LN(2)/2)*EC32+(1-EXP(-LN(2)/2))/(LN(2)/2)*DW33*DZ33*VLOOKUP('Données projet'!$B$14,Paramètres!$A$1:$I$89,3,0)*0.475*44/12</f>
        <v>0</v>
      </c>
      <c r="ED33" s="22">
        <f t="shared" si="18"/>
        <v>0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>
        <f>VLOOKUP(A33,'Données projet'!$A$191:$I$211,2,0)</f>
        <v>230</v>
      </c>
      <c r="EH33" s="12">
        <f>VLOOKUP(A33,'Données projet'!$A$191:$I$211,9,0)</f>
        <v>15.3</v>
      </c>
      <c r="EI33" s="12">
        <f t="array" ref="EI33">INDEX(EH:EH,MIN(IF(ISNUMBER(EH33:EH229),ROW(EH33:EH229),"")))</f>
        <v>15.3</v>
      </c>
      <c r="EJ33" s="12">
        <f>IF('Données projet'!$A$192&gt;35,EJ32+EI33-ER32,IF(A33&lt;'Données projet'!$A$192,$EG$205^A33,IF(A33='Données projet'!$A$192,'Données projet'!$B$192,EJ32+EI33-ER32)))</f>
        <v>230.00000000000006</v>
      </c>
      <c r="EK33" s="17">
        <f>EJ33*VLOOKUP('Données projet'!$B$15,Paramètres!$A$1:$I$89,3,0)*VLOOKUP('Données projet'!$B$15,Paramètres!$A$1:$I$89,5,0)</f>
        <v>137.54000000000005</v>
      </c>
      <c r="EL33" s="13">
        <f t="shared" si="45"/>
        <v>35.73287391561098</v>
      </c>
      <c r="EM33" s="20">
        <f t="shared" si="19"/>
        <v>301.78358873635585</v>
      </c>
      <c r="EN33" s="59">
        <f t="shared" si="20"/>
        <v>595.11692206968917</v>
      </c>
      <c r="EO33" s="59">
        <f ca="1">AVERAGE(OFFSET($EN$3,0,0,'Données projet'!$E$15+1,1))-AVERAGE(OFFSET($H$3,0,0,'Données projet'!$E$15+1,1))</f>
        <v>316.58509520829671</v>
      </c>
      <c r="EP33" s="59">
        <f t="shared" si="46"/>
        <v>240.71332110643596</v>
      </c>
      <c r="EQ33" s="15">
        <f>IF(ISNA(VLOOKUP(A33,'Données projet'!$A$191:$I$211,3,0)),0,VLOOKUP(A33,'Données projet'!$A$191:$I$211,3,0))</f>
        <v>2</v>
      </c>
      <c r="ER33" s="15">
        <f>IF(ISNA(VLOOKUP(A33,'Données projet'!$A$191:$I$211,4,0)),0,VLOOKUP(A33,'Données projet'!$A$191:$I$211,4,0))</f>
        <v>71</v>
      </c>
      <c r="ES33" s="16">
        <f>IF(ISNA(VLOOKUP(A33,'Données projet'!$A$191:$I$211,5,0)),0%,VLOOKUP(A33,'Données projet'!$A$191:$I$211,5,0)*VLOOKUP('Données projet'!$B$15,Paramètres!$A$1:$I$89,7,0))</f>
        <v>4.5000000000000005E-2</v>
      </c>
      <c r="ET33" s="16">
        <f>IF(ISNA(VLOOKUP(A33,'Données projet'!$A$191:$I$211,6,0)),0%,VLOOKUP(A33,'Données projet'!$A$191:$I$211,6,0)*VLOOKUP('Données projet'!$B$15,Paramètres!$A$1:$I$89,7,0))</f>
        <v>0.20250000000000001</v>
      </c>
      <c r="EU33" s="16">
        <f>IF(ISNA(VLOOKUP(A33,'Données projet'!$A$191:$I$211,7,0)),0%,VLOOKUP(A33,'Données projet'!$A$191:$I$211,7,0))</f>
        <v>0.45</v>
      </c>
      <c r="EV33" s="21">
        <f>EXP(-LN(2)/35)*EV32+(1-EXP(-LN(2)/35))/(LN(2)/35)*ER33*ES33*VLOOKUP('Données projet'!$B$15,Paramètres!$A$1:$I$89,3,0)*0.475*44/12</f>
        <v>2.5345473142073405</v>
      </c>
      <c r="EW33" s="21">
        <f>EXP(-LN(2)/25)*EW32+(1-EXP(-LN(2)/25))/(LN(2)/25)*Calculateur!ER33*Calculateur!ET33*VLOOKUP('Données projet'!$B$15,Paramètres!$A$1:$I$89,3,0)*0.475*44/12</f>
        <v>15.267926720595529</v>
      </c>
      <c r="EX33" s="21">
        <f>EXP(-LN(2)/2)*EX32+(1-EXP(-LN(2)/2))/(LN(2)/2)*ER33*EU33*VLOOKUP('Données projet'!$B$15,Paramètres!$A$1:$I$89,3,0)*0.475*44/12</f>
        <v>21.939343070140783</v>
      </c>
      <c r="EY33" s="22">
        <f t="shared" si="21"/>
        <v>39.741817104943649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>
        <f>VLOOKUP(A33,'Données projet'!$A$217:$I$237,2,0)</f>
        <v>200</v>
      </c>
      <c r="FC33" s="12">
        <f>VLOOKUP(A33,'Données projet'!$A$217:$I$237,9,0)</f>
        <v>13.3</v>
      </c>
      <c r="FD33" s="12">
        <f t="array" ref="FD33">INDEX(FC:FC,MIN(IF(ISNUMBER(FC33:FC229),ROW(FC33:FC229),"")))</f>
        <v>13.3</v>
      </c>
      <c r="FE33" s="12">
        <f>IF('Données projet'!$A$218&gt;35,FE32+FD33-FM32,IF(A33&lt;'Données projet'!$A$218,$FB$205^A33,IF(A33='Données projet'!$A$218,'Données projet'!$B$218,FE32+FD33-FM32)))</f>
        <v>200.00000000000006</v>
      </c>
      <c r="FF33" s="17">
        <f>FE33*VLOOKUP('Données projet'!$B$16,Paramètres!$A$1:$I$89,3,0)*VLOOKUP('Données projet'!$B$16,Paramètres!$A$1:$I$89,5,0)</f>
        <v>119.60000000000004</v>
      </c>
      <c r="FG33" s="13">
        <f t="shared" si="47"/>
        <v>31.581687741452708</v>
      </c>
      <c r="FH33" s="20">
        <f t="shared" si="22"/>
        <v>263.30810614969687</v>
      </c>
      <c r="FI33" s="59">
        <f t="shared" si="23"/>
        <v>556.64143948303013</v>
      </c>
      <c r="FJ33" s="59">
        <f ca="1">AVERAGE(OFFSET($FI$3,0,0,'Données projet'!$E$16+1,1))-AVERAGE(OFFSET($H$3,0,0,'Données projet'!$E$16+1,1))</f>
        <v>270.30888762640245</v>
      </c>
      <c r="FK33" s="59">
        <f t="shared" si="48"/>
        <v>202.23783851977691</v>
      </c>
      <c r="FL33" s="15">
        <f>IF(ISNA(VLOOKUP(A33,'Données projet'!$A$217:$I$237,3,0)),0,VLOOKUP(A33,'Données projet'!$A$217:$I$237,3,0))</f>
        <v>2</v>
      </c>
      <c r="FM33" s="15">
        <f>IF(ISNA(VLOOKUP(A33,'Données projet'!$A$217:$I$237,4,0)),0,VLOOKUP(A33,'Données projet'!$A$217:$I$237,4,0))</f>
        <v>60</v>
      </c>
      <c r="FN33" s="16">
        <f>IF(ISNA(VLOOKUP(A33,'Données projet'!$A$217:$I$237,5,0)),0%,VLOOKUP(A33,'Données projet'!$A$217:$I$237,5,0)*VLOOKUP('Données projet'!$B$16,Paramètres!$A$1:$I$89,7,0))</f>
        <v>4.5000000000000005E-2</v>
      </c>
      <c r="FO33" s="16">
        <f>IF(ISNA(VLOOKUP(A33,'Données projet'!$A$217:$I$237,6,0)),0%,VLOOKUP(A33,'Données projet'!$A$217:$I$237,6,0)*VLOOKUP('Données projet'!$B$16,Paramètres!$A$1:$I$89,7,0))</f>
        <v>0.20250000000000001</v>
      </c>
      <c r="FP33" s="16">
        <f>IF(ISNA(VLOOKUP(A33,'Données projet'!$A$217:$I$237,7,0)),0%,VLOOKUP(A33,'Données projet'!$A$217:$I$237,7,0))</f>
        <v>0.45</v>
      </c>
      <c r="FQ33" s="21">
        <f>EXP(-LN(2)/35)*FQ32+(1-EXP(-LN(2)/35))/(LN(2)/35)*FM33*FN33*VLOOKUP('Données projet'!$B$16,Paramètres!$A$1:$I$89,3,0)*0.475*44/12</f>
        <v>2.1418709697526821</v>
      </c>
      <c r="FR33" s="21">
        <f>EXP(-LN(2)/25)*FR32+(1-EXP(-LN(2)/25))/(LN(2)/25)*Calculateur!FM33*Calculateur!FO33*VLOOKUP('Données projet'!$B$16,Paramètres!$A$1:$I$89,3,0)*0.475*44/12</f>
        <v>12.295208172240732</v>
      </c>
      <c r="FS33" s="21">
        <f>EXP(-LN(2)/2)*FS32+(1-EXP(-LN(2)/2))/(LN(2)/2)*FM33*FP33*VLOOKUP('Données projet'!$B$16,Paramètres!$A$1:$I$89,3,0)*0.475*44/12</f>
        <v>18.49260858646258</v>
      </c>
      <c r="FT33" s="22">
        <f t="shared" si="24"/>
        <v>32.929687728455995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>
        <f>VLOOKUP(A33,'Données projet'!$A$243:$I$263,2,0)</f>
        <v>212</v>
      </c>
      <c r="FX33" s="12">
        <f>VLOOKUP(A33,'Données projet'!$A$243:$I$263,9,0)</f>
        <v>14.5</v>
      </c>
      <c r="FY33" s="12">
        <f t="array" ref="FY33">INDEX(FX:FX,MIN(IF(ISNUMBER(FX33:FX229),ROW(FX33:FX229),"")))</f>
        <v>14.5</v>
      </c>
      <c r="FZ33" s="12">
        <f>IF('Données projet'!$A$244&gt;35,FZ32+FY33-GH32,IF(A33&lt;'Données projet'!$A$244,$FW$205^A33,IF(A33='Données projet'!$A$244,'Données projet'!$B$244,FZ32+FY33-GH32)))</f>
        <v>212</v>
      </c>
      <c r="GA33" s="17">
        <f>FZ33*VLOOKUP('Données projet'!$B$17,Paramètres!$A$1:$I$89,3,0)*VLOOKUP('Données projet'!$B$17,Paramètres!$A$1:$I$89,5,0)</f>
        <v>168.66720000000001</v>
      </c>
      <c r="GB33" s="13">
        <f t="shared" si="49"/>
        <v>42.791384119459089</v>
      </c>
      <c r="GC33" s="20">
        <f t="shared" si="25"/>
        <v>368.29036734139123</v>
      </c>
      <c r="GD33" s="59">
        <f t="shared" si="26"/>
        <v>661.62370067472455</v>
      </c>
      <c r="GE33" s="59">
        <f ca="1">AVERAGE(OFFSET($GD$3,0,0,'Données projet'!$E$17+1,1))-AVERAGE(OFFSET($H$3,0,0,'Données projet'!$E$17+1,1))</f>
        <v>260.20517190557814</v>
      </c>
      <c r="GF33" s="59">
        <f t="shared" si="50"/>
        <v>307.22009971147133</v>
      </c>
      <c r="GG33" s="15">
        <f>IF(ISNA(VLOOKUP(A33,'Données projet'!$A$243:$I$263,3,0)),0,VLOOKUP(A33,'Données projet'!$A$243:$I$263,3,0))</f>
        <v>2</v>
      </c>
      <c r="GH33" s="15">
        <f>IF(ISNA(VLOOKUP(A33,'Données projet'!$A$243:$I$263,4,0)),0,VLOOKUP(A33,'Données projet'!$A$243:$I$263,4,0))</f>
        <v>70</v>
      </c>
      <c r="GI33" s="16">
        <f>IF(ISNA(VLOOKUP(A33,'Données projet'!$A$243:$I$263,5,0)),0%,VLOOKUP(A33,'Données projet'!$A$243:$I$263,5,0)*VLOOKUP('Données projet'!$B$17,Paramètres!$A$1:$I$89,7,0))</f>
        <v>5.3000000000000005E-2</v>
      </c>
      <c r="GJ33" s="16">
        <f>IF(ISNA(VLOOKUP(A33,'Données projet'!$A$243:$I$263,6,0)),0%,VLOOKUP(A33,'Données projet'!$A$243:$I$263,6,0)*VLOOKUP('Données projet'!$B$17,Paramètres!$A$1:$I$89,7,0))</f>
        <v>0.23850000000000002</v>
      </c>
      <c r="GK33" s="16">
        <f>IF(ISNA(VLOOKUP(A33,'Données projet'!$A$243:$I$263,7,0)),0%,VLOOKUP(A33,'Données projet'!$A$243:$I$263,7,0))</f>
        <v>0.45</v>
      </c>
      <c r="GL33" s="21">
        <f>EXP(-LN(2)/35)*GL32+(1-EXP(-LN(2)/35))/(LN(2)/35)*GH33*GI33*VLOOKUP('Données projet'!$B$17,Paramètres!$A$1:$I$89,3,0)*0.475*44/12</f>
        <v>3.2629903879783009</v>
      </c>
      <c r="GM33" s="21">
        <f>EXP(-LN(2)/25)*GM32+(1-EXP(-LN(2)/25))/(LN(2)/25)*Calculateur!GH33*Calculateur!GJ33*VLOOKUP('Données projet'!$B$17,Paramètres!$A$1:$I$89,3,0)*0.475*44/12</f>
        <v>20.519602724797</v>
      </c>
      <c r="GN33" s="21">
        <f>EXP(-LN(2)/2)*GN32+(1-EXP(-LN(2)/2))/(LN(2)/2)*GH33*GK33*VLOOKUP('Données projet'!$B$17,Paramètres!$A$1:$I$89,3,0)*0.475*44/12</f>
        <v>24.039034252757283</v>
      </c>
      <c r="GO33" s="21">
        <f t="shared" si="27"/>
        <v>47.821627365532585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>
        <f>VLOOKUP(A33,'Données projet'!$A$269:$I$289,2,0)</f>
        <v>174</v>
      </c>
      <c r="GS33" s="12">
        <f>VLOOKUP(A33,'Données projet'!$A$269:$I$289,9,0)</f>
        <v>12.2</v>
      </c>
      <c r="GT33" s="12">
        <f t="array" ref="GT33">INDEX(GS:GS,MIN(IF(ISNUMBER(GS33:GS229),ROW(GS33:GS229),"")))</f>
        <v>12.2</v>
      </c>
      <c r="GU33" s="12">
        <f>IF('Données projet'!$A$270&gt;35,GU32+GT33-HC32,IF(A33&lt;'Données projet'!$A$270,$GR$205^A33,IF(A33='Données projet'!$A$270,'Données projet'!$B$270,GU32+GT33-HC32)))</f>
        <v>173.99999999999997</v>
      </c>
      <c r="GV33" s="17">
        <f>GU33*VLOOKUP('Données projet'!$B$18,Paramètres!$A$1:$I$89,3,0)*VLOOKUP('Données projet'!$B$18,Paramètres!$A$1:$I$89,5,0)</f>
        <v>138.43439999999998</v>
      </c>
      <c r="GW33" s="13">
        <f t="shared" si="51"/>
        <v>35.938114113553581</v>
      </c>
      <c r="GX33" s="20">
        <f t="shared" si="28"/>
        <v>303.69879541443913</v>
      </c>
      <c r="GY33" s="59">
        <f t="shared" si="29"/>
        <v>597.0321287477725</v>
      </c>
      <c r="GZ33" s="59">
        <f ca="1">AVERAGE(OFFSET($GY$3,0,0,'Données projet'!$E$18+1,1))-AVERAGE(OFFSET($H$3,0,0,'Données projet'!$E$18+1,1))</f>
        <v>199.58763537752952</v>
      </c>
      <c r="HA33" s="59">
        <f t="shared" si="52"/>
        <v>242.62852778451929</v>
      </c>
      <c r="HB33" s="15">
        <f>IF(ISNA(VLOOKUP(A33,'Données projet'!$A$269:$I$289,3,0)),0,VLOOKUP(A33,'Données projet'!$A$269:$I$289,3,0))</f>
        <v>2</v>
      </c>
      <c r="HC33" s="15">
        <f>IF(ISNA(VLOOKUP(A33,'Données projet'!$A$269:$I$289,4,0)),0,VLOOKUP(A33,'Données projet'!$A$269:$I$289,4,0))</f>
        <v>56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0.13250000000000001</v>
      </c>
      <c r="HF33" s="16">
        <f>IF(ISNA(VLOOKUP(A33,'Données projet'!$A$269:$I$289,7,0)),0%,VLOOKUP(A33,'Données projet'!$A$269:$I$289,7,0))</f>
        <v>0.25</v>
      </c>
      <c r="HG33" s="21">
        <f>EXP(-LN(2)/35)*HG32+(1-EXP(-LN(2)/35))/(LN(2)/35)*HC33*HD33*VLOOKUP('Données projet'!$B$18,Paramètres!$A$1:$I$89,3,0)*0.475*44/12</f>
        <v>0</v>
      </c>
      <c r="HH33" s="21">
        <f>EXP(-LN(2)/25)*HH32+(1-EXP(-LN(2)/25))/(LN(2)/25)*Calculateur!HC33*Calculateur!HE33*VLOOKUP('Données projet'!$B$18,Paramètres!$A$1:$I$89,3,0)*0.475*44/12</f>
        <v>10.282976469411818</v>
      </c>
      <c r="HI33" s="21">
        <f>EXP(-LN(2)/2)*HI32+(1-EXP(-LN(2)/2))/(LN(2)/2)*HC33*HF33*VLOOKUP('Données projet'!$B$18,Paramètres!$A$1:$I$89,3,0)*0.475*44/12</f>
        <v>10.761558393220204</v>
      </c>
      <c r="HJ33" s="22">
        <f t="shared" si="30"/>
        <v>21.04453486263202</v>
      </c>
    </row>
    <row r="34" spans="1:218" x14ac:dyDescent="0.2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27.56519999999999</v>
      </c>
      <c r="D34" s="11">
        <f t="shared" si="32"/>
        <v>8.6348575052881742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279.43904039169814</v>
      </c>
      <c r="H34" s="67">
        <f t="shared" si="1"/>
        <v>356.38176682171019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22.884615384615376</v>
      </c>
      <c r="N34" s="13">
        <f>IF('Données projet'!$A$36&gt;35,N33+M34-V33,IF(A34&lt;'Données projet'!$A$36,$K$205^A34,IF(A34='Données projet'!$A$36,'Données projet'!$B$36,N33+M34-V33)))</f>
        <v>289.08461538461523</v>
      </c>
      <c r="O34" s="13">
        <f>N34*VLOOKUP('Données projet'!$B$9,Paramètres!$A$1:$I$89,3,0)*VLOOKUP('Données projet'!$B$9,Paramètres!$A$1:$I$89,5,0)</f>
        <v>161.59829999999991</v>
      </c>
      <c r="P34" s="13">
        <f t="shared" si="33"/>
        <v>41.202807619439696</v>
      </c>
      <c r="Q34" s="20">
        <f t="shared" si="2"/>
        <v>353.2119291038573</v>
      </c>
      <c r="R34" s="59">
        <f t="shared" si="0"/>
        <v>646.54526243719056</v>
      </c>
      <c r="S34" s="59">
        <f ca="1">AVERAGE(OFFSET($R$3,0,0,'Données projet'!$E$9+1,1))-AVERAGE(OFFSET($H$3,0,0,'Données projet'!$E$9+1,1))</f>
        <v>255.5374979188561</v>
      </c>
      <c r="T34" s="59">
        <f t="shared" si="34"/>
        <v>343.10418468620901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3.0294470302922996</v>
      </c>
      <c r="AA34" s="21">
        <f>EXP(-LN(2)/25)*AA33+(1-EXP(-LN(2)/25))/(LN(2)/25)*Calculateur!V34*Calculateur!X34*VLOOKUP('Données projet'!$B$9,Paramètres!$A$1:$I$89,3,0)*0.475*44/12</f>
        <v>15.523825005037278</v>
      </c>
      <c r="AB34" s="21">
        <f>EXP(-LN(2)/2)*AB33+(1-EXP(-LN(2)/2))/(LN(2)/2)*V34*Y34*VLOOKUP('Données projet'!$B$9,Paramètres!$A$1:$I$89,3,0)*0.475*44/12</f>
        <v>1.1968857635714809</v>
      </c>
      <c r="AC34" s="22">
        <f t="shared" si="3"/>
        <v>19.750157798901057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18.099999999999998</v>
      </c>
      <c r="AI34" s="13">
        <f>IF('Données projet'!$A$62&gt;35,AI33+AH34-AQ33,IF(A34&lt;'Données projet'!$A$62,$AF$205^A34,IF(A34='Données projet'!$A$62,'Données projet'!$B$62,AI33+AH34-AQ33)))</f>
        <v>233.09230769230766</v>
      </c>
      <c r="AJ34" s="13">
        <f>AI34*VLOOKUP('Données projet'!$B$10,Paramètres!$A$1:$I$89,3,0)*VLOOKUP('Données projet'!$B$10,Paramètres!$A$1:$I$89,5,0)</f>
        <v>130.29859999999999</v>
      </c>
      <c r="AK34" s="13">
        <f t="shared" si="35"/>
        <v>34.065347809437199</v>
      </c>
      <c r="AL34" s="20">
        <f t="shared" si="4"/>
        <v>286.26720910143649</v>
      </c>
      <c r="AM34" s="59">
        <f t="shared" si="5"/>
        <v>579.60054243476975</v>
      </c>
      <c r="AN34" s="59">
        <f ca="1">AVERAGE(OFFSET($AM$3,0,0,'Données projet'!$E$10+1,1))-AVERAGE(OFFSET($H$3,0,0,'Données projet'!$E$10+1,1))</f>
        <v>224.7049802939942</v>
      </c>
      <c r="AO34" s="59">
        <f t="shared" si="36"/>
        <v>203.48513862195352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2.1874088141884829</v>
      </c>
      <c r="AV34" s="21">
        <f>EXP(-LN(2)/25)*AV33+(1-EXP(-LN(2)/25))/(LN(2)/25)*Calculateur!AQ34*Calculateur!AS34*VLOOKUP('Données projet'!$B$10,Paramètres!$A$1:$I$89,3,0)*0.475*44/12</f>
        <v>18.990628305062266</v>
      </c>
      <c r="AW34" s="21">
        <f>EXP(-LN(2)/2)*AW33+(1-EXP(-LN(2)/2))/(LN(2)/2)*AQ34*AT34*VLOOKUP('Données projet'!$B$10,Paramètres!$A$1:$I$89,3,0)*0.475*44/12</f>
        <v>6.3361099267438883</v>
      </c>
      <c r="AX34" s="21">
        <f t="shared" si="6"/>
        <v>27.514147045994637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13.8</v>
      </c>
      <c r="BD34" s="12">
        <f>IF('Données projet'!$A$88&gt;35,BD33+BC34-BL33,IF(A34&lt;'Données projet'!$A$88,$BA$205^A34,IF(A34='Données projet'!$A$88,'Données projet'!$B$88,BD33+BC34-BL33)))</f>
        <v>189.8</v>
      </c>
      <c r="BE34" s="13">
        <f>BD34*VLOOKUP('Données projet'!$B$11,Paramètres!$A$1:$I$89,3,0)*VLOOKUP('Données projet'!$B$11,Paramètres!$A$1:$I$89,5,0)</f>
        <v>103.63080000000001</v>
      </c>
      <c r="BF34" s="13">
        <f t="shared" si="37"/>
        <v>27.825181985080775</v>
      </c>
      <c r="BG34" s="20">
        <f t="shared" si="7"/>
        <v>228.952501957349</v>
      </c>
      <c r="BH34" s="59">
        <f t="shared" si="8"/>
        <v>522.28583529068237</v>
      </c>
      <c r="BI34" s="59">
        <f ca="1">AVERAGE(OFFSET($BH$3,0,0,'Données projet'!$E$11+1,1))-AVERAGE(OFFSET($H$3,0,0,'Données projet'!$E$11+1,1))</f>
        <v>210.04871822652808</v>
      </c>
      <c r="BJ34" s="59">
        <f t="shared" si="38"/>
        <v>250.17540614049324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7.1578183746753483</v>
      </c>
      <c r="BQ34" s="21">
        <f>EXP(-LN(2)/25)*BQ33+(1-EXP(-LN(2)/25))/(LN(2)/25)*Calculateur!BL34*Calculateur!BN34*VLOOKUP('Données projet'!$B$11,Paramètres!$A$1:$I$89,3,0)*0.475*44/12</f>
        <v>27.069681257645033</v>
      </c>
      <c r="BR34" s="21">
        <f>EXP(-LN(2)/2)*BR33+(1-EXP(-LN(2)/2))/(LN(2)/2)*BL34*BO34*VLOOKUP('Données projet'!$B$11,Paramètres!$A$1:$I$89,3,0)*0.475*44/12</f>
        <v>15.240900887121683</v>
      </c>
      <c r="BS34" s="22">
        <f t="shared" si="9"/>
        <v>49.468400519442064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12.1</v>
      </c>
      <c r="BY34" s="12">
        <f>IF('Données projet'!$A$114&gt;35,BY33+BX34-CG33,IF(A34&lt;'Données projet'!$A$114,$BV$205^A34,IF(A34='Données projet'!$A$114,'Données projet'!$B$114,BY33+BX34-CG33)))</f>
        <v>162.10000000000002</v>
      </c>
      <c r="BZ34" s="13">
        <f>BY34*VLOOKUP('Données projet'!$B$12,Paramètres!$A$1:$I$89,3,0)*VLOOKUP('Données projet'!$B$12,Paramètres!$A$1:$I$89,5,0)</f>
        <v>88.50660000000002</v>
      </c>
      <c r="CA34" s="13">
        <f t="shared" si="39"/>
        <v>24.204702878284657</v>
      </c>
      <c r="CB34" s="20">
        <f t="shared" si="10"/>
        <v>196.30551917967912</v>
      </c>
      <c r="CC34" s="59">
        <f t="shared" si="11"/>
        <v>489.63885251301247</v>
      </c>
      <c r="CD34" s="59">
        <f ca="1">AVERAGE(OFFSET($CC$3,0,0,'Données projet'!$E$12+1,1))-AVERAGE(OFFSET($H$3,0,0,'Données projet'!$E$12+1,1))</f>
        <v>168.72306536277267</v>
      </c>
      <c r="CE34" s="59">
        <f t="shared" si="40"/>
        <v>203.35476578922339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2.9824243227813958</v>
      </c>
      <c r="CL34" s="21">
        <f>EXP(-LN(2)/25)*CL33+(1-EXP(-LN(2)/25))/(LN(2)/25)*Calculateur!CG34*Calculateur!CI34*VLOOKUP('Données projet'!$B$12,Paramètres!$A$1:$I$89,3,0)*0.475*44/12</f>
        <v>22.356494923472255</v>
      </c>
      <c r="CM34" s="21">
        <f>EXP(-LN(2)/2)*CM33+(1-EXP(-LN(2)/2))/(LN(2)/2)*CG34*CJ34*VLOOKUP('Données projet'!$B$12,Paramètres!$A$1:$I$89,3,0)*0.475*44/12</f>
        <v>14.158997731918637</v>
      </c>
      <c r="CN34" s="22">
        <f t="shared" si="12"/>
        <v>39.497916978172285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5.6730769230769225</v>
      </c>
      <c r="CT34" s="12">
        <f>IF('Données projet'!$A$140&gt;35,CT33+CS34-DB33,IF(A34&lt;'Données projet'!$A$140,$CQ$205^A34,IF(A34='Données projet'!$A$140,'Données projet'!$B$140,CT33+CS34-DB33)))</f>
        <v>175.86538461538464</v>
      </c>
      <c r="CU34" s="17">
        <f>CT34*VLOOKUP('Données projet'!$B$13,Paramètres!$A$1:$I$89,3,0)*VLOOKUP('Données projet'!$B$13,Paramètres!$A$1:$I$89,5,0)</f>
        <v>84.591250000000031</v>
      </c>
      <c r="CV34" s="13">
        <f t="shared" si="41"/>
        <v>23.256096770897599</v>
      </c>
      <c r="CW34" s="20">
        <f t="shared" si="13"/>
        <v>187.83412895931338</v>
      </c>
      <c r="CX34" s="59">
        <f t="shared" si="14"/>
        <v>481.16746229264669</v>
      </c>
      <c r="CY34" s="59">
        <f ca="1">AVERAGE(OFFSET($CX$3,0,0,'Données projet'!$E$13+1,1))-AVERAGE(OFFSET($H$3,0,0,'Données projet'!$E$13+1,1))</f>
        <v>304.15237106473313</v>
      </c>
      <c r="CZ34" s="59">
        <f t="shared" si="42"/>
        <v>120.85458928724336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>
        <f>EXP(-LN(2)/35)*DF33+(1-EXP(-LN(2)/35))/(LN(2)/35)*DB34*DC34*VLOOKUP('Données projet'!$B$13,Paramètres!$A$1:$I$89,3,0)*0.475*44/12</f>
        <v>0</v>
      </c>
      <c r="DG34" s="21">
        <f>EXP(-LN(2)/25)*DG33+(1-EXP(-LN(2)/25))/(LN(2)/25)*Calculateur!DB34*Calculateur!DD34*VLOOKUP('Données projet'!$B$13,Paramètres!$A$1:$I$89,3,0)*0.475*44/12</f>
        <v>0</v>
      </c>
      <c r="DH34" s="21">
        <f>EXP(-LN(2)/2)*DH33+(1-EXP(-LN(2)/2))/(LN(2)/2)*DB34*DE34*VLOOKUP('Données projet'!$B$13,Paramètres!$A$1:$I$89,3,0)*0.475*44/12</f>
        <v>0</v>
      </c>
      <c r="DI34" s="22">
        <f t="shared" si="15"/>
        <v>0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3.8846153846153846</v>
      </c>
      <c r="DO34" s="12">
        <f>IF('Données projet'!$A$166&gt;35,DO33+DN34-DW33,IF(A34&lt;'Données projet'!$A$166,$DL$205^A34,IF(A34='Données projet'!$A$166,'Données projet'!$B$166,DO33+DN34-DW33)))</f>
        <v>120.42307692307696</v>
      </c>
      <c r="DP34" s="17">
        <f>DO34*VLOOKUP('Données projet'!$B$14,Paramètres!$A$1:$I$89,3,0)*VLOOKUP('Données projet'!$B$14,Paramètres!$A$1:$I$89,5,0)</f>
        <v>57.923500000000018</v>
      </c>
      <c r="DQ34" s="13">
        <f t="shared" si="43"/>
        <v>16.642193322030955</v>
      </c>
      <c r="DR34" s="20">
        <f t="shared" si="16"/>
        <v>129.86858253587059</v>
      </c>
      <c r="DS34" s="59">
        <f t="shared" si="17"/>
        <v>423.2019158692039</v>
      </c>
      <c r="DT34" s="59">
        <f ca="1">AVERAGE(OFFSET($DS$3,0,0,'Données projet'!$E$14+1,1))-AVERAGE(OFFSET($H$3,0,0,'Données projet'!$E$14+1,1))</f>
        <v>91.053246648097399</v>
      </c>
      <c r="DU34" s="59">
        <f t="shared" si="44"/>
        <v>64.716270355703955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>
        <f>EXP(-LN(2)/35)*EA33+(1-EXP(-LN(2)/35))/(LN(2)/35)*DW34*DX34*VLOOKUP('Données projet'!$B$14,Paramètres!$A$1:$I$89,3,0)*0.475*44/12</f>
        <v>0</v>
      </c>
      <c r="EB34" s="21">
        <f>EXP(-LN(2)/25)*EB33+(1-EXP(-LN(2)/25))/(LN(2)/25)*Calculateur!DW34*Calculateur!DY34*VLOOKUP('Données projet'!$B$14,Paramètres!$A$1:$I$89,3,0)*0.475*44/12</f>
        <v>0</v>
      </c>
      <c r="EC34" s="21">
        <f>EXP(-LN(2)/2)*EC33+(1-EXP(-LN(2)/2))/(LN(2)/2)*DW34*DZ34*VLOOKUP('Données projet'!$B$14,Paramètres!$A$1:$I$89,3,0)*0.475*44/12</f>
        <v>0</v>
      </c>
      <c r="ED34" s="22">
        <f t="shared" si="18"/>
        <v>0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18.2</v>
      </c>
      <c r="EJ34" s="12">
        <f>IF('Données projet'!$A$192&gt;35,EJ33+EI34-ER33,IF(A34&lt;'Données projet'!$A$192,$EG$205^A34,IF(A34='Données projet'!$A$192,'Données projet'!$B$192,EJ33+EI34-ER33)))</f>
        <v>177.20000000000005</v>
      </c>
      <c r="EK34" s="17">
        <f>EJ34*VLOOKUP('Données projet'!$B$15,Paramètres!$A$1:$I$89,3,0)*VLOOKUP('Données projet'!$B$15,Paramètres!$A$1:$I$89,5,0)</f>
        <v>105.96560000000004</v>
      </c>
      <c r="EL34" s="13">
        <f t="shared" si="45"/>
        <v>28.378391242376729</v>
      </c>
      <c r="EM34" s="20">
        <f t="shared" si="19"/>
        <v>233.98245141380619</v>
      </c>
      <c r="EN34" s="59">
        <f t="shared" si="20"/>
        <v>527.31578474713956</v>
      </c>
      <c r="EO34" s="59">
        <f ca="1">AVERAGE(OFFSET($EN$3,0,0,'Données projet'!$E$15+1,1))-AVERAGE(OFFSET($H$3,0,0,'Données projet'!$E$15+1,1))</f>
        <v>316.58509520829671</v>
      </c>
      <c r="EP34" s="59">
        <f t="shared" si="46"/>
        <v>240.71332110643596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>
        <f>EXP(-LN(2)/35)*EV33+(1-EXP(-LN(2)/35))/(LN(2)/35)*ER34*ES34*VLOOKUP('Données projet'!$B$15,Paramètres!$A$1:$I$89,3,0)*0.475*44/12</f>
        <v>2.4848463872969493</v>
      </c>
      <c r="EW34" s="21">
        <f>EXP(-LN(2)/25)*EW33+(1-EXP(-LN(2)/25))/(LN(2)/25)*Calculateur!ER34*Calculateur!ET34*VLOOKUP('Données projet'!$B$15,Paramètres!$A$1:$I$89,3,0)*0.475*44/12</f>
        <v>14.850424461515473</v>
      </c>
      <c r="EX34" s="21">
        <f>EXP(-LN(2)/2)*EX33+(1-EXP(-LN(2)/2))/(LN(2)/2)*ER34*EU34*VLOOKUP('Données projet'!$B$15,Paramètres!$A$1:$I$89,3,0)*0.475*44/12</f>
        <v>15.513458259674637</v>
      </c>
      <c r="EY34" s="22">
        <f t="shared" si="21"/>
        <v>32.848729108487056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15.7</v>
      </c>
      <c r="FE34" s="12">
        <f>IF('Données projet'!$A$218&gt;35,FE33+FD34-FM33,IF(A34&lt;'Données projet'!$A$218,$FB$205^A34,IF(A34='Données projet'!$A$218,'Données projet'!$B$218,FE33+FD34-FM33)))</f>
        <v>155.70000000000005</v>
      </c>
      <c r="FF34" s="17">
        <f>FE34*VLOOKUP('Données projet'!$B$16,Paramètres!$A$1:$I$89,3,0)*VLOOKUP('Données projet'!$B$16,Paramètres!$A$1:$I$89,5,0)</f>
        <v>93.108600000000038</v>
      </c>
      <c r="FG34" s="13">
        <f t="shared" si="47"/>
        <v>25.313456376926009</v>
      </c>
      <c r="FH34" s="20">
        <f t="shared" si="22"/>
        <v>206.25174818981284</v>
      </c>
      <c r="FI34" s="59">
        <f t="shared" si="23"/>
        <v>499.58508152314619</v>
      </c>
      <c r="FJ34" s="59">
        <f ca="1">AVERAGE(OFFSET($FI$3,0,0,'Données projet'!$E$16+1,1))-AVERAGE(OFFSET($H$3,0,0,'Données projet'!$E$16+1,1))</f>
        <v>270.30888762640245</v>
      </c>
      <c r="FK34" s="59">
        <f t="shared" si="48"/>
        <v>202.23783851977691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>
        <f>EXP(-LN(2)/35)*FQ33+(1-EXP(-LN(2)/35))/(LN(2)/35)*FM34*FN34*VLOOKUP('Données projet'!$B$16,Paramètres!$A$1:$I$89,3,0)*0.475*44/12</f>
        <v>2.099870186448126</v>
      </c>
      <c r="FR34" s="21">
        <f>EXP(-LN(2)/25)*FR33+(1-EXP(-LN(2)/25))/(LN(2)/25)*Calculateur!FM34*Calculateur!FO34*VLOOKUP('Données projet'!$B$16,Paramètres!$A$1:$I$89,3,0)*0.475*44/12</f>
        <v>11.958995058193914</v>
      </c>
      <c r="FS34" s="21">
        <f>EXP(-LN(2)/2)*FS33+(1-EXP(-LN(2)/2))/(LN(2)/2)*FM34*FP34*VLOOKUP('Données projet'!$B$16,Paramètres!$A$1:$I$89,3,0)*0.475*44/12</f>
        <v>13.076248933316267</v>
      </c>
      <c r="FT34" s="22">
        <f t="shared" si="24"/>
        <v>27.135114177958307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12.1</v>
      </c>
      <c r="FZ34" s="12">
        <f>IF('Données projet'!$A$244&gt;35,FZ33+FY34-GH33,IF(A34&lt;'Données projet'!$A$244,$FW$205^A34,IF(A34='Données projet'!$A$244,'Données projet'!$B$244,FZ33+FY34-GH33)))</f>
        <v>154.1</v>
      </c>
      <c r="GA34" s="17">
        <f>FZ34*VLOOKUP('Données projet'!$B$17,Paramètres!$A$1:$I$89,3,0)*VLOOKUP('Données projet'!$B$17,Paramètres!$A$1:$I$89,5,0)</f>
        <v>122.60195999999999</v>
      </c>
      <c r="GB34" s="13">
        <f t="shared" si="49"/>
        <v>32.281104011674643</v>
      </c>
      <c r="GC34" s="20">
        <f t="shared" si="25"/>
        <v>269.75466982033333</v>
      </c>
      <c r="GD34" s="59">
        <f t="shared" si="26"/>
        <v>563.0880031536667</v>
      </c>
      <c r="GE34" s="59">
        <f ca="1">AVERAGE(OFFSET($GD$3,0,0,'Données projet'!$E$17+1,1))-AVERAGE(OFFSET($H$3,0,0,'Données projet'!$E$17+1,1))</f>
        <v>260.20517190557814</v>
      </c>
      <c r="GF34" s="59">
        <f t="shared" si="50"/>
        <v>307.22009971147133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>
        <f>EXP(-LN(2)/35)*GL33+(1-EXP(-LN(2)/35))/(LN(2)/35)*GH34*GI34*VLOOKUP('Données projet'!$B$17,Paramètres!$A$1:$I$89,3,0)*0.475*44/12</f>
        <v>3.1990051366976644</v>
      </c>
      <c r="GM34" s="21">
        <f>EXP(-LN(2)/25)*GM33+(1-EXP(-LN(2)/25))/(LN(2)/25)*Calculateur!GH34*Calculateur!GJ34*VLOOKUP('Données projet'!$B$17,Paramètres!$A$1:$I$89,3,0)*0.475*44/12</f>
        <v>19.958493109208415</v>
      </c>
      <c r="GN34" s="21">
        <f>EXP(-LN(2)/2)*GN33+(1-EXP(-LN(2)/2))/(LN(2)/2)*GH34*GK34*VLOOKUP('Données projet'!$B$17,Paramètres!$A$1:$I$89,3,0)*0.475*44/12</f>
        <v>16.998164133300367</v>
      </c>
      <c r="GO34" s="21">
        <f t="shared" si="27"/>
        <v>40.155662379206447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10.199999999999999</v>
      </c>
      <c r="GU34" s="12">
        <f>IF('Données projet'!$A$270&gt;35,GU33+GT34-HC33,IF(A34&lt;'Données projet'!$A$270,$GR$205^A34,IF(A34='Données projet'!$A$270,'Données projet'!$B$270,GU33+GT34-HC33)))</f>
        <v>128.19999999999996</v>
      </c>
      <c r="GV34" s="17">
        <f>GU34*VLOOKUP('Données projet'!$B$18,Paramètres!$A$1:$I$89,3,0)*VLOOKUP('Données projet'!$B$18,Paramètres!$A$1:$I$89,5,0)</f>
        <v>101.99591999999997</v>
      </c>
      <c r="GW34" s="13">
        <f t="shared" si="51"/>
        <v>27.436949671708501</v>
      </c>
      <c r="GX34" s="20">
        <f t="shared" si="28"/>
        <v>225.42891467822554</v>
      </c>
      <c r="GY34" s="59">
        <f t="shared" si="29"/>
        <v>518.76224801155888</v>
      </c>
      <c r="GZ34" s="59">
        <f ca="1">AVERAGE(OFFSET($GY$3,0,0,'Données projet'!$E$18+1,1))-AVERAGE(OFFSET($H$3,0,0,'Données projet'!$E$18+1,1))</f>
        <v>199.58763537752952</v>
      </c>
      <c r="HA34" s="59">
        <f t="shared" si="52"/>
        <v>242.62852778451929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>
        <f>EXP(-LN(2)/35)*HG33+(1-EXP(-LN(2)/35))/(LN(2)/35)*HC34*HD34*VLOOKUP('Données projet'!$B$18,Paramètres!$A$1:$I$89,3,0)*0.475*44/12</f>
        <v>0</v>
      </c>
      <c r="HH34" s="21">
        <f>EXP(-LN(2)/25)*HH33+(1-EXP(-LN(2)/25))/(LN(2)/25)*Calculateur!HC34*Calculateur!HE34*VLOOKUP('Données projet'!$B$18,Paramètres!$A$1:$I$89,3,0)*0.475*44/12</f>
        <v>10.001787937097522</v>
      </c>
      <c r="HI34" s="21">
        <f>EXP(-LN(2)/2)*HI33+(1-EXP(-LN(2)/2))/(LN(2)/2)*HC34*HF34*VLOOKUP('Données projet'!$B$18,Paramètres!$A$1:$I$89,3,0)*0.475*44/12</f>
        <v>7.6095709159810134</v>
      </c>
      <c r="HJ34" s="22">
        <f t="shared" si="30"/>
        <v>17.611358853078535</v>
      </c>
    </row>
    <row r="35" spans="1:218" x14ac:dyDescent="0.2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28.454399999999989</v>
      </c>
      <c r="D35" s="11">
        <f t="shared" si="32"/>
        <v>8.8805221797401579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288.19939928220469</v>
      </c>
      <c r="H35" s="67">
        <f t="shared" si="1"/>
        <v>358.35832279638072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22.884615384615376</v>
      </c>
      <c r="N35" s="13">
        <f>IF('Données projet'!$A$36&gt;35,N34+M35-V34,IF(A35&lt;'Données projet'!$A$36,$K$205^A35,IF(A35='Données projet'!$A$36,'Données projet'!$B$36,N34+M35-V34)))</f>
        <v>311.96923076923059</v>
      </c>
      <c r="O35" s="13">
        <f>N35*VLOOKUP('Données projet'!$B$9,Paramètres!$A$1:$I$89,3,0)*VLOOKUP('Données projet'!$B$9,Paramètres!$A$1:$I$89,5,0)</f>
        <v>174.39079999999993</v>
      </c>
      <c r="P35" s="13">
        <f t="shared" si="33"/>
        <v>44.071952499783528</v>
      </c>
      <c r="Q35" s="20">
        <f t="shared" ref="Q35:Q66" si="53">(O35+P35)*0.475*44/12</f>
        <v>380.4892939371228</v>
      </c>
      <c r="R35" s="59">
        <f t="shared" si="0"/>
        <v>673.82262727045611</v>
      </c>
      <c r="S35" s="59">
        <f ca="1">AVERAGE(OFFSET($R$3,0,0,'Données projet'!$E$9+1,1))-AVERAGE(OFFSET($H$3,0,0,'Données projet'!$E$9+1,1))</f>
        <v>255.5374979188561</v>
      </c>
      <c r="T35" s="59">
        <f t="shared" si="34"/>
        <v>343.10418468620901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2.9700414218085029</v>
      </c>
      <c r="AA35" s="21">
        <f>EXP(-LN(2)/25)*AA34+(1-EXP(-LN(2)/25))/(LN(2)/25)*Calculateur!V35*Calculateur!X35*VLOOKUP('Données projet'!$B$9,Paramètres!$A$1:$I$89,3,0)*0.475*44/12</f>
        <v>15.099325193912057</v>
      </c>
      <c r="AB35" s="21">
        <f>EXP(-LN(2)/2)*AB34+(1-EXP(-LN(2)/2))/(LN(2)/2)*V35*Y35*VLOOKUP('Données projet'!$B$9,Paramètres!$A$1:$I$89,3,0)*0.475*44/12</f>
        <v>0.84632603972703302</v>
      </c>
      <c r="AC35" s="22">
        <f t="shared" si="3"/>
        <v>18.915692655447593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18.099999999999998</v>
      </c>
      <c r="AI35" s="13">
        <f>IF('Données projet'!$A$62&gt;35,AI34+AH35-AQ34,IF(A35&lt;'Données projet'!$A$62,$AF$205^A35,IF(A35='Données projet'!$A$62,'Données projet'!$B$62,AI34+AH35-AQ34)))</f>
        <v>251.19230769230765</v>
      </c>
      <c r="AJ35" s="13">
        <f>AI35*VLOOKUP('Données projet'!$B$10,Paramètres!$A$1:$I$89,3,0)*VLOOKUP('Données projet'!$B$10,Paramètres!$A$1:$I$89,5,0)</f>
        <v>140.41649999999998</v>
      </c>
      <c r="AK35" s="13">
        <f t="shared" si="35"/>
        <v>36.392403294074647</v>
      </c>
      <c r="AL35" s="20">
        <f t="shared" si="4"/>
        <v>307.94217323717999</v>
      </c>
      <c r="AM35" s="59">
        <f t="shared" si="5"/>
        <v>601.27550657051324</v>
      </c>
      <c r="AN35" s="59">
        <f ca="1">AVERAGE(OFFSET($AM$3,0,0,'Données projet'!$E$10+1,1))-AVERAGE(OFFSET($H$3,0,0,'Données projet'!$E$10+1,1))</f>
        <v>224.7049802939942</v>
      </c>
      <c r="AO35" s="59">
        <f t="shared" si="36"/>
        <v>203.48513862195352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2.1445150615298831</v>
      </c>
      <c r="AV35" s="21">
        <f>EXP(-LN(2)/25)*AV34+(1-EXP(-LN(2)/25))/(LN(2)/25)*Calculateur!AQ35*Calculateur!AS35*VLOOKUP('Données projet'!$B$10,Paramètres!$A$1:$I$89,3,0)*0.475*44/12</f>
        <v>18.4713285753866</v>
      </c>
      <c r="AW35" s="21">
        <f>EXP(-LN(2)/2)*AW34+(1-EXP(-LN(2)/2))/(LN(2)/2)*AQ35*AT35*VLOOKUP('Données projet'!$B$10,Paramètres!$A$1:$I$89,3,0)*0.475*44/12</f>
        <v>4.4803062955440023</v>
      </c>
      <c r="AX35" s="21">
        <f t="shared" si="6"/>
        <v>25.096149932460484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13.8</v>
      </c>
      <c r="BD35" s="12">
        <f>IF('Données projet'!$A$88&gt;35,BD34+BC35-BL34,IF(A35&lt;'Données projet'!$A$88,$BA$205^A35,IF(A35='Données projet'!$A$88,'Données projet'!$B$88,BD34+BC35-BL34)))</f>
        <v>203.60000000000002</v>
      </c>
      <c r="BE35" s="13">
        <f>BD35*VLOOKUP('Données projet'!$B$11,Paramètres!$A$1:$I$89,3,0)*VLOOKUP('Données projet'!$B$11,Paramètres!$A$1:$I$89,5,0)</f>
        <v>111.1656</v>
      </c>
      <c r="BF35" s="13">
        <f t="shared" si="37"/>
        <v>29.60544032483066</v>
      </c>
      <c r="BG35" s="20">
        <f t="shared" si="7"/>
        <v>245.17622856574675</v>
      </c>
      <c r="BH35" s="59">
        <f t="shared" si="8"/>
        <v>538.50956189908004</v>
      </c>
      <c r="BI35" s="59">
        <f ca="1">AVERAGE(OFFSET($BH$3,0,0,'Données projet'!$E$11+1,1))-AVERAGE(OFFSET($H$3,0,0,'Données projet'!$E$11+1,1))</f>
        <v>210.04871822652808</v>
      </c>
      <c r="BJ35" s="59">
        <f t="shared" si="38"/>
        <v>250.17540614049324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7.0174579221860824</v>
      </c>
      <c r="BQ35" s="21">
        <f>EXP(-LN(2)/25)*BQ34+(1-EXP(-LN(2)/25))/(LN(2)/25)*Calculateur!BL35*Calculateur!BN35*VLOOKUP('Données projet'!$B$11,Paramètres!$A$1:$I$89,3,0)*0.475*44/12</f>
        <v>26.329459400122062</v>
      </c>
      <c r="BR35" s="21">
        <f>EXP(-LN(2)/2)*BR34+(1-EXP(-LN(2)/2))/(LN(2)/2)*BL35*BO35*VLOOKUP('Données projet'!$B$11,Paramètres!$A$1:$I$89,3,0)*0.475*44/12</f>
        <v>10.77694436867581</v>
      </c>
      <c r="BS35" s="22">
        <f t="shared" si="9"/>
        <v>44.123861690983958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12.1</v>
      </c>
      <c r="BY35" s="12">
        <f>IF('Données projet'!$A$114&gt;35,BY34+BX35-CG34,IF(A35&lt;'Données projet'!$A$114,$BV$205^A35,IF(A35='Données projet'!$A$114,'Données projet'!$B$114,BY34+BX35-CG34)))</f>
        <v>174.20000000000002</v>
      </c>
      <c r="BZ35" s="13">
        <f>BY35*VLOOKUP('Données projet'!$B$12,Paramètres!$A$1:$I$89,3,0)*VLOOKUP('Données projet'!$B$12,Paramètres!$A$1:$I$89,5,0)</f>
        <v>95.113200000000006</v>
      </c>
      <c r="CA35" s="13">
        <f t="shared" si="39"/>
        <v>25.794411857052886</v>
      </c>
      <c r="CB35" s="20">
        <f t="shared" si="10"/>
        <v>210.58075731770046</v>
      </c>
      <c r="CC35" s="59">
        <f t="shared" si="11"/>
        <v>503.9140906510338</v>
      </c>
      <c r="CD35" s="59">
        <f ca="1">AVERAGE(OFFSET($CC$3,0,0,'Données projet'!$E$12+1,1))-AVERAGE(OFFSET($H$3,0,0,'Données projet'!$E$12+1,1))</f>
        <v>168.72306536277267</v>
      </c>
      <c r="CE35" s="59">
        <f t="shared" si="40"/>
        <v>203.35476578922339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2.9239408009108683</v>
      </c>
      <c r="CL35" s="21">
        <f>EXP(-LN(2)/25)*CL34+(1-EXP(-LN(2)/25))/(LN(2)/25)*Calculateur!CG35*Calculateur!CI35*VLOOKUP('Données projet'!$B$12,Paramètres!$A$1:$I$89,3,0)*0.475*44/12</f>
        <v>21.745155394112935</v>
      </c>
      <c r="CM35" s="21">
        <f>EXP(-LN(2)/2)*CM34+(1-EXP(-LN(2)/2))/(LN(2)/2)*CG35*CJ35*VLOOKUP('Données projet'!$B$12,Paramètres!$A$1:$I$89,3,0)*0.475*44/12</f>
        <v>10.011923311044615</v>
      </c>
      <c r="CN35" s="22">
        <f t="shared" si="12"/>
        <v>34.681019506068424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5.6730769230769225</v>
      </c>
      <c r="CT35" s="12">
        <f>IF('Données projet'!$A$140&gt;35,CT34+CS35-DB34,IF(A35&lt;'Données projet'!$A$140,$CQ$205^A35,IF(A35='Données projet'!$A$140,'Données projet'!$B$140,CT34+CS35-DB34)))</f>
        <v>181.53846153846158</v>
      </c>
      <c r="CU35" s="17">
        <f>CT35*VLOOKUP('Données projet'!$B$13,Paramètres!$A$1:$I$89,3,0)*VLOOKUP('Données projet'!$B$13,Paramètres!$A$1:$I$89,5,0)</f>
        <v>87.320000000000022</v>
      </c>
      <c r="CV35" s="13">
        <f t="shared" si="41"/>
        <v>23.917740745768938</v>
      </c>
      <c r="CW35" s="20">
        <f t="shared" si="13"/>
        <v>193.73906513221425</v>
      </c>
      <c r="CX35" s="59">
        <f t="shared" si="14"/>
        <v>487.07239846554756</v>
      </c>
      <c r="CY35" s="59">
        <f ca="1">AVERAGE(OFFSET($CX$3,0,0,'Données projet'!$E$13+1,1))-AVERAGE(OFFSET($H$3,0,0,'Données projet'!$E$13+1,1))</f>
        <v>304.15237106473313</v>
      </c>
      <c r="CZ35" s="59">
        <f t="shared" si="42"/>
        <v>120.85458928724336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>
        <f>EXP(-LN(2)/35)*DF34+(1-EXP(-LN(2)/35))/(LN(2)/35)*DB35*DC35*VLOOKUP('Données projet'!$B$13,Paramètres!$A$1:$I$89,3,0)*0.475*44/12</f>
        <v>0</v>
      </c>
      <c r="DG35" s="21">
        <f>EXP(-LN(2)/25)*DG34+(1-EXP(-LN(2)/25))/(LN(2)/25)*Calculateur!DB35*Calculateur!DD35*VLOOKUP('Données projet'!$B$13,Paramètres!$A$1:$I$89,3,0)*0.475*44/12</f>
        <v>0</v>
      </c>
      <c r="DH35" s="21">
        <f>EXP(-LN(2)/2)*DH34+(1-EXP(-LN(2)/2))/(LN(2)/2)*DB35*DE35*VLOOKUP('Données projet'!$B$13,Paramètres!$A$1:$I$89,3,0)*0.475*44/12</f>
        <v>0</v>
      </c>
      <c r="DI35" s="22">
        <f t="shared" si="15"/>
        <v>0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3.8846153846153846</v>
      </c>
      <c r="DO35" s="12">
        <f>IF('Données projet'!$A$166&gt;35,DO34+DN35-DW34,IF(A35&lt;'Données projet'!$A$166,$DL$205^A35,IF(A35='Données projet'!$A$166,'Données projet'!$B$166,DO34+DN35-DW34)))</f>
        <v>124.30769230769235</v>
      </c>
      <c r="DP35" s="17">
        <f>DO35*VLOOKUP('Données projet'!$B$14,Paramètres!$A$1:$I$89,3,0)*VLOOKUP('Données projet'!$B$14,Paramètres!$A$1:$I$89,5,0)</f>
        <v>59.792000000000023</v>
      </c>
      <c r="DQ35" s="13">
        <f t="shared" si="43"/>
        <v>17.115669462444377</v>
      </c>
      <c r="DR35" s="20">
        <f t="shared" si="16"/>
        <v>133.94752431375733</v>
      </c>
      <c r="DS35" s="59">
        <f t="shared" si="17"/>
        <v>427.28085764709067</v>
      </c>
      <c r="DT35" s="59">
        <f ca="1">AVERAGE(OFFSET($DS$3,0,0,'Données projet'!$E$14+1,1))-AVERAGE(OFFSET($H$3,0,0,'Données projet'!$E$14+1,1))</f>
        <v>91.053246648097399</v>
      </c>
      <c r="DU35" s="59">
        <f t="shared" si="44"/>
        <v>64.716270355703955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>
        <f>EXP(-LN(2)/35)*EA34+(1-EXP(-LN(2)/35))/(LN(2)/35)*DW35*DX35*VLOOKUP('Données projet'!$B$14,Paramètres!$A$1:$I$89,3,0)*0.475*44/12</f>
        <v>0</v>
      </c>
      <c r="EB35" s="21">
        <f>EXP(-LN(2)/25)*EB34+(1-EXP(-LN(2)/25))/(LN(2)/25)*Calculateur!DW35*Calculateur!DY35*VLOOKUP('Données projet'!$B$14,Paramètres!$A$1:$I$89,3,0)*0.475*44/12</f>
        <v>0</v>
      </c>
      <c r="EC35" s="21">
        <f>EXP(-LN(2)/2)*EC34+(1-EXP(-LN(2)/2))/(LN(2)/2)*DW35*DZ35*VLOOKUP('Données projet'!$B$14,Paramètres!$A$1:$I$89,3,0)*0.475*44/12</f>
        <v>0</v>
      </c>
      <c r="ED35" s="22">
        <f t="shared" si="18"/>
        <v>0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18.2</v>
      </c>
      <c r="EJ35" s="12">
        <f>IF('Données projet'!$A$192&gt;35,EJ34+EI35-ER34,IF(A35&lt;'Données projet'!$A$192,$EG$205^A35,IF(A35='Données projet'!$A$192,'Données projet'!$B$192,EJ34+EI35-ER34)))</f>
        <v>195.40000000000003</v>
      </c>
      <c r="EK35" s="17">
        <f>EJ35*VLOOKUP('Données projet'!$B$15,Paramètres!$A$1:$I$89,3,0)*VLOOKUP('Données projet'!$B$15,Paramètres!$A$1:$I$89,5,0)</f>
        <v>116.84920000000002</v>
      </c>
      <c r="EL35" s="13">
        <f t="shared" si="45"/>
        <v>30.938992822101849</v>
      </c>
      <c r="EM35" s="20">
        <f t="shared" si="19"/>
        <v>257.39776916516081</v>
      </c>
      <c r="EN35" s="59">
        <f t="shared" si="20"/>
        <v>550.73110249849412</v>
      </c>
      <c r="EO35" s="59">
        <f ca="1">AVERAGE(OFFSET($EN$3,0,0,'Données projet'!$E$15+1,1))-AVERAGE(OFFSET($H$3,0,0,'Données projet'!$E$15+1,1))</f>
        <v>316.58509520829671</v>
      </c>
      <c r="EP35" s="59">
        <f t="shared" si="46"/>
        <v>240.71332110643596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>
        <f>EXP(-LN(2)/35)*EV34+(1-EXP(-LN(2)/35))/(LN(2)/35)*ER35*ES35*VLOOKUP('Données projet'!$B$15,Paramètres!$A$1:$I$89,3,0)*0.475*44/12</f>
        <v>2.4361200652486987</v>
      </c>
      <c r="EW35" s="21">
        <f>EXP(-LN(2)/25)*EW34+(1-EXP(-LN(2)/25))/(LN(2)/25)*Calculateur!ER35*Calculateur!ET35*VLOOKUP('Données projet'!$B$15,Paramètres!$A$1:$I$89,3,0)*0.475*44/12</f>
        <v>14.444338823665451</v>
      </c>
      <c r="EX35" s="21">
        <f>EXP(-LN(2)/2)*EX34+(1-EXP(-LN(2)/2))/(LN(2)/2)*ER35*EU35*VLOOKUP('Données projet'!$B$15,Paramètres!$A$1:$I$89,3,0)*0.475*44/12</f>
        <v>10.969671535070393</v>
      </c>
      <c r="EY35" s="22">
        <f t="shared" si="21"/>
        <v>27.850130423984542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15.7</v>
      </c>
      <c r="FE35" s="12">
        <f>IF('Données projet'!$A$218&gt;35,FE34+FD35-FM34,IF(A35&lt;'Données projet'!$A$218,$FB$205^A35,IF(A35='Données projet'!$A$218,'Données projet'!$B$218,FE34+FD35-FM34)))</f>
        <v>171.40000000000003</v>
      </c>
      <c r="FF35" s="17">
        <f>FE35*VLOOKUP('Données projet'!$B$16,Paramètres!$A$1:$I$89,3,0)*VLOOKUP('Données projet'!$B$16,Paramètres!$A$1:$I$89,5,0)</f>
        <v>102.49720000000003</v>
      </c>
      <c r="FG35" s="13">
        <f t="shared" si="47"/>
        <v>27.556064299174871</v>
      </c>
      <c r="FH35" s="20">
        <f t="shared" si="22"/>
        <v>226.50943532106294</v>
      </c>
      <c r="FI35" s="59">
        <f t="shared" si="23"/>
        <v>519.8427686543962</v>
      </c>
      <c r="FJ35" s="59">
        <f ca="1">AVERAGE(OFFSET($FI$3,0,0,'Données projet'!$E$16+1,1))-AVERAGE(OFFSET($H$3,0,0,'Données projet'!$E$16+1,1))</f>
        <v>270.30888762640245</v>
      </c>
      <c r="FK35" s="59">
        <f t="shared" si="48"/>
        <v>202.23783851977691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>
        <f>EXP(-LN(2)/35)*FQ34+(1-EXP(-LN(2)/35))/(LN(2)/35)*FM35*FN35*VLOOKUP('Données projet'!$B$16,Paramètres!$A$1:$I$89,3,0)*0.475*44/12</f>
        <v>2.058693012886224</v>
      </c>
      <c r="FR35" s="21">
        <f>EXP(-LN(2)/25)*FR34+(1-EXP(-LN(2)/25))/(LN(2)/25)*Calculateur!FM35*Calculateur!FO35*VLOOKUP('Données projet'!$B$16,Paramètres!$A$1:$I$89,3,0)*0.475*44/12</f>
        <v>11.631975709431384</v>
      </c>
      <c r="FS35" s="21">
        <f>EXP(-LN(2)/2)*FS34+(1-EXP(-LN(2)/2))/(LN(2)/2)*FM35*FP35*VLOOKUP('Données projet'!$B$16,Paramètres!$A$1:$I$89,3,0)*0.475*44/12</f>
        <v>9.246304293231292</v>
      </c>
      <c r="FT35" s="22">
        <f t="shared" si="24"/>
        <v>22.936973015548901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12.1</v>
      </c>
      <c r="FZ35" s="12">
        <f>IF('Données projet'!$A$244&gt;35,FZ34+FY35-GH34,IF(A35&lt;'Données projet'!$A$244,$FW$205^A35,IF(A35='Données projet'!$A$244,'Données projet'!$B$244,FZ34+FY35-GH34)))</f>
        <v>166.2</v>
      </c>
      <c r="GA35" s="17">
        <f>FZ35*VLOOKUP('Données projet'!$B$17,Paramètres!$A$1:$I$89,3,0)*VLOOKUP('Données projet'!$B$17,Paramètres!$A$1:$I$89,5,0)</f>
        <v>132.22872000000001</v>
      </c>
      <c r="GB35" s="13">
        <f t="shared" si="49"/>
        <v>34.510840487492601</v>
      </c>
      <c r="GC35" s="20">
        <f t="shared" si="25"/>
        <v>290.40473451571626</v>
      </c>
      <c r="GD35" s="59">
        <f t="shared" si="26"/>
        <v>583.73806784904957</v>
      </c>
      <c r="GE35" s="59">
        <f ca="1">AVERAGE(OFFSET($GD$3,0,0,'Données projet'!$E$17+1,1))-AVERAGE(OFFSET($H$3,0,0,'Données projet'!$E$17+1,1))</f>
        <v>260.20517190557814</v>
      </c>
      <c r="GF35" s="59">
        <f t="shared" si="50"/>
        <v>307.22009971147133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>
        <f>EXP(-LN(2)/35)*GL34+(1-EXP(-LN(2)/35))/(LN(2)/35)*GH35*GI35*VLOOKUP('Données projet'!$B$17,Paramètres!$A$1:$I$89,3,0)*0.475*44/12</f>
        <v>3.1362745971674917</v>
      </c>
      <c r="GM35" s="21">
        <f>EXP(-LN(2)/25)*GM34+(1-EXP(-LN(2)/25))/(LN(2)/25)*Calculateur!GH35*Calculateur!GJ35*VLOOKUP('Données projet'!$B$17,Paramètres!$A$1:$I$89,3,0)*0.475*44/12</f>
        <v>19.412727065565573</v>
      </c>
      <c r="GN35" s="21">
        <f>EXP(-LN(2)/2)*GN34+(1-EXP(-LN(2)/2))/(LN(2)/2)*GH35*GK35*VLOOKUP('Données projet'!$B$17,Paramètres!$A$1:$I$89,3,0)*0.475*44/12</f>
        <v>12.019517126378643</v>
      </c>
      <c r="GO35" s="21">
        <f t="shared" si="27"/>
        <v>34.568518789111707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10.199999999999999</v>
      </c>
      <c r="GU35" s="12">
        <f>IF('Données projet'!$A$270&gt;35,GU34+GT35-HC34,IF(A35&lt;'Données projet'!$A$270,$GR$205^A35,IF(A35='Données projet'!$A$270,'Données projet'!$B$270,GU34+GT35-HC34)))</f>
        <v>138.39999999999995</v>
      </c>
      <c r="GV35" s="17">
        <f>GU35*VLOOKUP('Données projet'!$B$18,Paramètres!$A$1:$I$89,3,0)*VLOOKUP('Données projet'!$B$18,Paramètres!$A$1:$I$89,5,0)</f>
        <v>110.11103999999996</v>
      </c>
      <c r="GW35" s="13">
        <f t="shared" si="51"/>
        <v>29.357144926198423</v>
      </c>
      <c r="GX35" s="20">
        <f t="shared" si="28"/>
        <v>242.90708874646216</v>
      </c>
      <c r="GY35" s="59">
        <f t="shared" si="29"/>
        <v>536.24042207979551</v>
      </c>
      <c r="GZ35" s="59">
        <f ca="1">AVERAGE(OFFSET($GY$3,0,0,'Données projet'!$E$18+1,1))-AVERAGE(OFFSET($H$3,0,0,'Données projet'!$E$18+1,1))</f>
        <v>199.58763537752952</v>
      </c>
      <c r="HA35" s="59">
        <f t="shared" si="52"/>
        <v>242.62852778451929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>
        <f>EXP(-LN(2)/35)*HG34+(1-EXP(-LN(2)/35))/(LN(2)/35)*HC35*HD35*VLOOKUP('Données projet'!$B$18,Paramètres!$A$1:$I$89,3,0)*0.475*44/12</f>
        <v>0</v>
      </c>
      <c r="HH35" s="21">
        <f>EXP(-LN(2)/25)*HH34+(1-EXP(-LN(2)/25))/(LN(2)/25)*Calculateur!HC35*Calculateur!HE35*VLOOKUP('Données projet'!$B$18,Paramètres!$A$1:$I$89,3,0)*0.475*44/12</f>
        <v>9.7282885199864211</v>
      </c>
      <c r="HI35" s="21">
        <f>EXP(-LN(2)/2)*HI34+(1-EXP(-LN(2)/2))/(LN(2)/2)*HC35*HF35*VLOOKUP('Données projet'!$B$18,Paramètres!$A$1:$I$89,3,0)*0.475*44/12</f>
        <v>5.3807791966101028</v>
      </c>
      <c r="HJ35" s="22">
        <f t="shared" si="30"/>
        <v>15.109067716596524</v>
      </c>
    </row>
    <row r="36" spans="1:218" x14ac:dyDescent="0.2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29.343599999999988</v>
      </c>
      <c r="D36" s="11">
        <f t="shared" si="32"/>
        <v>9.1252947188023139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296.95287151356166</v>
      </c>
      <c r="H36" s="67">
        <f t="shared" si="1"/>
        <v>360.33332496858065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22.884615384615376</v>
      </c>
      <c r="N36" s="13">
        <f>IF('Données projet'!$A$36&gt;35,N35+M36-V35,IF(A36&lt;'Données projet'!$A$36,$K$205^A36,IF(A36='Données projet'!$A$36,'Données projet'!$B$36,N35+M36-V35)))</f>
        <v>334.85384615384595</v>
      </c>
      <c r="O36" s="13">
        <f>N36*VLOOKUP('Données projet'!$B$9,Paramètres!$A$1:$I$89,3,0)*VLOOKUP('Données projet'!$B$9,Paramètres!$A$1:$I$89,5,0)</f>
        <v>187.18329999999989</v>
      </c>
      <c r="P36" s="13">
        <f t="shared" si="33"/>
        <v>46.91668019244311</v>
      </c>
      <c r="Q36" s="20">
        <f t="shared" si="53"/>
        <v>407.72413216850492</v>
      </c>
      <c r="R36" s="59">
        <f t="shared" si="0"/>
        <v>701.05746550183824</v>
      </c>
      <c r="S36" s="59">
        <f ca="1">AVERAGE(OFFSET($R$3,0,0,'Données projet'!$E$9+1,1))-AVERAGE(OFFSET($H$3,0,0,'Données projet'!$E$9+1,1))</f>
        <v>255.5374979188561</v>
      </c>
      <c r="T36" s="59">
        <f t="shared" si="34"/>
        <v>343.10418468620901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2.91180072107323</v>
      </c>
      <c r="AA36" s="21">
        <f>EXP(-LN(2)/25)*AA35+(1-EXP(-LN(2)/25))/(LN(2)/25)*Calculateur!V36*Calculateur!X36*VLOOKUP('Données projet'!$B$9,Paramètres!$A$1:$I$89,3,0)*0.475*44/12</f>
        <v>14.68643335244553</v>
      </c>
      <c r="AB36" s="21">
        <f>EXP(-LN(2)/2)*AB35+(1-EXP(-LN(2)/2))/(LN(2)/2)*V36*Y36*VLOOKUP('Données projet'!$B$9,Paramètres!$A$1:$I$89,3,0)*0.475*44/12</f>
        <v>0.59844288178574045</v>
      </c>
      <c r="AC36" s="22">
        <f t="shared" si="3"/>
        <v>18.1966769553045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18.099999999999998</v>
      </c>
      <c r="AI36" s="13">
        <f>IF('Données projet'!$A$62&gt;35,AI35+AH36-AQ35,IF(A36&lt;'Données projet'!$A$62,$AF$205^A36,IF(A36='Données projet'!$A$62,'Données projet'!$B$62,AI35+AH36-AQ35)))</f>
        <v>269.29230769230765</v>
      </c>
      <c r="AJ36" s="13">
        <f>AI36*VLOOKUP('Données projet'!$B$10,Paramètres!$A$1:$I$89,3,0)*VLOOKUP('Données projet'!$B$10,Paramètres!$A$1:$I$89,5,0)</f>
        <v>150.53439999999998</v>
      </c>
      <c r="AK36" s="13">
        <f t="shared" si="35"/>
        <v>38.700004790658191</v>
      </c>
      <c r="AL36" s="20">
        <f t="shared" si="4"/>
        <v>329.58325501039627</v>
      </c>
      <c r="AM36" s="59">
        <f t="shared" si="5"/>
        <v>622.91658834372959</v>
      </c>
      <c r="AN36" s="59">
        <f ca="1">AVERAGE(OFFSET($AM$3,0,0,'Données projet'!$E$10+1,1))-AVERAGE(OFFSET($H$3,0,0,'Données projet'!$E$10+1,1))</f>
        <v>224.7049802939942</v>
      </c>
      <c r="AO36" s="59">
        <f t="shared" si="36"/>
        <v>203.48513862195352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2.1024624291983129</v>
      </c>
      <c r="AV36" s="21">
        <f>EXP(-LN(2)/25)*AV35+(1-EXP(-LN(2)/25))/(LN(2)/25)*Calculateur!AQ36*Calculateur!AS36*VLOOKUP('Données projet'!$B$10,Paramètres!$A$1:$I$89,3,0)*0.475*44/12</f>
        <v>17.9662291241277</v>
      </c>
      <c r="AW36" s="21">
        <f>EXP(-LN(2)/2)*AW35+(1-EXP(-LN(2)/2))/(LN(2)/2)*AQ36*AT36*VLOOKUP('Données projet'!$B$10,Paramètres!$A$1:$I$89,3,0)*0.475*44/12</f>
        <v>3.1680549633719441</v>
      </c>
      <c r="AX36" s="21">
        <f t="shared" si="6"/>
        <v>23.236746516697956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13.8</v>
      </c>
      <c r="BD36" s="12">
        <f>IF('Données projet'!$A$88&gt;35,BD35+BC36-BL35,IF(A36&lt;'Données projet'!$A$88,$BA$205^A36,IF(A36='Données projet'!$A$88,'Données projet'!$B$88,BD35+BC36-BL35)))</f>
        <v>217.40000000000003</v>
      </c>
      <c r="BE36" s="13">
        <f>BD36*VLOOKUP('Données projet'!$B$11,Paramètres!$A$1:$I$89,3,0)*VLOOKUP('Données projet'!$B$11,Paramètres!$A$1:$I$89,5,0)</f>
        <v>118.70040000000002</v>
      </c>
      <c r="BF36" s="13">
        <f t="shared" si="37"/>
        <v>31.371697109278699</v>
      </c>
      <c r="BG36" s="20">
        <f t="shared" si="7"/>
        <v>261.37556913199376</v>
      </c>
      <c r="BH36" s="59">
        <f t="shared" si="8"/>
        <v>554.70890246532713</v>
      </c>
      <c r="BI36" s="59">
        <f ca="1">AVERAGE(OFFSET($BH$3,0,0,'Données projet'!$E$11+1,1))-AVERAGE(OFFSET($H$3,0,0,'Données projet'!$E$11+1,1))</f>
        <v>210.04871822652808</v>
      </c>
      <c r="BJ36" s="59">
        <f t="shared" si="38"/>
        <v>250.17540614049324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6.8798498525587082</v>
      </c>
      <c r="BQ36" s="21">
        <f>EXP(-LN(2)/25)*BQ35+(1-EXP(-LN(2)/25))/(LN(2)/25)*Calculateur!BL36*Calculateur!BN36*VLOOKUP('Données projet'!$B$11,Paramètres!$A$1:$I$89,3,0)*0.475*44/12</f>
        <v>25.609478948219632</v>
      </c>
      <c r="BR36" s="21">
        <f>EXP(-LN(2)/2)*BR35+(1-EXP(-LN(2)/2))/(LN(2)/2)*BL36*BO36*VLOOKUP('Données projet'!$B$11,Paramètres!$A$1:$I$89,3,0)*0.475*44/12</f>
        <v>7.6204504435608422</v>
      </c>
      <c r="BS36" s="22">
        <f t="shared" si="9"/>
        <v>40.10977924433918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12.1</v>
      </c>
      <c r="BY36" s="12">
        <f>IF('Données projet'!$A$114&gt;35,BY35+BX36-CG35,IF(A36&lt;'Données projet'!$A$114,$BV$205^A36,IF(A36='Données projet'!$A$114,'Données projet'!$B$114,BY35+BX36-CG35)))</f>
        <v>186.3</v>
      </c>
      <c r="BZ36" s="13">
        <f>BY36*VLOOKUP('Données projet'!$B$12,Paramètres!$A$1:$I$89,3,0)*VLOOKUP('Données projet'!$B$12,Paramètres!$A$1:$I$89,5,0)</f>
        <v>101.71979999999999</v>
      </c>
      <c r="CA36" s="13">
        <f t="shared" si="39"/>
        <v>27.37130868680908</v>
      </c>
      <c r="CB36" s="20">
        <f t="shared" si="10"/>
        <v>224.83368096285912</v>
      </c>
      <c r="CC36" s="59">
        <f t="shared" si="11"/>
        <v>518.16701429619241</v>
      </c>
      <c r="CD36" s="59">
        <f ca="1">AVERAGE(OFFSET($CC$3,0,0,'Données projet'!$E$12+1,1))-AVERAGE(OFFSET($H$3,0,0,'Données projet'!$E$12+1,1))</f>
        <v>168.72306536277267</v>
      </c>
      <c r="CE36" s="59">
        <f t="shared" si="40"/>
        <v>203.35476578922339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2.866604105232796</v>
      </c>
      <c r="CL36" s="21">
        <f>EXP(-LN(2)/25)*CL35+(1-EXP(-LN(2)/25))/(LN(2)/25)*Calculateur!CG36*Calculateur!CI36*VLOOKUP('Données projet'!$B$12,Paramètres!$A$1:$I$89,3,0)*0.475*44/12</f>
        <v>21.150532976332894</v>
      </c>
      <c r="CM36" s="21">
        <f>EXP(-LN(2)/2)*CM35+(1-EXP(-LN(2)/2))/(LN(2)/2)*CG36*CJ36*VLOOKUP('Données projet'!$B$12,Paramètres!$A$1:$I$89,3,0)*0.475*44/12</f>
        <v>7.0794988659593194</v>
      </c>
      <c r="CN36" s="22">
        <f t="shared" si="12"/>
        <v>31.096635947525009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5.6730769230769225</v>
      </c>
      <c r="CT36" s="12">
        <f>IF('Données projet'!$A$140&gt;35,CT35+CS36-DB35,IF(A36&lt;'Données projet'!$A$140,$CQ$205^A36,IF(A36='Données projet'!$A$140,'Données projet'!$B$140,CT35+CS36-DB35)))</f>
        <v>187.21153846153851</v>
      </c>
      <c r="CU36" s="17">
        <f>CT36*VLOOKUP('Données projet'!$B$13,Paramètres!$A$1:$I$89,3,0)*VLOOKUP('Données projet'!$B$13,Paramètres!$A$1:$I$89,5,0)</f>
        <v>90.048750000000027</v>
      </c>
      <c r="CV36" s="13">
        <f t="shared" si="41"/>
        <v>24.576981949436938</v>
      </c>
      <c r="CW36" s="20">
        <f t="shared" si="13"/>
        <v>199.63981647860271</v>
      </c>
      <c r="CX36" s="59">
        <f t="shared" si="14"/>
        <v>492.97314981193603</v>
      </c>
      <c r="CY36" s="59">
        <f ca="1">AVERAGE(OFFSET($CX$3,0,0,'Données projet'!$E$13+1,1))-AVERAGE(OFFSET($H$3,0,0,'Données projet'!$E$13+1,1))</f>
        <v>304.15237106473313</v>
      </c>
      <c r="CZ36" s="59">
        <f t="shared" si="42"/>
        <v>120.85458928724336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>
        <f>EXP(-LN(2)/35)*DF35+(1-EXP(-LN(2)/35))/(LN(2)/35)*DB36*DC36*VLOOKUP('Données projet'!$B$13,Paramètres!$A$1:$I$89,3,0)*0.475*44/12</f>
        <v>0</v>
      </c>
      <c r="DG36" s="21">
        <f>EXP(-LN(2)/25)*DG35+(1-EXP(-LN(2)/25))/(LN(2)/25)*Calculateur!DB36*Calculateur!DD36*VLOOKUP('Données projet'!$B$13,Paramètres!$A$1:$I$89,3,0)*0.475*44/12</f>
        <v>0</v>
      </c>
      <c r="DH36" s="21">
        <f>EXP(-LN(2)/2)*DH35+(1-EXP(-LN(2)/2))/(LN(2)/2)*DB36*DE36*VLOOKUP('Données projet'!$B$13,Paramètres!$A$1:$I$89,3,0)*0.475*44/12</f>
        <v>0</v>
      </c>
      <c r="DI36" s="22">
        <f t="shared" si="15"/>
        <v>0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3.8846153846153846</v>
      </c>
      <c r="DO36" s="12">
        <f>IF('Données projet'!$A$166&gt;35,DO35+DN36-DW35,IF(A36&lt;'Données projet'!$A$166,$DL$205^A36,IF(A36='Données projet'!$A$166,'Données projet'!$B$166,DO35+DN36-DW35)))</f>
        <v>128.19230769230774</v>
      </c>
      <c r="DP36" s="17">
        <f>DO36*VLOOKUP('Données projet'!$B$14,Paramètres!$A$1:$I$89,3,0)*VLOOKUP('Données projet'!$B$14,Paramètres!$A$1:$I$89,5,0)</f>
        <v>61.66050000000002</v>
      </c>
      <c r="DQ36" s="13">
        <f t="shared" si="43"/>
        <v>17.587426166304521</v>
      </c>
      <c r="DR36" s="20">
        <f t="shared" si="16"/>
        <v>138.02347140631372</v>
      </c>
      <c r="DS36" s="59">
        <f t="shared" si="17"/>
        <v>431.35680473964703</v>
      </c>
      <c r="DT36" s="59">
        <f ca="1">AVERAGE(OFFSET($DS$3,0,0,'Données projet'!$E$14+1,1))-AVERAGE(OFFSET($H$3,0,0,'Données projet'!$E$14+1,1))</f>
        <v>91.053246648097399</v>
      </c>
      <c r="DU36" s="59">
        <f t="shared" si="44"/>
        <v>64.716270355703955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>
        <f>EXP(-LN(2)/35)*EA35+(1-EXP(-LN(2)/35))/(LN(2)/35)*DW36*DX36*VLOOKUP('Données projet'!$B$14,Paramètres!$A$1:$I$89,3,0)*0.475*44/12</f>
        <v>0</v>
      </c>
      <c r="EB36" s="21">
        <f>EXP(-LN(2)/25)*EB35+(1-EXP(-LN(2)/25))/(LN(2)/25)*Calculateur!DW36*Calculateur!DY36*VLOOKUP('Données projet'!$B$14,Paramètres!$A$1:$I$89,3,0)*0.475*44/12</f>
        <v>0</v>
      </c>
      <c r="EC36" s="21">
        <f>EXP(-LN(2)/2)*EC35+(1-EXP(-LN(2)/2))/(LN(2)/2)*DW36*DZ36*VLOOKUP('Données projet'!$B$14,Paramètres!$A$1:$I$89,3,0)*0.475*44/12</f>
        <v>0</v>
      </c>
      <c r="ED36" s="22">
        <f t="shared" si="18"/>
        <v>0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18.2</v>
      </c>
      <c r="EJ36" s="12">
        <f>IF('Données projet'!$A$192&gt;35,EJ35+EI36-ER35,IF(A36&lt;'Données projet'!$A$192,$EG$205^A36,IF(A36='Données projet'!$A$192,'Données projet'!$B$192,EJ35+EI36-ER35)))</f>
        <v>213.60000000000002</v>
      </c>
      <c r="EK36" s="17">
        <f>EJ36*VLOOKUP('Données projet'!$B$15,Paramètres!$A$1:$I$89,3,0)*VLOOKUP('Données projet'!$B$15,Paramètres!$A$1:$I$89,5,0)</f>
        <v>127.73280000000003</v>
      </c>
      <c r="EL36" s="13">
        <f t="shared" si="45"/>
        <v>33.471940749957469</v>
      </c>
      <c r="EM36" s="20">
        <f t="shared" si="19"/>
        <v>280.76492347284267</v>
      </c>
      <c r="EN36" s="59">
        <f t="shared" si="20"/>
        <v>574.09825680617598</v>
      </c>
      <c r="EO36" s="59">
        <f ca="1">AVERAGE(OFFSET($EN$3,0,0,'Données projet'!$E$15+1,1))-AVERAGE(OFFSET($H$3,0,0,'Données projet'!$E$15+1,1))</f>
        <v>316.58509520829671</v>
      </c>
      <c r="EP36" s="59">
        <f t="shared" si="46"/>
        <v>240.71332110643596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>
        <f>EXP(-LN(2)/35)*EV35+(1-EXP(-LN(2)/35))/(LN(2)/35)*ER36*ES36*VLOOKUP('Données projet'!$B$15,Paramètres!$A$1:$I$89,3,0)*0.475*44/12</f>
        <v>2.3883492366556927</v>
      </c>
      <c r="EW36" s="21">
        <f>EXP(-LN(2)/25)*EW35+(1-EXP(-LN(2)/25))/(LN(2)/25)*Calculateur!ER36*Calculateur!ET36*VLOOKUP('Données projet'!$B$15,Paramètres!$A$1:$I$89,3,0)*0.475*44/12</f>
        <v>14.049357618937552</v>
      </c>
      <c r="EX36" s="21">
        <f>EXP(-LN(2)/2)*EX35+(1-EXP(-LN(2)/2))/(LN(2)/2)*ER36*EU36*VLOOKUP('Données projet'!$B$15,Paramètres!$A$1:$I$89,3,0)*0.475*44/12</f>
        <v>7.7567291298373204</v>
      </c>
      <c r="EY36" s="22">
        <f t="shared" si="21"/>
        <v>24.194435985430566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15.7</v>
      </c>
      <c r="FE36" s="12">
        <f>IF('Données projet'!$A$218&gt;35,FE35+FD36-FM35,IF(A36&lt;'Données projet'!$A$218,$FB$205^A36,IF(A36='Données projet'!$A$218,'Données projet'!$B$218,FE35+FD36-FM35)))</f>
        <v>187.10000000000002</v>
      </c>
      <c r="FF36" s="17">
        <f>FE36*VLOOKUP('Données projet'!$B$16,Paramètres!$A$1:$I$89,3,0)*VLOOKUP('Données projet'!$B$16,Paramètres!$A$1:$I$89,5,0)</f>
        <v>111.88580000000003</v>
      </c>
      <c r="FG36" s="13">
        <f t="shared" si="47"/>
        <v>29.774853250315406</v>
      </c>
      <c r="FH36" s="20">
        <f t="shared" si="22"/>
        <v>246.72563774429935</v>
      </c>
      <c r="FI36" s="59">
        <f t="shared" si="23"/>
        <v>540.05897107763269</v>
      </c>
      <c r="FJ36" s="59">
        <f ca="1">AVERAGE(OFFSET($FI$3,0,0,'Données projet'!$E$16+1,1))-AVERAGE(OFFSET($H$3,0,0,'Données projet'!$E$16+1,1))</f>
        <v>270.30888762640245</v>
      </c>
      <c r="FK36" s="59">
        <f t="shared" si="48"/>
        <v>202.23783851977691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>
        <f>EXP(-LN(2)/35)*FQ35+(1-EXP(-LN(2)/35))/(LN(2)/35)*FM36*FN36*VLOOKUP('Données projet'!$B$16,Paramètres!$A$1:$I$89,3,0)*0.475*44/12</f>
        <v>2.018323298582275</v>
      </c>
      <c r="FR36" s="21">
        <f>EXP(-LN(2)/25)*FR35+(1-EXP(-LN(2)/25))/(LN(2)/25)*Calculateur!FM36*Calculateur!FO36*VLOOKUP('Données projet'!$B$16,Paramètres!$A$1:$I$89,3,0)*0.475*44/12</f>
        <v>11.313898721957965</v>
      </c>
      <c r="FS36" s="21">
        <f>EXP(-LN(2)/2)*FS35+(1-EXP(-LN(2)/2))/(LN(2)/2)*FM36*FP36*VLOOKUP('Données projet'!$B$16,Paramètres!$A$1:$I$89,3,0)*0.475*44/12</f>
        <v>6.5381244666581342</v>
      </c>
      <c r="FT36" s="22">
        <f t="shared" si="24"/>
        <v>19.870346487198375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12.1</v>
      </c>
      <c r="FZ36" s="12">
        <f>IF('Données projet'!$A$244&gt;35,FZ35+FY36-GH35,IF(A36&lt;'Données projet'!$A$244,$FW$205^A36,IF(A36='Données projet'!$A$244,'Données projet'!$B$244,FZ35+FY36-GH35)))</f>
        <v>178.29999999999998</v>
      </c>
      <c r="GA36" s="17">
        <f>FZ36*VLOOKUP('Données projet'!$B$17,Paramètres!$A$1:$I$89,3,0)*VLOOKUP('Données projet'!$B$17,Paramètres!$A$1:$I$89,5,0)</f>
        <v>141.85548</v>
      </c>
      <c r="GB36" s="13">
        <f t="shared" si="49"/>
        <v>36.721743640099248</v>
      </c>
      <c r="GC36" s="20">
        <f t="shared" si="25"/>
        <v>311.02199783983951</v>
      </c>
      <c r="GD36" s="59">
        <f t="shared" si="26"/>
        <v>604.35533117317277</v>
      </c>
      <c r="GE36" s="59">
        <f ca="1">AVERAGE(OFFSET($GD$3,0,0,'Données projet'!$E$17+1,1))-AVERAGE(OFFSET($H$3,0,0,'Données projet'!$E$17+1,1))</f>
        <v>260.20517190557814</v>
      </c>
      <c r="GF36" s="59">
        <f t="shared" si="50"/>
        <v>307.22009971147133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>
        <f>EXP(-LN(2)/35)*GL35+(1-EXP(-LN(2)/35))/(LN(2)/35)*GH36*GI36*VLOOKUP('Données projet'!$B$17,Paramètres!$A$1:$I$89,3,0)*0.475*44/12</f>
        <v>3.0747741652556546</v>
      </c>
      <c r="GM36" s="21">
        <f>EXP(-LN(2)/25)*GM35+(1-EXP(-LN(2)/25))/(LN(2)/25)*Calculateur!GH36*Calculateur!GJ36*VLOOKUP('Données projet'!$B$17,Paramètres!$A$1:$I$89,3,0)*0.475*44/12</f>
        <v>18.881885023086735</v>
      </c>
      <c r="GN36" s="21">
        <f>EXP(-LN(2)/2)*GN35+(1-EXP(-LN(2)/2))/(LN(2)/2)*GH36*GK36*VLOOKUP('Données projet'!$B$17,Paramètres!$A$1:$I$89,3,0)*0.475*44/12</f>
        <v>8.4990820666501836</v>
      </c>
      <c r="GO36" s="21">
        <f t="shared" si="27"/>
        <v>30.455741254992574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10.199999999999999</v>
      </c>
      <c r="GU36" s="12">
        <f>IF('Données projet'!$A$270&gt;35,GU35+GT36-HC35,IF(A36&lt;'Données projet'!$A$270,$GR$205^A36,IF(A36='Données projet'!$A$270,'Données projet'!$B$270,GU35+GT36-HC35)))</f>
        <v>148.59999999999994</v>
      </c>
      <c r="GV36" s="17">
        <f>GU36*VLOOKUP('Données projet'!$B$18,Paramètres!$A$1:$I$89,3,0)*VLOOKUP('Données projet'!$B$18,Paramètres!$A$1:$I$89,5,0)</f>
        <v>118.22615999999996</v>
      </c>
      <c r="GW36" s="13">
        <f t="shared" si="51"/>
        <v>31.260922342884676</v>
      </c>
      <c r="GX36" s="20">
        <f t="shared" si="28"/>
        <v>260.35666841385739</v>
      </c>
      <c r="GY36" s="59">
        <f t="shared" si="29"/>
        <v>553.69000174719076</v>
      </c>
      <c r="GZ36" s="59">
        <f ca="1">AVERAGE(OFFSET($GY$3,0,0,'Données projet'!$E$18+1,1))-AVERAGE(OFFSET($H$3,0,0,'Données projet'!$E$18+1,1))</f>
        <v>199.58763537752952</v>
      </c>
      <c r="HA36" s="59">
        <f t="shared" si="52"/>
        <v>242.62852778451929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>
        <f>EXP(-LN(2)/35)*HG35+(1-EXP(-LN(2)/35))/(LN(2)/35)*HC36*HD36*VLOOKUP('Données projet'!$B$18,Paramètres!$A$1:$I$89,3,0)*0.475*44/12</f>
        <v>0</v>
      </c>
      <c r="HH36" s="21">
        <f>EXP(-LN(2)/25)*HH35+(1-EXP(-LN(2)/25))/(LN(2)/25)*Calculateur!HC36*Calculateur!HE36*VLOOKUP('Données projet'!$B$18,Paramètres!$A$1:$I$89,3,0)*0.475*44/12</f>
        <v>9.4622679588189342</v>
      </c>
      <c r="HI36" s="21">
        <f>EXP(-LN(2)/2)*HI35+(1-EXP(-LN(2)/2))/(LN(2)/2)*HC36*HF36*VLOOKUP('Données projet'!$B$18,Paramètres!$A$1:$I$89,3,0)*0.475*44/12</f>
        <v>3.8047854579905072</v>
      </c>
      <c r="HJ36" s="22">
        <f t="shared" si="30"/>
        <v>13.267053416809441</v>
      </c>
    </row>
    <row r="37" spans="1:218" x14ac:dyDescent="0.2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30.232799999999987</v>
      </c>
      <c r="D37" s="11">
        <f t="shared" si="32"/>
        <v>9.3692052598737909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305.69968972534144</v>
      </c>
      <c r="H37" s="67">
        <f t="shared" si="1"/>
        <v>362.30682582761347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22.884615384615376</v>
      </c>
      <c r="N37" s="13">
        <f>IF('Données projet'!$A$36&gt;35,N36+M37-V36,IF(A37&lt;'Données projet'!$A$36,$K$205^A37,IF(A37='Données projet'!$A$36,'Données projet'!$B$36,N36+M37-V36)))</f>
        <v>357.73846153846131</v>
      </c>
      <c r="O37" s="13">
        <f>N37*VLOOKUP('Données projet'!$B$9,Paramètres!$A$1:$I$89,3,0)*VLOOKUP('Données projet'!$B$9,Paramètres!$A$1:$I$89,5,0)</f>
        <v>199.97579999999988</v>
      </c>
      <c r="P37" s="13">
        <f t="shared" si="33"/>
        <v>49.738849260389202</v>
      </c>
      <c r="Q37" s="20">
        <f t="shared" si="53"/>
        <v>434.91968079517761</v>
      </c>
      <c r="R37" s="59">
        <f t="shared" si="0"/>
        <v>728.25301412851093</v>
      </c>
      <c r="S37" s="59">
        <f ca="1">AVERAGE(OFFSET($R$3,0,0,'Données projet'!$E$9+1,1))-AVERAGE(OFFSET($H$3,0,0,'Données projet'!$E$9+1,1))</f>
        <v>255.5374979188561</v>
      </c>
      <c r="T37" s="59">
        <f t="shared" si="34"/>
        <v>343.10418468620901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2.854702084956056</v>
      </c>
      <c r="AA37" s="21">
        <f>EXP(-LN(2)/25)*AA36+(1-EXP(-LN(2)/25))/(LN(2)/25)*Calculateur!V37*Calculateur!X37*VLOOKUP('Données projet'!$B$9,Paramètres!$A$1:$I$89,3,0)*0.475*44/12</f>
        <v>14.284832060096942</v>
      </c>
      <c r="AB37" s="21">
        <f>EXP(-LN(2)/2)*AB36+(1-EXP(-LN(2)/2))/(LN(2)/2)*V37*Y37*VLOOKUP('Données projet'!$B$9,Paramètres!$A$1:$I$89,3,0)*0.475*44/12</f>
        <v>0.42316301986351651</v>
      </c>
      <c r="AC37" s="22">
        <f t="shared" si="3"/>
        <v>17.562697164916514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18.099999999999998</v>
      </c>
      <c r="AI37" s="13">
        <f>IF('Données projet'!$A$62&gt;35,AI36+AH37-AQ36,IF(A37&lt;'Données projet'!$A$62,$AF$205^A37,IF(A37='Données projet'!$A$62,'Données projet'!$B$62,AI36+AH37-AQ36)))</f>
        <v>287.39230769230767</v>
      </c>
      <c r="AJ37" s="13">
        <f>AI37*VLOOKUP('Données projet'!$B$10,Paramètres!$A$1:$I$89,3,0)*VLOOKUP('Données projet'!$B$10,Paramètres!$A$1:$I$89,5,0)</f>
        <v>160.6523</v>
      </c>
      <c r="AK37" s="13">
        <f t="shared" si="35"/>
        <v>40.989608635643826</v>
      </c>
      <c r="AL37" s="20">
        <f t="shared" si="4"/>
        <v>351.19299087374634</v>
      </c>
      <c r="AM37" s="59">
        <f t="shared" si="5"/>
        <v>644.5263242070796</v>
      </c>
      <c r="AN37" s="59">
        <f ca="1">AVERAGE(OFFSET($AM$3,0,0,'Données projet'!$E$10+1,1))-AVERAGE(OFFSET($H$3,0,0,'Données projet'!$E$10+1,1))</f>
        <v>224.7049802939942</v>
      </c>
      <c r="AO37" s="59">
        <f t="shared" si="36"/>
        <v>203.48513862195352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2.0612344233371918</v>
      </c>
      <c r="AV37" s="21">
        <f>EXP(-LN(2)/25)*AV36+(1-EXP(-LN(2)/25))/(LN(2)/25)*Calculateur!AQ37*Calculateur!AS37*VLOOKUP('Données projet'!$B$10,Paramètres!$A$1:$I$89,3,0)*0.475*44/12</f>
        <v>17.474941643925501</v>
      </c>
      <c r="AW37" s="21">
        <f>EXP(-LN(2)/2)*AW36+(1-EXP(-LN(2)/2))/(LN(2)/2)*AQ37*AT37*VLOOKUP('Données projet'!$B$10,Paramètres!$A$1:$I$89,3,0)*0.475*44/12</f>
        <v>2.2401531477720011</v>
      </c>
      <c r="AX37" s="21">
        <f t="shared" si="6"/>
        <v>21.776329215034696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13.8</v>
      </c>
      <c r="BD37" s="12">
        <f>IF('Données projet'!$A$88&gt;35,BD36+BC37-BL36,IF(A37&lt;'Données projet'!$A$88,$BA$205^A37,IF(A37='Données projet'!$A$88,'Données projet'!$B$88,BD36+BC37-BL36)))</f>
        <v>231.20000000000005</v>
      </c>
      <c r="BE37" s="13">
        <f>BD37*VLOOKUP('Données projet'!$B$11,Paramètres!$A$1:$I$89,3,0)*VLOOKUP('Données projet'!$B$11,Paramètres!$A$1:$I$89,5,0)</f>
        <v>126.23520000000002</v>
      </c>
      <c r="BF37" s="13">
        <f t="shared" si="37"/>
        <v>33.12494229060627</v>
      </c>
      <c r="BG37" s="20">
        <f t="shared" si="7"/>
        <v>277.55224782280595</v>
      </c>
      <c r="BH37" s="59">
        <f t="shared" si="8"/>
        <v>570.88558115613932</v>
      </c>
      <c r="BI37" s="59">
        <f ca="1">AVERAGE(OFFSET($BH$3,0,0,'Données projet'!$E$11+1,1))-AVERAGE(OFFSET($H$3,0,0,'Données projet'!$E$11+1,1))</f>
        <v>210.04871822652808</v>
      </c>
      <c r="BJ37" s="59">
        <f t="shared" si="38"/>
        <v>250.17540614049324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6.7449401932440924</v>
      </c>
      <c r="BQ37" s="21">
        <f>EXP(-LN(2)/25)*BQ36+(1-EXP(-LN(2)/25))/(LN(2)/25)*Calculateur!BL37*Calculateur!BN37*VLOOKUP('Données projet'!$B$11,Paramètres!$A$1:$I$89,3,0)*0.475*44/12</f>
        <v>24.909186399636599</v>
      </c>
      <c r="BR37" s="21">
        <f>EXP(-LN(2)/2)*BR36+(1-EXP(-LN(2)/2))/(LN(2)/2)*BL37*BO37*VLOOKUP('Données projet'!$B$11,Paramètres!$A$1:$I$89,3,0)*0.475*44/12</f>
        <v>5.388472184337906</v>
      </c>
      <c r="BS37" s="22">
        <f t="shared" si="9"/>
        <v>37.042598777218601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12.1</v>
      </c>
      <c r="BY37" s="12">
        <f>IF('Données projet'!$A$114&gt;35,BY36+BX37-CG36,IF(A37&lt;'Données projet'!$A$114,$BV$205^A37,IF(A37='Données projet'!$A$114,'Données projet'!$B$114,BY36+BX37-CG36)))</f>
        <v>198.4</v>
      </c>
      <c r="BZ37" s="13">
        <f>BY37*VLOOKUP('Données projet'!$B$12,Paramètres!$A$1:$I$89,3,0)*VLOOKUP('Données projet'!$B$12,Paramètres!$A$1:$I$89,5,0)</f>
        <v>108.32640000000001</v>
      </c>
      <c r="CA37" s="13">
        <f t="shared" si="39"/>
        <v>28.936320206966883</v>
      </c>
      <c r="CB37" s="20">
        <f t="shared" si="10"/>
        <v>239.06590436046736</v>
      </c>
      <c r="CC37" s="59">
        <f t="shared" si="11"/>
        <v>532.39923769380061</v>
      </c>
      <c r="CD37" s="59">
        <f ca="1">AVERAGE(OFFSET($CC$3,0,0,'Données projet'!$E$12+1,1))-AVERAGE(OFFSET($H$3,0,0,'Données projet'!$E$12+1,1))</f>
        <v>168.72306536277267</v>
      </c>
      <c r="CE37" s="59">
        <f t="shared" si="40"/>
        <v>203.35476578922339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2.8103917471850393</v>
      </c>
      <c r="CL37" s="21">
        <f>EXP(-LN(2)/25)*CL36+(1-EXP(-LN(2)/25))/(LN(2)/25)*Calculateur!CG37*Calculateur!CI37*VLOOKUP('Données projet'!$B$12,Paramètres!$A$1:$I$89,3,0)*0.475*44/12</f>
        <v>20.572170539836883</v>
      </c>
      <c r="CM37" s="21">
        <f>EXP(-LN(2)/2)*CM36+(1-EXP(-LN(2)/2))/(LN(2)/2)*CG37*CJ37*VLOOKUP('Données projet'!$B$12,Paramètres!$A$1:$I$89,3,0)*0.475*44/12</f>
        <v>5.0059616555223085</v>
      </c>
      <c r="CN37" s="22">
        <f t="shared" si="12"/>
        <v>28.388523942544232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5.6730769230769225</v>
      </c>
      <c r="CT37" s="12">
        <f>IF('Données projet'!$A$140&gt;35,CT36+CS37-DB36,IF(A37&lt;'Données projet'!$A$140,$CQ$205^A37,IF(A37='Données projet'!$A$140,'Données projet'!$B$140,CT36+CS37-DB36)))</f>
        <v>192.88461538461544</v>
      </c>
      <c r="CU37" s="17">
        <f>CT37*VLOOKUP('Données projet'!$B$13,Paramètres!$A$1:$I$89,3,0)*VLOOKUP('Données projet'!$B$13,Paramètres!$A$1:$I$89,5,0)</f>
        <v>92.777500000000032</v>
      </c>
      <c r="CV37" s="13">
        <f t="shared" si="41"/>
        <v>25.233901550383017</v>
      </c>
      <c r="CW37" s="20">
        <f t="shared" si="13"/>
        <v>205.53652436691712</v>
      </c>
      <c r="CX37" s="59">
        <f t="shared" si="14"/>
        <v>498.86985770025046</v>
      </c>
      <c r="CY37" s="59">
        <f ca="1">AVERAGE(OFFSET($CX$3,0,0,'Données projet'!$E$13+1,1))-AVERAGE(OFFSET($H$3,0,0,'Données projet'!$E$13+1,1))</f>
        <v>304.15237106473313</v>
      </c>
      <c r="CZ37" s="59">
        <f t="shared" si="42"/>
        <v>120.85458928724336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>
        <f>EXP(-LN(2)/35)*DF36+(1-EXP(-LN(2)/35))/(LN(2)/35)*DB37*DC37*VLOOKUP('Données projet'!$B$13,Paramètres!$A$1:$I$89,3,0)*0.475*44/12</f>
        <v>0</v>
      </c>
      <c r="DG37" s="21">
        <f>EXP(-LN(2)/25)*DG36+(1-EXP(-LN(2)/25))/(LN(2)/25)*Calculateur!DB37*Calculateur!DD37*VLOOKUP('Données projet'!$B$13,Paramètres!$A$1:$I$89,3,0)*0.475*44/12</f>
        <v>0</v>
      </c>
      <c r="DH37" s="21">
        <f>EXP(-LN(2)/2)*DH36+(1-EXP(-LN(2)/2))/(LN(2)/2)*DB37*DE37*VLOOKUP('Données projet'!$B$13,Paramètres!$A$1:$I$89,3,0)*0.475*44/12</f>
        <v>0</v>
      </c>
      <c r="DI37" s="22">
        <f t="shared" si="15"/>
        <v>0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3.8846153846153846</v>
      </c>
      <c r="DO37" s="12">
        <f>IF('Données projet'!$A$166&gt;35,DO36+DN37-DW36,IF(A37&lt;'Données projet'!$A$166,$DL$205^A37,IF(A37='Données projet'!$A$166,'Données projet'!$B$166,DO36+DN37-DW36)))</f>
        <v>132.07692307692312</v>
      </c>
      <c r="DP37" s="17">
        <f>DO37*VLOOKUP('Données projet'!$B$14,Paramètres!$A$1:$I$89,3,0)*VLOOKUP('Données projet'!$B$14,Paramètres!$A$1:$I$89,5,0)</f>
        <v>63.529000000000018</v>
      </c>
      <c r="DQ37" s="13">
        <f t="shared" si="43"/>
        <v>18.057521518232061</v>
      </c>
      <c r="DR37" s="20">
        <f t="shared" si="16"/>
        <v>142.09652497758751</v>
      </c>
      <c r="DS37" s="59">
        <f t="shared" si="17"/>
        <v>435.42985831092085</v>
      </c>
      <c r="DT37" s="59">
        <f ca="1">AVERAGE(OFFSET($DS$3,0,0,'Données projet'!$E$14+1,1))-AVERAGE(OFFSET($H$3,0,0,'Données projet'!$E$14+1,1))</f>
        <v>91.053246648097399</v>
      </c>
      <c r="DU37" s="59">
        <f t="shared" si="44"/>
        <v>64.716270355703955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>
        <f>EXP(-LN(2)/35)*EA36+(1-EXP(-LN(2)/35))/(LN(2)/35)*DW37*DX37*VLOOKUP('Données projet'!$B$14,Paramètres!$A$1:$I$89,3,0)*0.475*44/12</f>
        <v>0</v>
      </c>
      <c r="EB37" s="21">
        <f>EXP(-LN(2)/25)*EB36+(1-EXP(-LN(2)/25))/(LN(2)/25)*Calculateur!DW37*Calculateur!DY37*VLOOKUP('Données projet'!$B$14,Paramètres!$A$1:$I$89,3,0)*0.475*44/12</f>
        <v>0</v>
      </c>
      <c r="EC37" s="21">
        <f>EXP(-LN(2)/2)*EC36+(1-EXP(-LN(2)/2))/(LN(2)/2)*DW37*DZ37*VLOOKUP('Données projet'!$B$14,Paramètres!$A$1:$I$89,3,0)*0.475*44/12</f>
        <v>0</v>
      </c>
      <c r="ED37" s="22">
        <f t="shared" si="18"/>
        <v>0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18.2</v>
      </c>
      <c r="EJ37" s="12">
        <f>IF('Données projet'!$A$192&gt;35,EJ36+EI37-ER36,IF(A37&lt;'Données projet'!$A$192,$EG$205^A37,IF(A37='Données projet'!$A$192,'Données projet'!$B$192,EJ36+EI37-ER36)))</f>
        <v>231.8</v>
      </c>
      <c r="EK37" s="17">
        <f>EJ37*VLOOKUP('Données projet'!$B$15,Paramètres!$A$1:$I$89,3,0)*VLOOKUP('Données projet'!$B$15,Paramètres!$A$1:$I$89,5,0)</f>
        <v>138.61640000000003</v>
      </c>
      <c r="EL37" s="13">
        <f t="shared" si="45"/>
        <v>35.97985917844175</v>
      </c>
      <c r="EM37" s="20">
        <f t="shared" si="19"/>
        <v>304.08848473578604</v>
      </c>
      <c r="EN37" s="59">
        <f t="shared" si="20"/>
        <v>597.42181806911935</v>
      </c>
      <c r="EO37" s="59">
        <f ca="1">AVERAGE(OFFSET($EN$3,0,0,'Données projet'!$E$15+1,1))-AVERAGE(OFFSET($H$3,0,0,'Données projet'!$E$15+1,1))</f>
        <v>316.58509520829671</v>
      </c>
      <c r="EP37" s="59">
        <f t="shared" si="46"/>
        <v>240.71332110643596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>
        <f>EXP(-LN(2)/35)*EV36+(1-EXP(-LN(2)/35))/(LN(2)/35)*ER37*ES37*VLOOKUP('Données projet'!$B$15,Paramètres!$A$1:$I$89,3,0)*0.475*44/12</f>
        <v>2.3415151648740666</v>
      </c>
      <c r="EW37" s="21">
        <f>EXP(-LN(2)/25)*EW36+(1-EXP(-LN(2)/25))/(LN(2)/25)*Calculateur!ER37*Calculateur!ET37*VLOOKUP('Données projet'!$B$15,Paramètres!$A$1:$I$89,3,0)*0.475*44/12</f>
        <v>13.665177196024098</v>
      </c>
      <c r="EX37" s="21">
        <f>EXP(-LN(2)/2)*EX36+(1-EXP(-LN(2)/2))/(LN(2)/2)*ER37*EU37*VLOOKUP('Données projet'!$B$15,Paramètres!$A$1:$I$89,3,0)*0.475*44/12</f>
        <v>5.4848357675351975</v>
      </c>
      <c r="EY37" s="22">
        <f t="shared" si="21"/>
        <v>21.491528128433362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15.7</v>
      </c>
      <c r="FE37" s="12">
        <f>IF('Données projet'!$A$218&gt;35,FE36+FD37-FM36,IF(A37&lt;'Données projet'!$A$218,$FB$205^A37,IF(A37='Données projet'!$A$218,'Données projet'!$B$218,FE36+FD37-FM36)))</f>
        <v>202.8</v>
      </c>
      <c r="FF37" s="17">
        <f>FE37*VLOOKUP('Données projet'!$B$16,Paramètres!$A$1:$I$89,3,0)*VLOOKUP('Données projet'!$B$16,Paramètres!$A$1:$I$89,5,0)</f>
        <v>121.27440000000001</v>
      </c>
      <c r="FG37" s="13">
        <f t="shared" si="47"/>
        <v>31.972049173215385</v>
      </c>
      <c r="FH37" s="20">
        <f t="shared" si="22"/>
        <v>266.90423231001682</v>
      </c>
      <c r="FI37" s="59">
        <f t="shared" si="23"/>
        <v>560.23756564335008</v>
      </c>
      <c r="FJ37" s="59">
        <f ca="1">AVERAGE(OFFSET($FI$3,0,0,'Données projet'!$E$16+1,1))-AVERAGE(OFFSET($H$3,0,0,'Données projet'!$E$16+1,1))</f>
        <v>270.30888762640245</v>
      </c>
      <c r="FK37" s="59">
        <f t="shared" si="48"/>
        <v>202.23783851977691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>
        <f>EXP(-LN(2)/35)*FQ36+(1-EXP(-LN(2)/35))/(LN(2)/35)*FM37*FN37*VLOOKUP('Données projet'!$B$16,Paramètres!$A$1:$I$89,3,0)*0.475*44/12</f>
        <v>1.978745209752732</v>
      </c>
      <c r="FR37" s="21">
        <f>EXP(-LN(2)/25)*FR36+(1-EXP(-LN(2)/25))/(LN(2)/25)*Calculateur!FM37*Calculateur!FO37*VLOOKUP('Données projet'!$B$16,Paramètres!$A$1:$I$89,3,0)*0.475*44/12</f>
        <v>11.004519566433949</v>
      </c>
      <c r="FS37" s="21">
        <f>EXP(-LN(2)/2)*FS36+(1-EXP(-LN(2)/2))/(LN(2)/2)*FM37*FP37*VLOOKUP('Données projet'!$B$16,Paramètres!$A$1:$I$89,3,0)*0.475*44/12</f>
        <v>4.623152146615646</v>
      </c>
      <c r="FT37" s="22">
        <f t="shared" si="24"/>
        <v>17.606416922802328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12.1</v>
      </c>
      <c r="FZ37" s="12">
        <f>IF('Données projet'!$A$244&gt;35,FZ36+FY37-GH36,IF(A37&lt;'Données projet'!$A$244,$FW$205^A37,IF(A37='Données projet'!$A$244,'Données projet'!$B$244,FZ36+FY37-GH36)))</f>
        <v>190.39999999999998</v>
      </c>
      <c r="GA37" s="17">
        <f>FZ37*VLOOKUP('Données projet'!$B$17,Paramètres!$A$1:$I$89,3,0)*VLOOKUP('Données projet'!$B$17,Paramètres!$A$1:$I$89,5,0)</f>
        <v>151.48223999999999</v>
      </c>
      <c r="GB37" s="13">
        <f t="shared" si="49"/>
        <v>38.915236966075291</v>
      </c>
      <c r="GC37" s="20">
        <f t="shared" si="25"/>
        <v>331.60893904924779</v>
      </c>
      <c r="GD37" s="59">
        <f t="shared" si="26"/>
        <v>624.94227238258111</v>
      </c>
      <c r="GE37" s="59">
        <f ca="1">AVERAGE(OFFSET($GD$3,0,0,'Données projet'!$E$17+1,1))-AVERAGE(OFFSET($H$3,0,0,'Données projet'!$E$17+1,1))</f>
        <v>260.20517190557814</v>
      </c>
      <c r="GF37" s="59">
        <f t="shared" si="50"/>
        <v>307.22009971147133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>
        <f>EXP(-LN(2)/35)*GL36+(1-EXP(-LN(2)/35))/(LN(2)/35)*GH37*GI37*VLOOKUP('Données projet'!$B$17,Paramètres!$A$1:$I$89,3,0)*0.475*44/12</f>
        <v>3.0144797193020492</v>
      </c>
      <c r="GM37" s="21">
        <f>EXP(-LN(2)/25)*GM36+(1-EXP(-LN(2)/25))/(LN(2)/25)*Calculateur!GH37*Calculateur!GJ37*VLOOKUP('Données projet'!$B$17,Paramètres!$A$1:$I$89,3,0)*0.475*44/12</f>
        <v>18.36555888417525</v>
      </c>
      <c r="GN37" s="21">
        <f>EXP(-LN(2)/2)*GN36+(1-EXP(-LN(2)/2))/(LN(2)/2)*GH37*GK37*VLOOKUP('Données projet'!$B$17,Paramètres!$A$1:$I$89,3,0)*0.475*44/12</f>
        <v>6.0097585631893216</v>
      </c>
      <c r="GO37" s="21">
        <f t="shared" si="27"/>
        <v>27.389797166666622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10.199999999999999</v>
      </c>
      <c r="GU37" s="12">
        <f>IF('Données projet'!$A$270&gt;35,GU36+GT37-HC36,IF(A37&lt;'Données projet'!$A$270,$GR$205^A37,IF(A37='Données projet'!$A$270,'Données projet'!$B$270,GU36+GT37-HC36)))</f>
        <v>158.79999999999993</v>
      </c>
      <c r="GV37" s="17">
        <f>GU37*VLOOKUP('Données projet'!$B$18,Paramètres!$A$1:$I$89,3,0)*VLOOKUP('Données projet'!$B$18,Paramètres!$A$1:$I$89,5,0)</f>
        <v>126.34127999999994</v>
      </c>
      <c r="GW37" s="13">
        <f t="shared" si="51"/>
        <v>33.14953705360643</v>
      </c>
      <c r="GX37" s="20">
        <f t="shared" si="28"/>
        <v>277.77983970169777</v>
      </c>
      <c r="GY37" s="59">
        <f t="shared" si="29"/>
        <v>571.11317303503108</v>
      </c>
      <c r="GZ37" s="59">
        <f ca="1">AVERAGE(OFFSET($GY$3,0,0,'Données projet'!$E$18+1,1))-AVERAGE(OFFSET($H$3,0,0,'Données projet'!$E$18+1,1))</f>
        <v>199.58763537752952</v>
      </c>
      <c r="HA37" s="59">
        <f t="shared" si="52"/>
        <v>242.62852778451929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>
        <f>EXP(-LN(2)/35)*HG36+(1-EXP(-LN(2)/35))/(LN(2)/35)*HC37*HD37*VLOOKUP('Données projet'!$B$18,Paramètres!$A$1:$I$89,3,0)*0.475*44/12</f>
        <v>0</v>
      </c>
      <c r="HH37" s="21">
        <f>EXP(-LN(2)/25)*HH36+(1-EXP(-LN(2)/25))/(LN(2)/25)*Calculateur!HC37*Calculateur!HE37*VLOOKUP('Données projet'!$B$18,Paramètres!$A$1:$I$89,3,0)*0.475*44/12</f>
        <v>9.2035217438859842</v>
      </c>
      <c r="HI37" s="21">
        <f>EXP(-LN(2)/2)*HI36+(1-EXP(-LN(2)/2))/(LN(2)/2)*HC37*HF37*VLOOKUP('Données projet'!$B$18,Paramètres!$A$1:$I$89,3,0)*0.475*44/12</f>
        <v>2.6903895983050519</v>
      </c>
      <c r="HJ37" s="22">
        <f t="shared" si="30"/>
        <v>11.893911342191036</v>
      </c>
    </row>
    <row r="38" spans="1:218" x14ac:dyDescent="0.2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31.121999999999986</v>
      </c>
      <c r="D38" s="11">
        <f t="shared" si="32"/>
        <v>9.612282066778798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314.44007209443271</v>
      </c>
      <c r="H38" s="67">
        <f t="shared" si="1"/>
        <v>364.27887459963966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22.884615384615376</v>
      </c>
      <c r="N38" s="13">
        <f>IF('Données projet'!$A$36&gt;35,N37+M38-V37,IF(A38&lt;'Données projet'!$A$36,$K$205^A38,IF(A38='Données projet'!$A$36,'Données projet'!$B$36,N37+M38-V37)))</f>
        <v>380.62307692307667</v>
      </c>
      <c r="O38" s="13">
        <f>N38*VLOOKUP('Données projet'!$B$9,Paramètres!$A$1:$I$89,3,0)*VLOOKUP('Données projet'!$B$9,Paramètres!$A$1:$I$89,5,0)</f>
        <v>212.76829999999987</v>
      </c>
      <c r="P38" s="13">
        <f t="shared" si="33"/>
        <v>52.540067037520458</v>
      </c>
      <c r="Q38" s="20">
        <f t="shared" si="53"/>
        <v>462.07873925701455</v>
      </c>
      <c r="R38" s="59">
        <f t="shared" si="0"/>
        <v>755.41207259034786</v>
      </c>
      <c r="S38" s="59">
        <f ca="1">AVERAGE(OFFSET($R$3,0,0,'Données projet'!$E$9+1,1))-AVERAGE(OFFSET($H$3,0,0,'Données projet'!$E$9+1,1))</f>
        <v>255.5374979188561</v>
      </c>
      <c r="T38" s="59">
        <f t="shared" si="34"/>
        <v>343.10418468620901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2.7987231182664107</v>
      </c>
      <c r="AA38" s="21">
        <f>EXP(-LN(2)/25)*AA37+(1-EXP(-LN(2)/25))/(LN(2)/25)*Calculateur!V38*Calculateur!X38*VLOOKUP('Données projet'!$B$9,Paramètres!$A$1:$I$89,3,0)*0.475*44/12</f>
        <v>13.894212576206922</v>
      </c>
      <c r="AB38" s="21">
        <f>EXP(-LN(2)/2)*AB37+(1-EXP(-LN(2)/2))/(LN(2)/2)*V38*Y38*VLOOKUP('Données projet'!$B$9,Paramètres!$A$1:$I$89,3,0)*0.475*44/12</f>
        <v>0.29922144089287023</v>
      </c>
      <c r="AC38" s="22">
        <f t="shared" si="3"/>
        <v>16.992157135366206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>
        <f>VLOOKUP(A38,'Données projet'!$A$61:$I$81,2,0)</f>
        <v>305.49230769230769</v>
      </c>
      <c r="AG38" s="12">
        <f>VLOOKUP(A38,'Données projet'!$A$61:$I$81,9,0)</f>
        <v>18.099999999999998</v>
      </c>
      <c r="AH38" s="12">
        <f t="array" ref="AH38">INDEX(AG:AG,MIN(IF(ISNUMBER(AG38:AG234),ROW(AG38:AG234),"")))</f>
        <v>18.099999999999998</v>
      </c>
      <c r="AI38" s="13">
        <f>IF('Données projet'!$A$62&gt;35,AI37+AH38-AQ37,IF(A38&lt;'Données projet'!$A$62,$AF$205^A38,IF(A38='Données projet'!$A$62,'Données projet'!$B$62,AI37+AH38-AQ37)))</f>
        <v>305.49230769230769</v>
      </c>
      <c r="AJ38" s="13">
        <f>AI38*VLOOKUP('Données projet'!$B$10,Paramètres!$A$1:$I$89,3,0)*VLOOKUP('Données projet'!$B$10,Paramètres!$A$1:$I$89,5,0)</f>
        <v>170.77019999999999</v>
      </c>
      <c r="AK38" s="13">
        <f t="shared" si="35"/>
        <v>43.26247735598961</v>
      </c>
      <c r="AL38" s="20">
        <f t="shared" si="4"/>
        <v>372.77357972834852</v>
      </c>
      <c r="AM38" s="59">
        <f t="shared" si="5"/>
        <v>666.10691306168178</v>
      </c>
      <c r="AN38" s="59">
        <f ca="1">AVERAGE(OFFSET($AM$3,0,0,'Données projet'!$E$10+1,1))-AVERAGE(OFFSET($H$3,0,0,'Données projet'!$E$10+1,1))</f>
        <v>224.7049802939942</v>
      </c>
      <c r="AO38" s="59">
        <f t="shared" si="36"/>
        <v>203.48513862195352</v>
      </c>
      <c r="AP38" s="15">
        <f>IF(ISNA(VLOOKUP(A38,'Données projet'!$A$61:$I$81,3,0)),0,VLOOKUP(A38,'Données projet'!$A$61:$I$81,3,0))</f>
        <v>3</v>
      </c>
      <c r="AQ38" s="15">
        <f>IF(ISNA(VLOOKUP(A38,'Données projet'!$A$61:$I$81,4,0)),0,VLOOKUP(A38,'Données projet'!$A$61:$I$81,4,0))</f>
        <v>70.5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2.0208148735244067</v>
      </c>
      <c r="AV38" s="21">
        <f>EXP(-LN(2)/25)*AV37+(1-EXP(-LN(2)/25))/(LN(2)/25)*Calculateur!AQ38*Calculateur!AS38*VLOOKUP('Données projet'!$B$10,Paramètres!$A$1:$I$89,3,0)*0.475*44/12</f>
        <v>16.997088445705117</v>
      </c>
      <c r="AW38" s="21">
        <f>EXP(-LN(2)/2)*AW37+(1-EXP(-LN(2)/2))/(LN(2)/2)*AQ38*AT38*VLOOKUP('Données projet'!$B$10,Paramètres!$A$1:$I$89,3,0)*0.475*44/12</f>
        <v>1.5840274816859721</v>
      </c>
      <c r="AX38" s="21">
        <f t="shared" si="6"/>
        <v>20.601930800915497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13.8</v>
      </c>
      <c r="BD38" s="12">
        <f>IF('Données projet'!$A$88&gt;35,BD37+BC38-BL37,IF(A38&lt;'Données projet'!$A$88,$BA$205^A38,IF(A38='Données projet'!$A$88,'Données projet'!$B$88,BD37+BC38-BL37)))</f>
        <v>245.00000000000006</v>
      </c>
      <c r="BE38" s="13">
        <f>BD38*VLOOKUP('Données projet'!$B$11,Paramètres!$A$1:$I$89,3,0)*VLOOKUP('Données projet'!$B$11,Paramètres!$A$1:$I$89,5,0)</f>
        <v>133.77000000000004</v>
      </c>
      <c r="BF38" s="13">
        <f t="shared" si="37"/>
        <v>34.86604096673306</v>
      </c>
      <c r="BG38" s="20">
        <f t="shared" si="7"/>
        <v>293.70777135039344</v>
      </c>
      <c r="BH38" s="59">
        <f t="shared" si="8"/>
        <v>587.04110468372676</v>
      </c>
      <c r="BI38" s="59">
        <f ca="1">AVERAGE(OFFSET($BH$3,0,0,'Données projet'!$E$11+1,1))-AVERAGE(OFFSET($H$3,0,0,'Données projet'!$E$11+1,1))</f>
        <v>210.04871822652808</v>
      </c>
      <c r="BJ38" s="59">
        <f t="shared" si="38"/>
        <v>250.17540614049324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6.612676030061869</v>
      </c>
      <c r="BQ38" s="21">
        <f>EXP(-LN(2)/25)*BQ37+(1-EXP(-LN(2)/25))/(LN(2)/25)*Calculateur!BL38*Calculateur!BN38*VLOOKUP('Données projet'!$B$11,Paramètres!$A$1:$I$89,3,0)*0.475*44/12</f>
        <v>24.228043387621355</v>
      </c>
      <c r="BR38" s="21">
        <f>EXP(-LN(2)/2)*BR37+(1-EXP(-LN(2)/2))/(LN(2)/2)*BL38*BO38*VLOOKUP('Données projet'!$B$11,Paramètres!$A$1:$I$89,3,0)*0.475*44/12</f>
        <v>3.8102252217804216</v>
      </c>
      <c r="BS38" s="22">
        <f t="shared" si="9"/>
        <v>34.650944639463646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12.1</v>
      </c>
      <c r="BY38" s="12">
        <f>IF('Données projet'!$A$114&gt;35,BY37+BX38-CG37,IF(A38&lt;'Données projet'!$A$114,$BV$205^A38,IF(A38='Données projet'!$A$114,'Données projet'!$B$114,BY37+BX38-CG37)))</f>
        <v>210.5</v>
      </c>
      <c r="BZ38" s="13">
        <f>BY38*VLOOKUP('Données projet'!$B$12,Paramètres!$A$1:$I$89,3,0)*VLOOKUP('Données projet'!$B$12,Paramètres!$A$1:$I$89,5,0)</f>
        <v>114.93299999999999</v>
      </c>
      <c r="CA38" s="13">
        <f t="shared" si="39"/>
        <v>30.490253816842159</v>
      </c>
      <c r="CB38" s="20">
        <f t="shared" si="10"/>
        <v>253.27883373100008</v>
      </c>
      <c r="CC38" s="59">
        <f t="shared" si="11"/>
        <v>546.61216706433333</v>
      </c>
      <c r="CD38" s="59">
        <f ca="1">AVERAGE(OFFSET($CC$3,0,0,'Données projet'!$E$12+1,1))-AVERAGE(OFFSET($H$3,0,0,'Données projet'!$E$12+1,1))</f>
        <v>168.72306536277267</v>
      </c>
      <c r="CE38" s="59">
        <f t="shared" si="40"/>
        <v>203.35476578922339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2.7552816791924464</v>
      </c>
      <c r="CL38" s="21">
        <f>EXP(-LN(2)/25)*CL37+(1-EXP(-LN(2)/25))/(LN(2)/25)*Calculateur!CG38*Calculateur!CI38*VLOOKUP('Données projet'!$B$12,Paramètres!$A$1:$I$89,3,0)*0.475*44/12</f>
        <v>20.009623454581611</v>
      </c>
      <c r="CM38" s="21">
        <f>EXP(-LN(2)/2)*CM37+(1-EXP(-LN(2)/2))/(LN(2)/2)*CG38*CJ38*VLOOKUP('Données projet'!$B$12,Paramètres!$A$1:$I$89,3,0)*0.475*44/12</f>
        <v>3.5397494329796606</v>
      </c>
      <c r="CN38" s="22">
        <f t="shared" si="12"/>
        <v>26.304654566753719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5.6730769230769225</v>
      </c>
      <c r="CT38" s="12">
        <f>IF('Données projet'!$A$140&gt;35,CT37+CS38-DB37,IF(A38&lt;'Données projet'!$A$140,$CQ$205^A38,IF(A38='Données projet'!$A$140,'Données projet'!$B$140,CT37+CS38-DB37)))</f>
        <v>198.55769230769238</v>
      </c>
      <c r="CU38" s="17">
        <f>CT38*VLOOKUP('Données projet'!$B$13,Paramètres!$A$1:$I$89,3,0)*VLOOKUP('Données projet'!$B$13,Paramètres!$A$1:$I$89,5,0)</f>
        <v>95.506250000000037</v>
      </c>
      <c r="CV38" s="13">
        <f t="shared" si="41"/>
        <v>25.888575671025041</v>
      </c>
      <c r="CW38" s="20">
        <f t="shared" si="13"/>
        <v>211.42932137703534</v>
      </c>
      <c r="CX38" s="59">
        <f t="shared" si="14"/>
        <v>504.76265471036868</v>
      </c>
      <c r="CY38" s="59">
        <f ca="1">AVERAGE(OFFSET($CX$3,0,0,'Données projet'!$E$13+1,1))-AVERAGE(OFFSET($H$3,0,0,'Données projet'!$E$13+1,1))</f>
        <v>304.15237106473313</v>
      </c>
      <c r="CZ38" s="59">
        <f t="shared" si="42"/>
        <v>120.85458928724336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>
        <f>EXP(-LN(2)/35)*DF37+(1-EXP(-LN(2)/35))/(LN(2)/35)*DB38*DC38*VLOOKUP('Données projet'!$B$13,Paramètres!$A$1:$I$89,3,0)*0.475*44/12</f>
        <v>0</v>
      </c>
      <c r="DG38" s="21">
        <f>EXP(-LN(2)/25)*DG37+(1-EXP(-LN(2)/25))/(LN(2)/25)*Calculateur!DB38*Calculateur!DD38*VLOOKUP('Données projet'!$B$13,Paramètres!$A$1:$I$89,3,0)*0.475*44/12</f>
        <v>0</v>
      </c>
      <c r="DH38" s="21">
        <f>EXP(-LN(2)/2)*DH37+(1-EXP(-LN(2)/2))/(LN(2)/2)*DB38*DE38*VLOOKUP('Données projet'!$B$13,Paramètres!$A$1:$I$89,3,0)*0.475*44/12</f>
        <v>0</v>
      </c>
      <c r="DI38" s="22">
        <f t="shared" si="15"/>
        <v>0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3.8846153846153846</v>
      </c>
      <c r="DO38" s="12">
        <f>IF('Données projet'!$A$166&gt;35,DO37+DN38-DW37,IF(A38&lt;'Données projet'!$A$166,$DL$205^A38,IF(A38='Données projet'!$A$166,'Données projet'!$B$166,DO37+DN38-DW37)))</f>
        <v>135.96153846153851</v>
      </c>
      <c r="DP38" s="17">
        <f>DO38*VLOOKUP('Données projet'!$B$14,Paramètres!$A$1:$I$89,3,0)*VLOOKUP('Données projet'!$B$14,Paramètres!$A$1:$I$89,5,0)</f>
        <v>65.397500000000022</v>
      </c>
      <c r="DQ38" s="13">
        <f t="shared" si="43"/>
        <v>18.526009991856291</v>
      </c>
      <c r="DR38" s="20">
        <f t="shared" si="16"/>
        <v>146.16677990248306</v>
      </c>
      <c r="DS38" s="59">
        <f t="shared" si="17"/>
        <v>439.50011323581634</v>
      </c>
      <c r="DT38" s="59">
        <f ca="1">AVERAGE(OFFSET($DS$3,0,0,'Données projet'!$E$14+1,1))-AVERAGE(OFFSET($H$3,0,0,'Données projet'!$E$14+1,1))</f>
        <v>91.053246648097399</v>
      </c>
      <c r="DU38" s="59">
        <f t="shared" si="44"/>
        <v>64.716270355703955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>
        <f>EXP(-LN(2)/35)*EA37+(1-EXP(-LN(2)/35))/(LN(2)/35)*DW38*DX38*VLOOKUP('Données projet'!$B$14,Paramètres!$A$1:$I$89,3,0)*0.475*44/12</f>
        <v>0</v>
      </c>
      <c r="EB38" s="21">
        <f>EXP(-LN(2)/25)*EB37+(1-EXP(-LN(2)/25))/(LN(2)/25)*Calculateur!DW38*Calculateur!DY38*VLOOKUP('Données projet'!$B$14,Paramètres!$A$1:$I$89,3,0)*0.475*44/12</f>
        <v>0</v>
      </c>
      <c r="EC38" s="21">
        <f>EXP(-LN(2)/2)*EC37+(1-EXP(-LN(2)/2))/(LN(2)/2)*DW38*DZ38*VLOOKUP('Données projet'!$B$14,Paramètres!$A$1:$I$89,3,0)*0.475*44/12</f>
        <v>0</v>
      </c>
      <c r="ED38" s="22">
        <f t="shared" si="18"/>
        <v>0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18.2</v>
      </c>
      <c r="EJ38" s="12">
        <f>IF('Données projet'!$A$192&gt;35,EJ37+EI38-ER37,IF(A38&lt;'Données projet'!$A$192,$EG$205^A38,IF(A38='Données projet'!$A$192,'Données projet'!$B$192,EJ37+EI38-ER37)))</f>
        <v>250</v>
      </c>
      <c r="EK38" s="17">
        <f>EJ38*VLOOKUP('Données projet'!$B$15,Paramètres!$A$1:$I$89,3,0)*VLOOKUP('Données projet'!$B$15,Paramètres!$A$1:$I$89,5,0)</f>
        <v>149.5</v>
      </c>
      <c r="EL38" s="13">
        <f t="shared" si="45"/>
        <v>38.464936755681478</v>
      </c>
      <c r="EM38" s="20">
        <f t="shared" si="19"/>
        <v>327.3722648494786</v>
      </c>
      <c r="EN38" s="59">
        <f t="shared" si="20"/>
        <v>620.70559818281185</v>
      </c>
      <c r="EO38" s="59">
        <f ca="1">AVERAGE(OFFSET($EN$3,0,0,'Données projet'!$E$15+1,1))-AVERAGE(OFFSET($H$3,0,0,'Données projet'!$E$15+1,1))</f>
        <v>316.58509520829671</v>
      </c>
      <c r="EP38" s="59">
        <f t="shared" si="46"/>
        <v>240.71332110643596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>
        <f>EXP(-LN(2)/35)*EV37+(1-EXP(-LN(2)/35))/(LN(2)/35)*ER38*ES38*VLOOKUP('Données projet'!$B$15,Paramètres!$A$1:$I$89,3,0)*0.475*44/12</f>
        <v>2.2955994806741153</v>
      </c>
      <c r="EW38" s="21">
        <f>EXP(-LN(2)/25)*EW37+(1-EXP(-LN(2)/25))/(LN(2)/25)*Calculateur!ER38*Calculateur!ET38*VLOOKUP('Données projet'!$B$15,Paramètres!$A$1:$I$89,3,0)*0.475*44/12</f>
        <v>13.291502206978382</v>
      </c>
      <c r="EX38" s="21">
        <f>EXP(-LN(2)/2)*EX37+(1-EXP(-LN(2)/2))/(LN(2)/2)*ER38*EU38*VLOOKUP('Données projet'!$B$15,Paramètres!$A$1:$I$89,3,0)*0.475*44/12</f>
        <v>3.8783645649186607</v>
      </c>
      <c r="EY38" s="22">
        <f t="shared" si="21"/>
        <v>19.465466252571158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15.7</v>
      </c>
      <c r="FE38" s="12">
        <f>IF('Données projet'!$A$218&gt;35,FE37+FD38-FM37,IF(A38&lt;'Données projet'!$A$218,$FB$205^A38,IF(A38='Données projet'!$A$218,'Données projet'!$B$218,FE37+FD38-FM37)))</f>
        <v>218.5</v>
      </c>
      <c r="FF38" s="17">
        <f>FE38*VLOOKUP('Données projet'!$B$16,Paramètres!$A$1:$I$89,3,0)*VLOOKUP('Données projet'!$B$16,Paramètres!$A$1:$I$89,5,0)</f>
        <v>130.66300000000001</v>
      </c>
      <c r="FG38" s="13">
        <f t="shared" si="47"/>
        <v>34.149513779485744</v>
      </c>
      <c r="FH38" s="20">
        <f t="shared" si="22"/>
        <v>287.04846149927101</v>
      </c>
      <c r="FI38" s="59">
        <f t="shared" si="23"/>
        <v>580.38179483260433</v>
      </c>
      <c r="FJ38" s="59">
        <f ca="1">AVERAGE(OFFSET($FI$3,0,0,'Données projet'!$E$16+1,1))-AVERAGE(OFFSET($H$3,0,0,'Données projet'!$E$16+1,1))</f>
        <v>270.30888762640245</v>
      </c>
      <c r="FK38" s="59">
        <f t="shared" si="48"/>
        <v>202.23783851977691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>
        <f>EXP(-LN(2)/35)*FQ37+(1-EXP(-LN(2)/35))/(LN(2)/35)*FM38*FN38*VLOOKUP('Données projet'!$B$16,Paramètres!$A$1:$I$89,3,0)*0.475*44/12</f>
        <v>1.9399432231048859</v>
      </c>
      <c r="FR38" s="21">
        <f>EXP(-LN(2)/25)*FR37+(1-EXP(-LN(2)/25))/(LN(2)/25)*Calculateur!FM38*Calculateur!FO38*VLOOKUP('Données projet'!$B$16,Paramètres!$A$1:$I$89,3,0)*0.475*44/12</f>
        <v>10.70360040018728</v>
      </c>
      <c r="FS38" s="21">
        <f>EXP(-LN(2)/2)*FS37+(1-EXP(-LN(2)/2))/(LN(2)/2)*FM38*FP38*VLOOKUP('Données projet'!$B$16,Paramètres!$A$1:$I$89,3,0)*0.475*44/12</f>
        <v>3.2690622333290671</v>
      </c>
      <c r="FT38" s="22">
        <f t="shared" si="24"/>
        <v>15.912605856621234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12.1</v>
      </c>
      <c r="FZ38" s="12">
        <f>IF('Données projet'!$A$244&gt;35,FZ37+FY38-GH37,IF(A38&lt;'Données projet'!$A$244,$FW$205^A38,IF(A38='Données projet'!$A$244,'Données projet'!$B$244,FZ37+FY38-GH37)))</f>
        <v>202.49999999999997</v>
      </c>
      <c r="GA38" s="17">
        <f>FZ38*VLOOKUP('Données projet'!$B$17,Paramètres!$A$1:$I$89,3,0)*VLOOKUP('Données projet'!$B$17,Paramètres!$A$1:$I$89,5,0)</f>
        <v>161.10899999999998</v>
      </c>
      <c r="GB38" s="13">
        <f t="shared" si="49"/>
        <v>41.092552806229541</v>
      </c>
      <c r="GC38" s="20">
        <f t="shared" si="25"/>
        <v>352.16770447084974</v>
      </c>
      <c r="GD38" s="59">
        <f t="shared" si="26"/>
        <v>645.50103780418306</v>
      </c>
      <c r="GE38" s="59">
        <f ca="1">AVERAGE(OFFSET($GD$3,0,0,'Données projet'!$E$17+1,1))-AVERAGE(OFFSET($H$3,0,0,'Données projet'!$E$17+1,1))</f>
        <v>260.20517190557814</v>
      </c>
      <c r="GF38" s="59">
        <f t="shared" si="50"/>
        <v>307.22009971147133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>
        <f>EXP(-LN(2)/35)*GL37+(1-EXP(-LN(2)/35))/(LN(2)/35)*GH38*GI38*VLOOKUP('Données projet'!$B$17,Paramètres!$A$1:$I$89,3,0)*0.475*44/12</f>
        <v>2.9553676106576132</v>
      </c>
      <c r="GM38" s="21">
        <f>EXP(-LN(2)/25)*GM37+(1-EXP(-LN(2)/25))/(LN(2)/25)*Calculateur!GH38*Calculateur!GJ38*VLOOKUP('Données projet'!$B$17,Paramètres!$A$1:$I$89,3,0)*0.475*44/12</f>
        <v>17.863351710684711</v>
      </c>
      <c r="GN38" s="21">
        <f>EXP(-LN(2)/2)*GN37+(1-EXP(-LN(2)/2))/(LN(2)/2)*GH38*GK38*VLOOKUP('Données projet'!$B$17,Paramètres!$A$1:$I$89,3,0)*0.475*44/12</f>
        <v>4.2495410333250918</v>
      </c>
      <c r="GO38" s="21">
        <f t="shared" si="27"/>
        <v>25.068260354667416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10.199999999999999</v>
      </c>
      <c r="GU38" s="12">
        <f>IF('Données projet'!$A$270&gt;35,GU37+GT38-HC37,IF(A38&lt;'Données projet'!$A$270,$GR$205^A38,IF(A38='Données projet'!$A$270,'Données projet'!$B$270,GU37+GT38-HC37)))</f>
        <v>168.99999999999991</v>
      </c>
      <c r="GV38" s="17">
        <f>GU38*VLOOKUP('Données projet'!$B$18,Paramètres!$A$1:$I$89,3,0)*VLOOKUP('Données projet'!$B$18,Paramètres!$A$1:$I$89,5,0)</f>
        <v>134.45639999999995</v>
      </c>
      <c r="GW38" s="13">
        <f t="shared" si="51"/>
        <v>35.024073835162383</v>
      </c>
      <c r="GX38" s="20">
        <f t="shared" si="28"/>
        <v>295.17849192957436</v>
      </c>
      <c r="GY38" s="59">
        <f t="shared" si="29"/>
        <v>588.51182526290768</v>
      </c>
      <c r="GZ38" s="59">
        <f ca="1">AVERAGE(OFFSET($GY$3,0,0,'Données projet'!$E$18+1,1))-AVERAGE(OFFSET($H$3,0,0,'Données projet'!$E$18+1,1))</f>
        <v>199.58763537752952</v>
      </c>
      <c r="HA38" s="59">
        <f t="shared" si="52"/>
        <v>242.62852778451929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>
        <f>EXP(-LN(2)/35)*HG37+(1-EXP(-LN(2)/35))/(LN(2)/35)*HC38*HD38*VLOOKUP('Données projet'!$B$18,Paramètres!$A$1:$I$89,3,0)*0.475*44/12</f>
        <v>0</v>
      </c>
      <c r="HH38" s="21">
        <f>EXP(-LN(2)/25)*HH37+(1-EXP(-LN(2)/25))/(LN(2)/25)*Calculateur!HC38*Calculateur!HE38*VLOOKUP('Données projet'!$B$18,Paramètres!$A$1:$I$89,3,0)*0.475*44/12</f>
        <v>8.9518509578072489</v>
      </c>
      <c r="HI38" s="21">
        <f>EXP(-LN(2)/2)*HI37+(1-EXP(-LN(2)/2))/(LN(2)/2)*HC38*HF38*VLOOKUP('Données projet'!$B$18,Paramètres!$A$1:$I$89,3,0)*0.475*44/12</f>
        <v>1.902392728995254</v>
      </c>
      <c r="HJ38" s="22">
        <f t="shared" si="30"/>
        <v>10.854243686802503</v>
      </c>
    </row>
    <row r="39" spans="1:218" x14ac:dyDescent="0.2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32.011199999999988</v>
      </c>
      <c r="D39" s="11">
        <f t="shared" si="32"/>
        <v>9.8545516964045738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323.17422362136853</v>
      </c>
      <c r="H39" s="67">
        <f t="shared" si="1"/>
        <v>366.24951753790458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>
        <f>VLOOKUP(A39,'Données projet'!$A$35:$I$55,2,0)</f>
        <v>403.50769230769225</v>
      </c>
      <c r="L39" s="12">
        <f>VLOOKUP(A39,'Données projet'!$A$35:$I$55,9,0)</f>
        <v>22.884615384615376</v>
      </c>
      <c r="M39" s="12">
        <f t="array" ref="M39">INDEX(L:L,MIN(IF(ISNUMBER(L39:L235),ROW(L39:L235),"")))</f>
        <v>22.884615384615376</v>
      </c>
      <c r="N39" s="13">
        <f>IF('Données projet'!$A$36&gt;35,N38+M39-V38,IF(A39&lt;'Données projet'!$A$36,$K$205^A39,IF(A39='Données projet'!$A$36,'Données projet'!$B$36,N38+M39-V38)))</f>
        <v>403.50769230769203</v>
      </c>
      <c r="O39" s="13">
        <f>N39*VLOOKUP('Données projet'!$B$9,Paramètres!$A$1:$I$89,3,0)*VLOOKUP('Données projet'!$B$9,Paramètres!$A$1:$I$89,5,0)</f>
        <v>225.56079999999986</v>
      </c>
      <c r="P39" s="13">
        <f t="shared" si="33"/>
        <v>55.321736658663617</v>
      </c>
      <c r="Q39" s="20">
        <f t="shared" si="53"/>
        <v>489.20375134717227</v>
      </c>
      <c r="R39" s="59">
        <f t="shared" si="0"/>
        <v>782.53708468050559</v>
      </c>
      <c r="S39" s="59">
        <f ca="1">AVERAGE(OFFSET($R$3,0,0,'Données projet'!$E$9+1,1))-AVERAGE(OFFSET($H$3,0,0,'Données projet'!$E$9+1,1))</f>
        <v>255.5374979188561</v>
      </c>
      <c r="T39" s="59">
        <f t="shared" si="34"/>
        <v>343.10418468620901</v>
      </c>
      <c r="U39" s="15">
        <f>IF(ISNA(VLOOKUP(A39,'Données projet'!$A$35:$I$55,3,0)),0,VLOOKUP(A39,'Données projet'!$A$35:$I$55,3,0))</f>
        <v>4</v>
      </c>
      <c r="V39" s="15">
        <f>IF(ISNA(VLOOKUP(A39,'Données projet'!$A$35:$I$55,4,0)),0,VLOOKUP(A39,'Données projet'!$A$35:$I$55,4,0))</f>
        <v>69.3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2.7438418649697511</v>
      </c>
      <c r="AA39" s="21">
        <f>EXP(-LN(2)/25)*AA38+(1-EXP(-LN(2)/25))/(LN(2)/25)*Calculateur!V39*Calculateur!X39*VLOOKUP('Données projet'!$B$9,Paramètres!$A$1:$I$89,3,0)*0.475*44/12</f>
        <v>13.51427460264566</v>
      </c>
      <c r="AB39" s="21">
        <f>EXP(-LN(2)/2)*AB38+(1-EXP(-LN(2)/2))/(LN(2)/2)*V39*Y39*VLOOKUP('Données projet'!$B$9,Paramètres!$A$1:$I$89,3,0)*0.475*44/12</f>
        <v>0.21158150993175825</v>
      </c>
      <c r="AC39" s="22">
        <f t="shared" si="3"/>
        <v>16.46969797754717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18.229670329670324</v>
      </c>
      <c r="AI39" s="13">
        <f>IF('Données projet'!$A$62&gt;35,AI38+AH39-AQ38,IF(A39&lt;'Données projet'!$A$62,$AF$205^A39,IF(A39='Données projet'!$A$62,'Données projet'!$B$62,AI38+AH39-AQ38)))</f>
        <v>253.22197802197803</v>
      </c>
      <c r="AJ39" s="13">
        <f>AI39*VLOOKUP('Données projet'!$B$10,Paramètres!$A$1:$I$89,3,0)*VLOOKUP('Données projet'!$B$10,Paramètres!$A$1:$I$89,5,0)</f>
        <v>141.55108571428573</v>
      </c>
      <c r="AK39" s="13">
        <f t="shared" si="35"/>
        <v>36.652109269178766</v>
      </c>
      <c r="AL39" s="20">
        <f t="shared" si="4"/>
        <v>310.37056459620067</v>
      </c>
      <c r="AM39" s="59">
        <f t="shared" si="5"/>
        <v>603.70389792953392</v>
      </c>
      <c r="AN39" s="59">
        <f ca="1">AVERAGE(OFFSET($AM$3,0,0,'Données projet'!$E$10+1,1))-AVERAGE(OFFSET($H$3,0,0,'Données projet'!$E$10+1,1))</f>
        <v>224.7049802939942</v>
      </c>
      <c r="AO39" s="59">
        <f t="shared" si="36"/>
        <v>203.48513862195352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1.9811879264299592</v>
      </c>
      <c r="AV39" s="21">
        <f>EXP(-LN(2)/25)*AV38+(1-EXP(-LN(2)/25))/(LN(2)/25)*Calculateur!AQ39*Calculateur!AS39*VLOOKUP('Données projet'!$B$10,Paramètres!$A$1:$I$89,3,0)*0.475*44/12</f>
        <v>16.532302168319276</v>
      </c>
      <c r="AW39" s="21">
        <f>EXP(-LN(2)/2)*AW38+(1-EXP(-LN(2)/2))/(LN(2)/2)*AQ39*AT39*VLOOKUP('Données projet'!$B$10,Paramètres!$A$1:$I$89,3,0)*0.475*44/12</f>
        <v>1.1200765738860006</v>
      </c>
      <c r="AX39" s="21">
        <f t="shared" si="6"/>
        <v>19.633566668635236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13.8</v>
      </c>
      <c r="BD39" s="12">
        <f>IF('Données projet'!$A$88&gt;35,BD38+BC39-BL38,IF(A39&lt;'Données projet'!$A$88,$BA$205^A39,IF(A39='Données projet'!$A$88,'Données projet'!$B$88,BD38+BC39-BL38)))</f>
        <v>258.80000000000007</v>
      </c>
      <c r="BE39" s="13">
        <f>BD39*VLOOKUP('Données projet'!$B$11,Paramètres!$A$1:$I$89,3,0)*VLOOKUP('Données projet'!$B$11,Paramètres!$A$1:$I$89,5,0)</f>
        <v>141.30480000000003</v>
      </c>
      <c r="BF39" s="13">
        <f t="shared" si="37"/>
        <v>36.595755275288994</v>
      </c>
      <c r="BG39" s="20">
        <f t="shared" si="7"/>
        <v>309.84346710446169</v>
      </c>
      <c r="BH39" s="59">
        <f t="shared" si="8"/>
        <v>603.17680043779501</v>
      </c>
      <c r="BI39" s="59">
        <f ca="1">AVERAGE(OFFSET($BH$3,0,0,'Données projet'!$E$11+1,1))-AVERAGE(OFFSET($H$3,0,0,'Données projet'!$E$11+1,1))</f>
        <v>210.04871822652808</v>
      </c>
      <c r="BJ39" s="59">
        <f t="shared" si="38"/>
        <v>250.17540614049324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6.4830054864464755</v>
      </c>
      <c r="BQ39" s="21">
        <f>EXP(-LN(2)/25)*BQ38+(1-EXP(-LN(2)/25))/(LN(2)/25)*Calculateur!BL39*Calculateur!BN39*VLOOKUP('Données projet'!$B$11,Paramètres!$A$1:$I$89,3,0)*0.475*44/12</f>
        <v>23.565526267089421</v>
      </c>
      <c r="BR39" s="21">
        <f>EXP(-LN(2)/2)*BR38+(1-EXP(-LN(2)/2))/(LN(2)/2)*BL39*BO39*VLOOKUP('Données projet'!$B$11,Paramètres!$A$1:$I$89,3,0)*0.475*44/12</f>
        <v>2.6942360921689534</v>
      </c>
      <c r="BS39" s="22">
        <f t="shared" si="9"/>
        <v>32.742767845704847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12.1</v>
      </c>
      <c r="BY39" s="12">
        <f>IF('Données projet'!$A$114&gt;35,BY38+BX39-CG38,IF(A39&lt;'Données projet'!$A$114,$BV$205^A39,IF(A39='Données projet'!$A$114,'Données projet'!$B$114,BY38+BX39-CG38)))</f>
        <v>222.6</v>
      </c>
      <c r="BZ39" s="13">
        <f>BY39*VLOOKUP('Données projet'!$B$12,Paramètres!$A$1:$I$89,3,0)*VLOOKUP('Données projet'!$B$12,Paramètres!$A$1:$I$89,5,0)</f>
        <v>121.53959999999999</v>
      </c>
      <c r="CA39" s="13">
        <f t="shared" si="39"/>
        <v>32.03381885060562</v>
      </c>
      <c r="CB39" s="20">
        <f t="shared" si="10"/>
        <v>267.47370449813809</v>
      </c>
      <c r="CC39" s="59">
        <f t="shared" si="11"/>
        <v>560.80703783147146</v>
      </c>
      <c r="CD39" s="59">
        <f ca="1">AVERAGE(OFFSET($CC$3,0,0,'Données projet'!$E$12+1,1))-AVERAGE(OFFSET($H$3,0,0,'Données projet'!$E$12+1,1))</f>
        <v>168.72306536277267</v>
      </c>
      <c r="CE39" s="59">
        <f t="shared" si="40"/>
        <v>203.35476578922339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2.7012522860193657</v>
      </c>
      <c r="CL39" s="21">
        <f>EXP(-LN(2)/25)*CL38+(1-EXP(-LN(2)/25))/(LN(2)/25)*Calculateur!CG39*Calculateur!CI39*VLOOKUP('Données projet'!$B$12,Paramètres!$A$1:$I$89,3,0)*0.475*44/12</f>
        <v>19.46245924895571</v>
      </c>
      <c r="CM39" s="21">
        <f>EXP(-LN(2)/2)*CM38+(1-EXP(-LN(2)/2))/(LN(2)/2)*CG39*CJ39*VLOOKUP('Données projet'!$B$12,Paramètres!$A$1:$I$89,3,0)*0.475*44/12</f>
        <v>2.5029808277611547</v>
      </c>
      <c r="CN39" s="22">
        <f t="shared" si="12"/>
        <v>24.666692362736228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5.6730769230769225</v>
      </c>
      <c r="CT39" s="12">
        <f>IF('Données projet'!$A$140&gt;35,CT38+CS39-DB38,IF(A39&lt;'Données projet'!$A$140,$CQ$205^A39,IF(A39='Données projet'!$A$140,'Données projet'!$B$140,CT38+CS39-DB38)))</f>
        <v>204.23076923076931</v>
      </c>
      <c r="CU39" s="17">
        <f>CT39*VLOOKUP('Données projet'!$B$13,Paramètres!$A$1:$I$89,3,0)*VLOOKUP('Données projet'!$B$13,Paramètres!$A$1:$I$89,5,0)</f>
        <v>98.235000000000042</v>
      </c>
      <c r="CV39" s="13">
        <f t="shared" si="41"/>
        <v>26.541075836520079</v>
      </c>
      <c r="CW39" s="20">
        <f t="shared" si="13"/>
        <v>217.31833208193919</v>
      </c>
      <c r="CX39" s="59">
        <f t="shared" si="14"/>
        <v>510.65166541527253</v>
      </c>
      <c r="CY39" s="59">
        <f ca="1">AVERAGE(OFFSET($CX$3,0,0,'Données projet'!$E$13+1,1))-AVERAGE(OFFSET($H$3,0,0,'Données projet'!$E$13+1,1))</f>
        <v>304.15237106473313</v>
      </c>
      <c r="CZ39" s="59">
        <f t="shared" si="42"/>
        <v>120.85458928724336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>
        <f>EXP(-LN(2)/35)*DF38+(1-EXP(-LN(2)/35))/(LN(2)/35)*DB39*DC39*VLOOKUP('Données projet'!$B$13,Paramètres!$A$1:$I$89,3,0)*0.475*44/12</f>
        <v>0</v>
      </c>
      <c r="DG39" s="21">
        <f>EXP(-LN(2)/25)*DG38+(1-EXP(-LN(2)/25))/(LN(2)/25)*Calculateur!DB39*Calculateur!DD39*VLOOKUP('Données projet'!$B$13,Paramètres!$A$1:$I$89,3,0)*0.475*44/12</f>
        <v>0</v>
      </c>
      <c r="DH39" s="21">
        <f>EXP(-LN(2)/2)*DH38+(1-EXP(-LN(2)/2))/(LN(2)/2)*DB39*DE39*VLOOKUP('Données projet'!$B$13,Paramètres!$A$1:$I$89,3,0)*0.475*44/12</f>
        <v>0</v>
      </c>
      <c r="DI39" s="22">
        <f t="shared" si="15"/>
        <v>0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3.8846153846153846</v>
      </c>
      <c r="DO39" s="12">
        <f>IF('Données projet'!$A$166&gt;35,DO38+DN39-DW38,IF(A39&lt;'Données projet'!$A$166,$DL$205^A39,IF(A39='Données projet'!$A$166,'Données projet'!$B$166,DO38+DN39-DW38)))</f>
        <v>139.8461538461539</v>
      </c>
      <c r="DP39" s="17">
        <f>DO39*VLOOKUP('Données projet'!$B$14,Paramètres!$A$1:$I$89,3,0)*VLOOKUP('Données projet'!$B$14,Paramètres!$A$1:$I$89,5,0)</f>
        <v>67.26600000000002</v>
      </c>
      <c r="DQ39" s="13">
        <f t="shared" si="43"/>
        <v>18.992942770980889</v>
      </c>
      <c r="DR39" s="20">
        <f t="shared" si="16"/>
        <v>150.23432532612506</v>
      </c>
      <c r="DS39" s="59">
        <f t="shared" si="17"/>
        <v>443.5676586594584</v>
      </c>
      <c r="DT39" s="59">
        <f ca="1">AVERAGE(OFFSET($DS$3,0,0,'Données projet'!$E$14+1,1))-AVERAGE(OFFSET($H$3,0,0,'Données projet'!$E$14+1,1))</f>
        <v>91.053246648097399</v>
      </c>
      <c r="DU39" s="59">
        <f t="shared" si="44"/>
        <v>64.716270355703955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>
        <f>EXP(-LN(2)/35)*EA38+(1-EXP(-LN(2)/35))/(LN(2)/35)*DW39*DX39*VLOOKUP('Données projet'!$B$14,Paramètres!$A$1:$I$89,3,0)*0.475*44/12</f>
        <v>0</v>
      </c>
      <c r="EB39" s="21">
        <f>EXP(-LN(2)/25)*EB38+(1-EXP(-LN(2)/25))/(LN(2)/25)*Calculateur!DW39*Calculateur!DY39*VLOOKUP('Données projet'!$B$14,Paramètres!$A$1:$I$89,3,0)*0.475*44/12</f>
        <v>0</v>
      </c>
      <c r="EC39" s="21">
        <f>EXP(-LN(2)/2)*EC38+(1-EXP(-LN(2)/2))/(LN(2)/2)*DW39*DZ39*VLOOKUP('Données projet'!$B$14,Paramètres!$A$1:$I$89,3,0)*0.475*44/12</f>
        <v>0</v>
      </c>
      <c r="ED39" s="22">
        <f t="shared" si="18"/>
        <v>0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18.2</v>
      </c>
      <c r="EJ39" s="12">
        <f>IF('Données projet'!$A$192&gt;35,EJ38+EI39-ER38,IF(A39&lt;'Données projet'!$A$192,$EG$205^A39,IF(A39='Données projet'!$A$192,'Données projet'!$B$192,EJ38+EI39-ER38)))</f>
        <v>268.2</v>
      </c>
      <c r="EK39" s="17">
        <f>EJ39*VLOOKUP('Données projet'!$B$15,Paramètres!$A$1:$I$89,3,0)*VLOOKUP('Données projet'!$B$15,Paramètres!$A$1:$I$89,5,0)</f>
        <v>160.3836</v>
      </c>
      <c r="EL39" s="13">
        <f t="shared" si="45"/>
        <v>40.929025395397886</v>
      </c>
      <c r="EM39" s="20">
        <f t="shared" si="19"/>
        <v>350.61948923031804</v>
      </c>
      <c r="EN39" s="59">
        <f t="shared" si="20"/>
        <v>643.95282256365135</v>
      </c>
      <c r="EO39" s="59">
        <f ca="1">AVERAGE(OFFSET($EN$3,0,0,'Données projet'!$E$15+1,1))-AVERAGE(OFFSET($H$3,0,0,'Données projet'!$E$15+1,1))</f>
        <v>316.58509520829671</v>
      </c>
      <c r="EP39" s="59">
        <f t="shared" si="46"/>
        <v>240.71332110643596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>
        <f>EXP(-LN(2)/35)*EV38+(1-EXP(-LN(2)/35))/(LN(2)/35)*ER39*ES39*VLOOKUP('Données projet'!$B$15,Paramètres!$A$1:$I$89,3,0)*0.475*44/12</f>
        <v>2.2505841750355233</v>
      </c>
      <c r="EW39" s="21">
        <f>EXP(-LN(2)/25)*EW38+(1-EXP(-LN(2)/25))/(LN(2)/25)*Calculateur!ER39*Calculateur!ET39*VLOOKUP('Données projet'!$B$15,Paramètres!$A$1:$I$89,3,0)*0.475*44/12</f>
        <v>12.928045380158835</v>
      </c>
      <c r="EX39" s="21">
        <f>EXP(-LN(2)/2)*EX38+(1-EXP(-LN(2)/2))/(LN(2)/2)*ER39*EU39*VLOOKUP('Données projet'!$B$15,Paramètres!$A$1:$I$89,3,0)*0.475*44/12</f>
        <v>2.7424178837675992</v>
      </c>
      <c r="EY39" s="22">
        <f t="shared" si="21"/>
        <v>17.921047438961956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15.7</v>
      </c>
      <c r="FE39" s="12">
        <f>IF('Données projet'!$A$218&gt;35,FE38+FD39-FM38,IF(A39&lt;'Données projet'!$A$218,$FB$205^A39,IF(A39='Données projet'!$A$218,'Données projet'!$B$218,FE38+FD39-FM38)))</f>
        <v>234.2</v>
      </c>
      <c r="FF39" s="17">
        <f>FE39*VLOOKUP('Données projet'!$B$16,Paramètres!$A$1:$I$89,3,0)*VLOOKUP('Données projet'!$B$16,Paramètres!$A$1:$I$89,5,0)</f>
        <v>140.05160000000001</v>
      </c>
      <c r="FG39" s="13">
        <f t="shared" si="47"/>
        <v>36.308826076884721</v>
      </c>
      <c r="FH39" s="20">
        <f t="shared" si="22"/>
        <v>307.16107541724091</v>
      </c>
      <c r="FI39" s="59">
        <f t="shared" si="23"/>
        <v>600.49440875057417</v>
      </c>
      <c r="FJ39" s="59">
        <f ca="1">AVERAGE(OFFSET($FI$3,0,0,'Données projet'!$E$16+1,1))-AVERAGE(OFFSET($H$3,0,0,'Données projet'!$E$16+1,1))</f>
        <v>270.30888762640245</v>
      </c>
      <c r="FK39" s="59">
        <f t="shared" si="48"/>
        <v>202.23783851977691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>
        <f>EXP(-LN(2)/35)*FQ38+(1-EXP(-LN(2)/35))/(LN(2)/35)*FM39*FN39*VLOOKUP('Données projet'!$B$16,Paramètres!$A$1:$I$89,3,0)*0.475*44/12</f>
        <v>1.901902119748329</v>
      </c>
      <c r="FR39" s="21">
        <f>EXP(-LN(2)/25)*FR38+(1-EXP(-LN(2)/25))/(LN(2)/25)*Calculateur!FM39*Calculateur!FO39*VLOOKUP('Données projet'!$B$16,Paramètres!$A$1:$I$89,3,0)*0.475*44/12</f>
        <v>10.410909884366278</v>
      </c>
      <c r="FS39" s="21">
        <f>EXP(-LN(2)/2)*FS38+(1-EXP(-LN(2)/2))/(LN(2)/2)*FM39*FP39*VLOOKUP('Données projet'!$B$16,Paramètres!$A$1:$I$89,3,0)*0.475*44/12</f>
        <v>2.311576073307823</v>
      </c>
      <c r="FT39" s="22">
        <f t="shared" si="24"/>
        <v>14.624388077422429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12.1</v>
      </c>
      <c r="FZ39" s="12">
        <f>IF('Données projet'!$A$244&gt;35,FZ38+FY39-GH38,IF(A39&lt;'Données projet'!$A$244,$FW$205^A39,IF(A39='Données projet'!$A$244,'Données projet'!$B$244,FZ38+FY39-GH38)))</f>
        <v>214.59999999999997</v>
      </c>
      <c r="GA39" s="17">
        <f>FZ39*VLOOKUP('Données projet'!$B$17,Paramètres!$A$1:$I$89,3,0)*VLOOKUP('Données projet'!$B$17,Paramètres!$A$1:$I$89,5,0)</f>
        <v>170.73575999999997</v>
      </c>
      <c r="GB39" s="13">
        <f t="shared" si="49"/>
        <v>43.254767908658785</v>
      </c>
      <c r="GC39" s="20">
        <f t="shared" si="25"/>
        <v>372.70016944091395</v>
      </c>
      <c r="GD39" s="59">
        <f t="shared" si="26"/>
        <v>666.03350277424727</v>
      </c>
      <c r="GE39" s="59">
        <f ca="1">AVERAGE(OFFSET($GD$3,0,0,'Données projet'!$E$17+1,1))-AVERAGE(OFFSET($H$3,0,0,'Données projet'!$E$17+1,1))</f>
        <v>260.20517190557814</v>
      </c>
      <c r="GF39" s="59">
        <f t="shared" si="50"/>
        <v>307.22009971147133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>
        <f>EXP(-LN(2)/35)*GL38+(1-EXP(-LN(2)/35))/(LN(2)/35)*GH39*GI39*VLOOKUP('Données projet'!$B$17,Paramètres!$A$1:$I$89,3,0)*0.475*44/12</f>
        <v>2.8974146544088684</v>
      </c>
      <c r="GM39" s="21">
        <f>EXP(-LN(2)/25)*GM38+(1-EXP(-LN(2)/25))/(LN(2)/25)*Calculateur!GH39*Calculateur!GJ39*VLOOKUP('Données projet'!$B$17,Paramètres!$A$1:$I$89,3,0)*0.475*44/12</f>
        <v>17.374877418763198</v>
      </c>
      <c r="GN39" s="21">
        <f>EXP(-LN(2)/2)*GN38+(1-EXP(-LN(2)/2))/(LN(2)/2)*GH39*GK39*VLOOKUP('Données projet'!$B$17,Paramètres!$A$1:$I$89,3,0)*0.475*44/12</f>
        <v>3.0048792815946608</v>
      </c>
      <c r="GO39" s="21">
        <f t="shared" si="27"/>
        <v>23.277171354766729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10.199999999999999</v>
      </c>
      <c r="GU39" s="12">
        <f>IF('Données projet'!$A$270&gt;35,GU38+GT39-HC38,IF(A39&lt;'Données projet'!$A$270,$GR$205^A39,IF(A39='Données projet'!$A$270,'Données projet'!$B$270,GU38+GT39-HC38)))</f>
        <v>179.1999999999999</v>
      </c>
      <c r="GV39" s="17">
        <f>GU39*VLOOKUP('Données projet'!$B$18,Paramètres!$A$1:$I$89,3,0)*VLOOKUP('Données projet'!$B$18,Paramètres!$A$1:$I$89,5,0)</f>
        <v>142.57151999999994</v>
      </c>
      <c r="GW39" s="13">
        <f t="shared" si="51"/>
        <v>36.88547912245555</v>
      </c>
      <c r="GX39" s="20">
        <f t="shared" si="28"/>
        <v>312.55427347160997</v>
      </c>
      <c r="GY39" s="59">
        <f t="shared" si="29"/>
        <v>605.88760680494329</v>
      </c>
      <c r="GZ39" s="59">
        <f ca="1">AVERAGE(OFFSET($GY$3,0,0,'Données projet'!$E$18+1,1))-AVERAGE(OFFSET($H$3,0,0,'Données projet'!$E$18+1,1))</f>
        <v>199.58763537752952</v>
      </c>
      <c r="HA39" s="59">
        <f t="shared" si="52"/>
        <v>242.62852778451929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>
        <f>EXP(-LN(2)/35)*HG38+(1-EXP(-LN(2)/35))/(LN(2)/35)*HC39*HD39*VLOOKUP('Données projet'!$B$18,Paramètres!$A$1:$I$89,3,0)*0.475*44/12</f>
        <v>0</v>
      </c>
      <c r="HH39" s="21">
        <f>EXP(-LN(2)/25)*HH38+(1-EXP(-LN(2)/25))/(LN(2)/25)*Calculateur!HC39*Calculateur!HE39*VLOOKUP('Données projet'!$B$18,Paramètres!$A$1:$I$89,3,0)*0.475*44/12</f>
        <v>8.7070621226086278</v>
      </c>
      <c r="HI39" s="21">
        <f>EXP(-LN(2)/2)*HI38+(1-EXP(-LN(2)/2))/(LN(2)/2)*HC39*HF39*VLOOKUP('Données projet'!$B$18,Paramètres!$A$1:$I$89,3,0)*0.475*44/12</f>
        <v>1.3451947991525262</v>
      </c>
      <c r="HJ39" s="22">
        <f t="shared" si="30"/>
        <v>10.052256921761154</v>
      </c>
    </row>
    <row r="40" spans="1:218" x14ac:dyDescent="0.2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32.900399999999991</v>
      </c>
      <c r="D40" s="11">
        <f t="shared" si="32"/>
        <v>10.096039146303498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331.90233726971115</v>
      </c>
      <c r="H40" s="67">
        <f t="shared" si="1"/>
        <v>368.21879817981187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22.419230769230779</v>
      </c>
      <c r="N40" s="13">
        <f>IF('Données projet'!$A$36&gt;35,N39+M40-V39,IF(A40&lt;'Données projet'!$A$36,$K$205^A40,IF(A40='Données projet'!$A$36,'Données projet'!$B$36,N39+M40-V39)))</f>
        <v>356.62692307692276</v>
      </c>
      <c r="O40" s="13">
        <f>N40*VLOOKUP('Données projet'!$B$9,Paramètres!$A$1:$I$89,3,0)*VLOOKUP('Données projet'!$B$9,Paramètres!$A$1:$I$89,5,0)</f>
        <v>199.35444999999984</v>
      </c>
      <c r="P40" s="13">
        <f t="shared" si="33"/>
        <v>49.602268690733197</v>
      </c>
      <c r="Q40" s="20">
        <f t="shared" si="53"/>
        <v>433.59961838636008</v>
      </c>
      <c r="R40" s="59">
        <f t="shared" si="0"/>
        <v>726.93295171969339</v>
      </c>
      <c r="S40" s="59">
        <f ca="1">AVERAGE(OFFSET($R$3,0,0,'Données projet'!$E$9+1,1))-AVERAGE(OFFSET($H$3,0,0,'Données projet'!$E$9+1,1))</f>
        <v>255.5374979188561</v>
      </c>
      <c r="T40" s="59">
        <f t="shared" si="34"/>
        <v>343.10418468620901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2.6900367995759797</v>
      </c>
      <c r="AA40" s="21">
        <f>EXP(-LN(2)/25)*AA39+(1-EXP(-LN(2)/25))/(LN(2)/25)*Calculateur!V40*Calculateur!X40*VLOOKUP('Données projet'!$B$9,Paramètres!$A$1:$I$89,3,0)*0.475*44/12</f>
        <v>13.1447260529515</v>
      </c>
      <c r="AB40" s="21">
        <f>EXP(-LN(2)/2)*AB39+(1-EXP(-LN(2)/2))/(LN(2)/2)*V40*Y40*VLOOKUP('Données projet'!$B$9,Paramètres!$A$1:$I$89,3,0)*0.475*44/12</f>
        <v>0.14961072044643511</v>
      </c>
      <c r="AC40" s="22">
        <f t="shared" si="3"/>
        <v>15.984373572973915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18.229670329670324</v>
      </c>
      <c r="AI40" s="13">
        <f>IF('Données projet'!$A$62&gt;35,AI39+AH40-AQ39,IF(A40&lt;'Données projet'!$A$62,$AF$205^A40,IF(A40='Données projet'!$A$62,'Données projet'!$B$62,AI39+AH40-AQ39)))</f>
        <v>271.45164835164837</v>
      </c>
      <c r="AJ40" s="13">
        <f>AI40*VLOOKUP('Données projet'!$B$10,Paramètres!$A$1:$I$89,3,0)*VLOOKUP('Données projet'!$B$10,Paramètres!$A$1:$I$89,5,0)</f>
        <v>151.74147142857143</v>
      </c>
      <c r="AK40" s="13">
        <f t="shared" si="35"/>
        <v>38.974074991810518</v>
      </c>
      <c r="AL40" s="20">
        <f t="shared" si="4"/>
        <v>332.16291001549854</v>
      </c>
      <c r="AM40" s="59">
        <f t="shared" si="5"/>
        <v>625.49624334883185</v>
      </c>
      <c r="AN40" s="59">
        <f ca="1">AVERAGE(OFFSET($AM$3,0,0,'Données projet'!$E$10+1,1))-AVERAGE(OFFSET($H$3,0,0,'Données projet'!$E$10+1,1))</f>
        <v>224.7049802939942</v>
      </c>
      <c r="AO40" s="59">
        <f t="shared" si="36"/>
        <v>203.48513862195352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1.9423380395979828</v>
      </c>
      <c r="AV40" s="21">
        <f>EXP(-LN(2)/25)*AV39+(1-EXP(-LN(2)/25))/(LN(2)/25)*Calculateur!AQ40*Calculateur!AS40*VLOOKUP('Données projet'!$B$10,Paramètres!$A$1:$I$89,3,0)*0.475*44/12</f>
        <v>16.080225496130598</v>
      </c>
      <c r="AW40" s="21">
        <f>EXP(-LN(2)/2)*AW39+(1-EXP(-LN(2)/2))/(LN(2)/2)*AQ40*AT40*VLOOKUP('Données projet'!$B$10,Paramètres!$A$1:$I$89,3,0)*0.475*44/12</f>
        <v>0.79201374084298604</v>
      </c>
      <c r="AX40" s="21">
        <f t="shared" si="6"/>
        <v>18.814577276571566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13.8</v>
      </c>
      <c r="BD40" s="12">
        <f>IF('Données projet'!$A$88&gt;35,BD39+BC40-BL39,IF(A40&lt;'Données projet'!$A$88,$BA$205^A40,IF(A40='Données projet'!$A$88,'Données projet'!$B$88,BD39+BC40-BL39)))</f>
        <v>272.60000000000008</v>
      </c>
      <c r="BE40" s="13">
        <f>BD40*VLOOKUP('Données projet'!$B$11,Paramètres!$A$1:$I$89,3,0)*VLOOKUP('Données projet'!$B$11,Paramètres!$A$1:$I$89,5,0)</f>
        <v>148.83960000000005</v>
      </c>
      <c r="BF40" s="13">
        <f t="shared" si="37"/>
        <v>38.314761484407519</v>
      </c>
      <c r="BG40" s="20">
        <f t="shared" si="7"/>
        <v>325.9605129186765</v>
      </c>
      <c r="BH40" s="59">
        <f t="shared" si="8"/>
        <v>619.29384625200987</v>
      </c>
      <c r="BI40" s="59">
        <f ca="1">AVERAGE(OFFSET($BH$3,0,0,'Données projet'!$E$11+1,1))-AVERAGE(OFFSET($H$3,0,0,'Données projet'!$E$11+1,1))</f>
        <v>210.04871822652808</v>
      </c>
      <c r="BJ40" s="59">
        <f t="shared" si="38"/>
        <v>250.17540614049324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6.3558777031001581</v>
      </c>
      <c r="BQ40" s="21">
        <f>EXP(-LN(2)/25)*BQ39+(1-EXP(-LN(2)/25))/(LN(2)/25)*Calculateur!BL40*Calculateur!BN40*VLOOKUP('Données projet'!$B$11,Paramètres!$A$1:$I$89,3,0)*0.475*44/12</f>
        <v>22.921125712058693</v>
      </c>
      <c r="BR40" s="21">
        <f>EXP(-LN(2)/2)*BR39+(1-EXP(-LN(2)/2))/(LN(2)/2)*BL40*BO40*VLOOKUP('Données projet'!$B$11,Paramètres!$A$1:$I$89,3,0)*0.475*44/12</f>
        <v>1.9051126108902112</v>
      </c>
      <c r="BS40" s="22">
        <f t="shared" si="9"/>
        <v>31.182116026049062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12.1</v>
      </c>
      <c r="BY40" s="12">
        <f>IF('Données projet'!$A$114&gt;35,BY39+BX40-CG39,IF(A40&lt;'Données projet'!$A$114,$BV$205^A40,IF(A40='Données projet'!$A$114,'Données projet'!$B$114,BY39+BX40-CG39)))</f>
        <v>234.7</v>
      </c>
      <c r="BZ40" s="13">
        <f>BY40*VLOOKUP('Données projet'!$B$12,Paramètres!$A$1:$I$89,3,0)*VLOOKUP('Données projet'!$B$12,Paramètres!$A$1:$I$89,5,0)</f>
        <v>128.14619999999999</v>
      </c>
      <c r="CA40" s="13">
        <f t="shared" si="39"/>
        <v>33.567643171710863</v>
      </c>
      <c r="CB40" s="20">
        <f t="shared" si="10"/>
        <v>281.65161019072974</v>
      </c>
      <c r="CC40" s="59">
        <f t="shared" si="11"/>
        <v>574.98494352406306</v>
      </c>
      <c r="CD40" s="59">
        <f ca="1">AVERAGE(OFFSET($CC$3,0,0,'Données projet'!$E$12+1,1))-AVERAGE(OFFSET($H$3,0,0,'Données projet'!$E$12+1,1))</f>
        <v>168.72306536277267</v>
      </c>
      <c r="CE40" s="59">
        <f t="shared" si="40"/>
        <v>203.35476578922339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2.6482823762917334</v>
      </c>
      <c r="CL40" s="21">
        <f>EXP(-LN(2)/25)*CL39+(1-EXP(-LN(2)/25))/(LN(2)/25)*Calculateur!CG40*Calculateur!CI40*VLOOKUP('Données projet'!$B$12,Paramètres!$A$1:$I$89,3,0)*0.475*44/12</f>
        <v>18.930257277306765</v>
      </c>
      <c r="CM40" s="21">
        <f>EXP(-LN(2)/2)*CM39+(1-EXP(-LN(2)/2))/(LN(2)/2)*CG40*CJ40*VLOOKUP('Données projet'!$B$12,Paramètres!$A$1:$I$89,3,0)*0.475*44/12</f>
        <v>1.7698747164898305</v>
      </c>
      <c r="CN40" s="22">
        <f t="shared" si="12"/>
        <v>23.348414370088328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5.6730769230769225</v>
      </c>
      <c r="CT40" s="12">
        <f>IF('Données projet'!$A$140&gt;35,CT39+CS40-DB39,IF(A40&lt;'Données projet'!$A$140,$CQ$205^A40,IF(A40='Données projet'!$A$140,'Données projet'!$B$140,CT39+CS40-DB39)))</f>
        <v>209.90384615384625</v>
      </c>
      <c r="CU40" s="17">
        <f>CT40*VLOOKUP('Données projet'!$B$13,Paramètres!$A$1:$I$89,3,0)*VLOOKUP('Données projet'!$B$13,Paramètres!$A$1:$I$89,5,0)</f>
        <v>100.96375000000005</v>
      </c>
      <c r="CV40" s="13">
        <f t="shared" si="41"/>
        <v>27.191469372298435</v>
      </c>
      <c r="CW40" s="20">
        <f t="shared" si="13"/>
        <v>223.20367374008651</v>
      </c>
      <c r="CX40" s="59">
        <f t="shared" si="14"/>
        <v>516.53700707341977</v>
      </c>
      <c r="CY40" s="59">
        <f ca="1">AVERAGE(OFFSET($CX$3,0,0,'Données projet'!$E$13+1,1))-AVERAGE(OFFSET($H$3,0,0,'Données projet'!$E$13+1,1))</f>
        <v>304.15237106473313</v>
      </c>
      <c r="CZ40" s="59">
        <f t="shared" si="42"/>
        <v>120.85458928724336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>
        <f>EXP(-LN(2)/35)*DF39+(1-EXP(-LN(2)/35))/(LN(2)/35)*DB40*DC40*VLOOKUP('Données projet'!$B$13,Paramètres!$A$1:$I$89,3,0)*0.475*44/12</f>
        <v>0</v>
      </c>
      <c r="DG40" s="21">
        <f>EXP(-LN(2)/25)*DG39+(1-EXP(-LN(2)/25))/(LN(2)/25)*Calculateur!DB40*Calculateur!DD40*VLOOKUP('Données projet'!$B$13,Paramètres!$A$1:$I$89,3,0)*0.475*44/12</f>
        <v>0</v>
      </c>
      <c r="DH40" s="21">
        <f>EXP(-LN(2)/2)*DH39+(1-EXP(-LN(2)/2))/(LN(2)/2)*DB40*DE40*VLOOKUP('Données projet'!$B$13,Paramètres!$A$1:$I$89,3,0)*0.475*44/12</f>
        <v>0</v>
      </c>
      <c r="DI40" s="22">
        <f t="shared" si="15"/>
        <v>0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3.8846153846153846</v>
      </c>
      <c r="DO40" s="12">
        <f>IF('Données projet'!$A$166&gt;35,DO39+DN40-DW39,IF(A40&lt;'Données projet'!$A$166,$DL$205^A40,IF(A40='Données projet'!$A$166,'Données projet'!$B$166,DO39+DN40-DW39)))</f>
        <v>143.73076923076928</v>
      </c>
      <c r="DP40" s="17">
        <f>DO40*VLOOKUP('Données projet'!$B$14,Paramètres!$A$1:$I$89,3,0)*VLOOKUP('Données projet'!$B$14,Paramètres!$A$1:$I$89,5,0)</f>
        <v>69.134500000000031</v>
      </c>
      <c r="DQ40" s="13">
        <f t="shared" si="43"/>
        <v>19.458368034061468</v>
      </c>
      <c r="DR40" s="20">
        <f t="shared" si="16"/>
        <v>154.29924515932376</v>
      </c>
      <c r="DS40" s="59">
        <f t="shared" si="17"/>
        <v>447.6325784926571</v>
      </c>
      <c r="DT40" s="59">
        <f ca="1">AVERAGE(OFFSET($DS$3,0,0,'Données projet'!$E$14+1,1))-AVERAGE(OFFSET($H$3,0,0,'Données projet'!$E$14+1,1))</f>
        <v>91.053246648097399</v>
      </c>
      <c r="DU40" s="59">
        <f t="shared" si="44"/>
        <v>64.716270355703955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>
        <f>EXP(-LN(2)/35)*EA39+(1-EXP(-LN(2)/35))/(LN(2)/35)*DW40*DX40*VLOOKUP('Données projet'!$B$14,Paramètres!$A$1:$I$89,3,0)*0.475*44/12</f>
        <v>0</v>
      </c>
      <c r="EB40" s="21">
        <f>EXP(-LN(2)/25)*EB39+(1-EXP(-LN(2)/25))/(LN(2)/25)*Calculateur!DW40*Calculateur!DY40*VLOOKUP('Données projet'!$B$14,Paramètres!$A$1:$I$89,3,0)*0.475*44/12</f>
        <v>0</v>
      </c>
      <c r="EC40" s="21">
        <f>EXP(-LN(2)/2)*EC39+(1-EXP(-LN(2)/2))/(LN(2)/2)*DW40*DZ40*VLOOKUP('Données projet'!$B$14,Paramètres!$A$1:$I$89,3,0)*0.475*44/12</f>
        <v>0</v>
      </c>
      <c r="ED40" s="22">
        <f t="shared" si="18"/>
        <v>0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18.2</v>
      </c>
      <c r="EJ40" s="12">
        <f>IF('Données projet'!$A$192&gt;35,EJ39+EI40-ER39,IF(A40&lt;'Données projet'!$A$192,$EG$205^A40,IF(A40='Données projet'!$A$192,'Données projet'!$B$192,EJ39+EI40-ER39)))</f>
        <v>286.39999999999998</v>
      </c>
      <c r="EK40" s="17">
        <f>EJ40*VLOOKUP('Données projet'!$B$15,Paramètres!$A$1:$I$89,3,0)*VLOOKUP('Données projet'!$B$15,Paramètres!$A$1:$I$89,5,0)</f>
        <v>171.2672</v>
      </c>
      <c r="EL40" s="13">
        <f t="shared" si="45"/>
        <v>43.373711445811836</v>
      </c>
      <c r="EM40" s="20">
        <f t="shared" si="19"/>
        <v>373.83292076812228</v>
      </c>
      <c r="EN40" s="59">
        <f t="shared" si="20"/>
        <v>667.16625410145559</v>
      </c>
      <c r="EO40" s="59">
        <f ca="1">AVERAGE(OFFSET($EN$3,0,0,'Données projet'!$E$15+1,1))-AVERAGE(OFFSET($H$3,0,0,'Données projet'!$E$15+1,1))</f>
        <v>316.58509520829671</v>
      </c>
      <c r="EP40" s="59">
        <f t="shared" si="46"/>
        <v>240.71332110643596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>
        <f>EXP(-LN(2)/35)*EV39+(1-EXP(-LN(2)/35))/(LN(2)/35)*ER40*ES40*VLOOKUP('Données projet'!$B$15,Paramètres!$A$1:$I$89,3,0)*0.475*44/12</f>
        <v>2.2064515920838788</v>
      </c>
      <c r="EW40" s="21">
        <f>EXP(-LN(2)/25)*EW39+(1-EXP(-LN(2)/25))/(LN(2)/25)*Calculateur!ER40*Calculateur!ET40*VLOOKUP('Données projet'!$B$15,Paramètres!$A$1:$I$89,3,0)*0.475*44/12</f>
        <v>12.574527299382032</v>
      </c>
      <c r="EX40" s="21">
        <f>EXP(-LN(2)/2)*EX39+(1-EXP(-LN(2)/2))/(LN(2)/2)*ER40*EU40*VLOOKUP('Données projet'!$B$15,Paramètres!$A$1:$I$89,3,0)*0.475*44/12</f>
        <v>1.9391822824593306</v>
      </c>
      <c r="EY40" s="22">
        <f t="shared" si="21"/>
        <v>16.720161173925241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15.7</v>
      </c>
      <c r="FE40" s="12">
        <f>IF('Données projet'!$A$218&gt;35,FE39+FD40-FM39,IF(A40&lt;'Données projet'!$A$218,$FB$205^A40,IF(A40='Données projet'!$A$218,'Données projet'!$B$218,FE39+FD40-FM39)))</f>
        <v>249.89999999999998</v>
      </c>
      <c r="FF40" s="17">
        <f>FE40*VLOOKUP('Données projet'!$B$16,Paramètres!$A$1:$I$89,3,0)*VLOOKUP('Données projet'!$B$16,Paramètres!$A$1:$I$89,5,0)</f>
        <v>149.4402</v>
      </c>
      <c r="FG40" s="13">
        <f t="shared" si="47"/>
        <v>38.451341391894722</v>
      </c>
      <c r="FH40" s="20">
        <f t="shared" si="22"/>
        <v>327.24443459088332</v>
      </c>
      <c r="FI40" s="59">
        <f t="shared" si="23"/>
        <v>620.57776792421669</v>
      </c>
      <c r="FJ40" s="59">
        <f ca="1">AVERAGE(OFFSET($FI$3,0,0,'Données projet'!$E$16+1,1))-AVERAGE(OFFSET($H$3,0,0,'Données projet'!$E$16+1,1))</f>
        <v>270.30888762640245</v>
      </c>
      <c r="FK40" s="59">
        <f t="shared" si="48"/>
        <v>202.23783851977691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>
        <f>EXP(-LN(2)/35)*FQ39+(1-EXP(-LN(2)/35))/(LN(2)/35)*FM40*FN40*VLOOKUP('Données projet'!$B$16,Paramètres!$A$1:$I$89,3,0)*0.475*44/12</f>
        <v>1.8646069792258124</v>
      </c>
      <c r="FR40" s="21">
        <f>EXP(-LN(2)/25)*FR39+(1-EXP(-LN(2)/25))/(LN(2)/25)*Calculateur!FM40*Calculateur!FO40*VLOOKUP('Données projet'!$B$16,Paramètres!$A$1:$I$89,3,0)*0.475*44/12</f>
        <v>10.126223006092326</v>
      </c>
      <c r="FS40" s="21">
        <f>EXP(-LN(2)/2)*FS39+(1-EXP(-LN(2)/2))/(LN(2)/2)*FM40*FP40*VLOOKUP('Données projet'!$B$16,Paramètres!$A$1:$I$89,3,0)*0.475*44/12</f>
        <v>1.6345311166645335</v>
      </c>
      <c r="FT40" s="22">
        <f t="shared" si="24"/>
        <v>13.625361101982671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12.1</v>
      </c>
      <c r="FZ40" s="12">
        <f>IF('Données projet'!$A$244&gt;35,FZ39+FY40-GH39,IF(A40&lt;'Données projet'!$A$244,$FW$205^A40,IF(A40='Données projet'!$A$244,'Données projet'!$B$244,FZ39+FY40-GH39)))</f>
        <v>226.69999999999996</v>
      </c>
      <c r="GA40" s="17">
        <f>FZ40*VLOOKUP('Données projet'!$B$17,Paramètres!$A$1:$I$89,3,0)*VLOOKUP('Données projet'!$B$17,Paramètres!$A$1:$I$89,5,0)</f>
        <v>180.36251999999996</v>
      </c>
      <c r="GB40" s="13">
        <f t="shared" si="49"/>
        <v>45.402830740762262</v>
      </c>
      <c r="GC40" s="20">
        <f t="shared" si="25"/>
        <v>393.20798587349418</v>
      </c>
      <c r="GD40" s="59">
        <f t="shared" si="26"/>
        <v>686.54131920682744</v>
      </c>
      <c r="GE40" s="59">
        <f ca="1">AVERAGE(OFFSET($GD$3,0,0,'Données projet'!$E$17+1,1))-AVERAGE(OFFSET($H$3,0,0,'Données projet'!$E$17+1,1))</f>
        <v>260.20517190557814</v>
      </c>
      <c r="GF40" s="59">
        <f t="shared" si="50"/>
        <v>307.22009971147133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>
        <f>EXP(-LN(2)/35)*GL39+(1-EXP(-LN(2)/35))/(LN(2)/35)*GH40*GI40*VLOOKUP('Données projet'!$B$17,Paramètres!$A$1:$I$89,3,0)*0.475*44/12</f>
        <v>2.8405981202843482</v>
      </c>
      <c r="GM40" s="21">
        <f>EXP(-LN(2)/25)*GM39+(1-EXP(-LN(2)/25))/(LN(2)/25)*Calculateur!GH40*Calculateur!GJ40*VLOOKUP('Données projet'!$B$17,Paramètres!$A$1:$I$89,3,0)*0.475*44/12</f>
        <v>16.899760482042026</v>
      </c>
      <c r="GN40" s="21">
        <f>EXP(-LN(2)/2)*GN39+(1-EXP(-LN(2)/2))/(LN(2)/2)*GH40*GK40*VLOOKUP('Données projet'!$B$17,Paramètres!$A$1:$I$89,3,0)*0.475*44/12</f>
        <v>2.1247705166625459</v>
      </c>
      <c r="GO40" s="21">
        <f t="shared" si="27"/>
        <v>21.865129118988921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10.199999999999999</v>
      </c>
      <c r="GU40" s="12">
        <f>IF('Données projet'!$A$270&gt;35,GU39+GT40-HC39,IF(A40&lt;'Données projet'!$A$270,$GR$205^A40,IF(A40='Données projet'!$A$270,'Données projet'!$B$270,GU39+GT40-HC39)))</f>
        <v>189.39999999999989</v>
      </c>
      <c r="GV40" s="17">
        <f>GU40*VLOOKUP('Données projet'!$B$18,Paramètres!$A$1:$I$89,3,0)*VLOOKUP('Données projet'!$B$18,Paramètres!$A$1:$I$89,5,0)</f>
        <v>150.68663999999993</v>
      </c>
      <c r="GW40" s="13">
        <f t="shared" si="51"/>
        <v>38.734585523437175</v>
      </c>
      <c r="GX40" s="20">
        <f t="shared" si="28"/>
        <v>329.90863445331962</v>
      </c>
      <c r="GY40" s="59">
        <f t="shared" si="29"/>
        <v>623.24196778665294</v>
      </c>
      <c r="GZ40" s="59">
        <f ca="1">AVERAGE(OFFSET($GY$3,0,0,'Données projet'!$E$18+1,1))-AVERAGE(OFFSET($H$3,0,0,'Données projet'!$E$18+1,1))</f>
        <v>199.58763537752952</v>
      </c>
      <c r="HA40" s="59">
        <f t="shared" si="52"/>
        <v>242.62852778451929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>
        <f>EXP(-LN(2)/35)*HG39+(1-EXP(-LN(2)/35))/(LN(2)/35)*HC40*HD40*VLOOKUP('Données projet'!$B$18,Paramètres!$A$1:$I$89,3,0)*0.475*44/12</f>
        <v>0</v>
      </c>
      <c r="HH40" s="21">
        <f>EXP(-LN(2)/25)*HH39+(1-EXP(-LN(2)/25))/(LN(2)/25)*Calculateur!HC40*Calculateur!HE40*VLOOKUP('Données projet'!$B$18,Paramètres!$A$1:$I$89,3,0)*0.475*44/12</f>
        <v>8.4689670509813979</v>
      </c>
      <c r="HI40" s="21">
        <f>EXP(-LN(2)/2)*HI39+(1-EXP(-LN(2)/2))/(LN(2)/2)*HC40*HF40*VLOOKUP('Données projet'!$B$18,Paramètres!$A$1:$I$89,3,0)*0.475*44/12</f>
        <v>0.95119636449762712</v>
      </c>
      <c r="HJ40" s="22">
        <f t="shared" si="30"/>
        <v>9.4201634154790241</v>
      </c>
    </row>
    <row r="41" spans="1:218" x14ac:dyDescent="0.2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33.789599999999993</v>
      </c>
      <c r="D41" s="11">
        <f t="shared" si="32"/>
        <v>10.336767985889495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340.62459497879604</v>
      </c>
      <c r="H41" s="67">
        <f t="shared" si="1"/>
        <v>370.18675757542417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22.419230769230779</v>
      </c>
      <c r="N41" s="13">
        <f>IF('Données projet'!$A$36&gt;35,N40+M41-V40,IF(A41&lt;'Données projet'!$A$36,$K$205^A41,IF(A41='Données projet'!$A$36,'Données projet'!$B$36,N40+M41-V40)))</f>
        <v>379.04615384615352</v>
      </c>
      <c r="O41" s="13">
        <f>N41*VLOOKUP('Données projet'!$B$9,Paramètres!$A$1:$I$89,3,0)*VLOOKUP('Données projet'!$B$9,Paramètres!$A$1:$I$89,5,0)</f>
        <v>211.88679999999982</v>
      </c>
      <c r="P41" s="13">
        <f t="shared" si="33"/>
        <v>52.347684082939267</v>
      </c>
      <c r="Q41" s="20">
        <f t="shared" si="53"/>
        <v>460.20839311111894</v>
      </c>
      <c r="R41" s="59">
        <f t="shared" si="0"/>
        <v>753.54172644445225</v>
      </c>
      <c r="S41" s="59">
        <f ca="1">AVERAGE(OFFSET($R$3,0,0,'Données projet'!$E$9+1,1))-AVERAGE(OFFSET($H$3,0,0,'Données projet'!$E$9+1,1))</f>
        <v>255.5374979188561</v>
      </c>
      <c r="T41" s="59">
        <f t="shared" si="34"/>
        <v>343.10418468620901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2.6372868186967309</v>
      </c>
      <c r="AA41" s="21">
        <f>EXP(-LN(2)/25)*AA40+(1-EXP(-LN(2)/25))/(LN(2)/25)*Calculateur!V41*Calculateur!X41*VLOOKUP('Données projet'!$B$9,Paramètres!$A$1:$I$89,3,0)*0.475*44/12</f>
        <v>12.78528282778244</v>
      </c>
      <c r="AB41" s="21">
        <f>EXP(-LN(2)/2)*AB40+(1-EXP(-LN(2)/2))/(LN(2)/2)*V41*Y41*VLOOKUP('Données projet'!$B$9,Paramètres!$A$1:$I$89,3,0)*0.475*44/12</f>
        <v>0.10579075496587913</v>
      </c>
      <c r="AC41" s="22">
        <f t="shared" si="3"/>
        <v>15.528360401445051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18.229670329670324</v>
      </c>
      <c r="AI41" s="13">
        <f>IF('Données projet'!$A$62&gt;35,AI40+AH41-AQ40,IF(A41&lt;'Données projet'!$A$62,$AF$205^A41,IF(A41='Données projet'!$A$62,'Données projet'!$B$62,AI40+AH41-AQ40)))</f>
        <v>289.68131868131871</v>
      </c>
      <c r="AJ41" s="13">
        <f>AI41*VLOOKUP('Données projet'!$B$10,Paramètres!$A$1:$I$89,3,0)*VLOOKUP('Données projet'!$B$10,Paramètres!$A$1:$I$89,5,0)</f>
        <v>161.93185714285718</v>
      </c>
      <c r="AK41" s="13">
        <f t="shared" si="35"/>
        <v>41.277946347593272</v>
      </c>
      <c r="AL41" s="20">
        <f t="shared" si="4"/>
        <v>353.92374107920119</v>
      </c>
      <c r="AM41" s="59">
        <f t="shared" si="5"/>
        <v>647.25707441253451</v>
      </c>
      <c r="AN41" s="59">
        <f ca="1">AVERAGE(OFFSET($AM$3,0,0,'Données projet'!$E$10+1,1))-AVERAGE(OFFSET($H$3,0,0,'Données projet'!$E$10+1,1))</f>
        <v>224.7049802939942</v>
      </c>
      <c r="AO41" s="59">
        <f t="shared" si="36"/>
        <v>203.48513862195352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1.9042499753506903</v>
      </c>
      <c r="AV41" s="21">
        <f>EXP(-LN(2)/25)*AV40+(1-EXP(-LN(2)/25))/(LN(2)/25)*Calculateur!AQ41*Calculateur!AS41*VLOOKUP('Données projet'!$B$10,Paramètres!$A$1:$I$89,3,0)*0.475*44/12</f>
        <v>15.640510884316599</v>
      </c>
      <c r="AW41" s="21">
        <f>EXP(-LN(2)/2)*AW40+(1-EXP(-LN(2)/2))/(LN(2)/2)*AQ41*AT41*VLOOKUP('Données projet'!$B$10,Paramètres!$A$1:$I$89,3,0)*0.475*44/12</f>
        <v>0.56003828694300029</v>
      </c>
      <c r="AX41" s="21">
        <f t="shared" si="6"/>
        <v>18.10479914661029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13.8</v>
      </c>
      <c r="BD41" s="12">
        <f>IF('Données projet'!$A$88&gt;35,BD40+BC41-BL40,IF(A41&lt;'Données projet'!$A$88,$BA$205^A41,IF(A41='Données projet'!$A$88,'Données projet'!$B$88,BD40+BC41-BL40)))</f>
        <v>286.40000000000009</v>
      </c>
      <c r="BE41" s="13">
        <f>BD41*VLOOKUP('Données projet'!$B$11,Paramètres!$A$1:$I$89,3,0)*VLOOKUP('Données projet'!$B$11,Paramètres!$A$1:$I$89,5,0)</f>
        <v>156.37440000000007</v>
      </c>
      <c r="BF41" s="13">
        <f t="shared" si="37"/>
        <v>40.023663524293205</v>
      </c>
      <c r="BG41" s="20">
        <f t="shared" si="7"/>
        <v>342.0599606381441</v>
      </c>
      <c r="BH41" s="59">
        <f t="shared" si="8"/>
        <v>635.39329397147742</v>
      </c>
      <c r="BI41" s="59">
        <f ca="1">AVERAGE(OFFSET($BH$3,0,0,'Données projet'!$E$11+1,1))-AVERAGE(OFFSET($H$3,0,0,'Données projet'!$E$11+1,1))</f>
        <v>210.04871822652808</v>
      </c>
      <c r="BJ41" s="59">
        <f t="shared" si="38"/>
        <v>250.17540614049324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6.2312428180449704</v>
      </c>
      <c r="BQ41" s="21">
        <f>EXP(-LN(2)/25)*BQ40+(1-EXP(-LN(2)/25))/(LN(2)/25)*Calculateur!BL41*Calculateur!BN41*VLOOKUP('Données projet'!$B$11,Paramètres!$A$1:$I$89,3,0)*0.475*44/12</f>
        <v>22.294346324092835</v>
      </c>
      <c r="BR41" s="21">
        <f>EXP(-LN(2)/2)*BR40+(1-EXP(-LN(2)/2))/(LN(2)/2)*BL41*BO41*VLOOKUP('Données projet'!$B$11,Paramètres!$A$1:$I$89,3,0)*0.475*44/12</f>
        <v>1.3471180460844769</v>
      </c>
      <c r="BS41" s="22">
        <f t="shared" si="9"/>
        <v>29.872707188222282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12.1</v>
      </c>
      <c r="BY41" s="12">
        <f>IF('Données projet'!$A$114&gt;35,BY40+BX41-CG40,IF(A41&lt;'Données projet'!$A$114,$BV$205^A41,IF(A41='Données projet'!$A$114,'Données projet'!$B$114,BY40+BX41-CG40)))</f>
        <v>246.79999999999998</v>
      </c>
      <c r="BZ41" s="13">
        <f>BY41*VLOOKUP('Données projet'!$B$12,Paramètres!$A$1:$I$89,3,0)*VLOOKUP('Données projet'!$B$12,Paramètres!$A$1:$I$89,5,0)</f>
        <v>134.75280000000001</v>
      </c>
      <c r="CA41" s="13">
        <f t="shared" si="39"/>
        <v>35.092286247742877</v>
      </c>
      <c r="CB41" s="20">
        <f t="shared" si="10"/>
        <v>295.81352521481881</v>
      </c>
      <c r="CC41" s="59">
        <f t="shared" si="11"/>
        <v>589.14685854815207</v>
      </c>
      <c r="CD41" s="59">
        <f ca="1">AVERAGE(OFFSET($CC$3,0,0,'Données projet'!$E$12+1,1))-AVERAGE(OFFSET($H$3,0,0,'Données projet'!$E$12+1,1))</f>
        <v>168.72306536277267</v>
      </c>
      <c r="CE41" s="59">
        <f t="shared" si="40"/>
        <v>203.35476578922339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2.5963511741854051</v>
      </c>
      <c r="CL41" s="21">
        <f>EXP(-LN(2)/25)*CL40+(1-EXP(-LN(2)/25))/(LN(2)/25)*Calculateur!CG41*Calculateur!CI41*VLOOKUP('Données projet'!$B$12,Paramètres!$A$1:$I$89,3,0)*0.475*44/12</f>
        <v>18.412608396559847</v>
      </c>
      <c r="CM41" s="21">
        <f>EXP(-LN(2)/2)*CM40+(1-EXP(-LN(2)/2))/(LN(2)/2)*CG41*CJ41*VLOOKUP('Données projet'!$B$12,Paramètres!$A$1:$I$89,3,0)*0.475*44/12</f>
        <v>1.2514904138805776</v>
      </c>
      <c r="CN41" s="22">
        <f t="shared" si="12"/>
        <v>22.260449984625829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5.6730769230769225</v>
      </c>
      <c r="CT41" s="12">
        <f>IF('Données projet'!$A$140&gt;35,CT40+CS41-DB40,IF(A41&lt;'Données projet'!$A$140,$CQ$205^A41,IF(A41='Données projet'!$A$140,'Données projet'!$B$140,CT40+CS41-DB40)))</f>
        <v>215.57692307692318</v>
      </c>
      <c r="CU41" s="17">
        <f>CT41*VLOOKUP('Données projet'!$B$13,Paramètres!$A$1:$I$89,3,0)*VLOOKUP('Données projet'!$B$13,Paramètres!$A$1:$I$89,5,0)</f>
        <v>103.69250000000004</v>
      </c>
      <c r="CV41" s="13">
        <f t="shared" si="41"/>
        <v>27.839819757412403</v>
      </c>
      <c r="CW41" s="20">
        <f t="shared" si="13"/>
        <v>229.08545691082665</v>
      </c>
      <c r="CX41" s="59">
        <f t="shared" si="14"/>
        <v>522.41879024415994</v>
      </c>
      <c r="CY41" s="59">
        <f ca="1">AVERAGE(OFFSET($CX$3,0,0,'Données projet'!$E$13+1,1))-AVERAGE(OFFSET($H$3,0,0,'Données projet'!$E$13+1,1))</f>
        <v>304.15237106473313</v>
      </c>
      <c r="CZ41" s="59">
        <f t="shared" si="42"/>
        <v>120.85458928724336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>
        <f>EXP(-LN(2)/35)*DF40+(1-EXP(-LN(2)/35))/(LN(2)/35)*DB41*DC41*VLOOKUP('Données projet'!$B$13,Paramètres!$A$1:$I$89,3,0)*0.475*44/12</f>
        <v>0</v>
      </c>
      <c r="DG41" s="21">
        <f>EXP(-LN(2)/25)*DG40+(1-EXP(-LN(2)/25))/(LN(2)/25)*Calculateur!DB41*Calculateur!DD41*VLOOKUP('Données projet'!$B$13,Paramètres!$A$1:$I$89,3,0)*0.475*44/12</f>
        <v>0</v>
      </c>
      <c r="DH41" s="21">
        <f>EXP(-LN(2)/2)*DH40+(1-EXP(-LN(2)/2))/(LN(2)/2)*DB41*DE41*VLOOKUP('Données projet'!$B$13,Paramètres!$A$1:$I$89,3,0)*0.475*44/12</f>
        <v>0</v>
      </c>
      <c r="DI41" s="22">
        <f t="shared" si="15"/>
        <v>0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3.8846153846153846</v>
      </c>
      <c r="DO41" s="12">
        <f>IF('Données projet'!$A$166&gt;35,DO40+DN41-DW40,IF(A41&lt;'Données projet'!$A$166,$DL$205^A41,IF(A41='Données projet'!$A$166,'Données projet'!$B$166,DO40+DN41-DW40)))</f>
        <v>147.61538461538467</v>
      </c>
      <c r="DP41" s="17">
        <f>DO41*VLOOKUP('Données projet'!$B$14,Paramètres!$A$1:$I$89,3,0)*VLOOKUP('Données projet'!$B$14,Paramètres!$A$1:$I$89,5,0)</f>
        <v>71.003000000000029</v>
      </c>
      <c r="DQ41" s="13">
        <f t="shared" si="43"/>
        <v>19.922331207064023</v>
      </c>
      <c r="DR41" s="20">
        <f t="shared" si="16"/>
        <v>158.36161851896989</v>
      </c>
      <c r="DS41" s="59">
        <f t="shared" si="17"/>
        <v>451.69495185230323</v>
      </c>
      <c r="DT41" s="59">
        <f ca="1">AVERAGE(OFFSET($DS$3,0,0,'Données projet'!$E$14+1,1))-AVERAGE(OFFSET($H$3,0,0,'Données projet'!$E$14+1,1))</f>
        <v>91.053246648097399</v>
      </c>
      <c r="DU41" s="59">
        <f t="shared" si="44"/>
        <v>64.716270355703955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>
        <f>EXP(-LN(2)/35)*EA40+(1-EXP(-LN(2)/35))/(LN(2)/35)*DW41*DX41*VLOOKUP('Données projet'!$B$14,Paramètres!$A$1:$I$89,3,0)*0.475*44/12</f>
        <v>0</v>
      </c>
      <c r="EB41" s="21">
        <f>EXP(-LN(2)/25)*EB40+(1-EXP(-LN(2)/25))/(LN(2)/25)*Calculateur!DW41*Calculateur!DY41*VLOOKUP('Données projet'!$B$14,Paramètres!$A$1:$I$89,3,0)*0.475*44/12</f>
        <v>0</v>
      </c>
      <c r="EC41" s="21">
        <f>EXP(-LN(2)/2)*EC40+(1-EXP(-LN(2)/2))/(LN(2)/2)*DW41*DZ41*VLOOKUP('Données projet'!$B$14,Paramètres!$A$1:$I$89,3,0)*0.475*44/12</f>
        <v>0</v>
      </c>
      <c r="ED41" s="22">
        <f t="shared" si="18"/>
        <v>0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18.2</v>
      </c>
      <c r="EJ41" s="12">
        <f>IF('Données projet'!$A$192&gt;35,EJ40+EI41-ER40,IF(A41&lt;'Données projet'!$A$192,$EG$205^A41,IF(A41='Données projet'!$A$192,'Données projet'!$B$192,EJ40+EI41-ER40)))</f>
        <v>304.59999999999997</v>
      </c>
      <c r="EK41" s="17">
        <f>EJ41*VLOOKUP('Données projet'!$B$15,Paramètres!$A$1:$I$89,3,0)*VLOOKUP('Données projet'!$B$15,Paramètres!$A$1:$I$89,5,0)</f>
        <v>182.15079999999998</v>
      </c>
      <c r="EL41" s="13">
        <f t="shared" si="45"/>
        <v>45.800368240506849</v>
      </c>
      <c r="EM41" s="20">
        <f t="shared" si="19"/>
        <v>397.01495135221603</v>
      </c>
      <c r="EN41" s="59">
        <f t="shared" si="20"/>
        <v>690.34828468554929</v>
      </c>
      <c r="EO41" s="59">
        <f ca="1">AVERAGE(OFFSET($EN$3,0,0,'Données projet'!$E$15+1,1))-AVERAGE(OFFSET($H$3,0,0,'Données projet'!$E$15+1,1))</f>
        <v>316.58509520829671</v>
      </c>
      <c r="EP41" s="59">
        <f t="shared" si="46"/>
        <v>240.71332110643596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>
        <f>EXP(-LN(2)/35)*EV40+(1-EXP(-LN(2)/35))/(LN(2)/35)*ER41*ES41*VLOOKUP('Données projet'!$B$15,Paramètres!$A$1:$I$89,3,0)*0.475*44/12</f>
        <v>2.1631844221656982</v>
      </c>
      <c r="EW41" s="21">
        <f>EXP(-LN(2)/25)*EW40+(1-EXP(-LN(2)/25))/(LN(2)/25)*Calculateur!ER41*Calculateur!ET41*VLOOKUP('Données projet'!$B$15,Paramètres!$A$1:$I$89,3,0)*0.475*44/12</f>
        <v>12.23067618911478</v>
      </c>
      <c r="EX41" s="21">
        <f>EXP(-LN(2)/2)*EX40+(1-EXP(-LN(2)/2))/(LN(2)/2)*ER41*EU41*VLOOKUP('Données projet'!$B$15,Paramètres!$A$1:$I$89,3,0)*0.475*44/12</f>
        <v>1.3712089418837998</v>
      </c>
      <c r="EY41" s="22">
        <f t="shared" si="21"/>
        <v>15.765069553164277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15.7</v>
      </c>
      <c r="FE41" s="12">
        <f>IF('Données projet'!$A$218&gt;35,FE40+FD41-FM40,IF(A41&lt;'Données projet'!$A$218,$FB$205^A41,IF(A41='Données projet'!$A$218,'Données projet'!$B$218,FE40+FD41-FM40)))</f>
        <v>265.59999999999997</v>
      </c>
      <c r="FF41" s="17">
        <f>FE41*VLOOKUP('Données projet'!$B$16,Paramètres!$A$1:$I$89,3,0)*VLOOKUP('Données projet'!$B$16,Paramètres!$A$1:$I$89,5,0)</f>
        <v>158.8288</v>
      </c>
      <c r="FG41" s="13">
        <f t="shared" si="47"/>
        <v>40.578235128063156</v>
      </c>
      <c r="FH41" s="20">
        <f t="shared" si="22"/>
        <v>347.30058618137667</v>
      </c>
      <c r="FI41" s="59">
        <f t="shared" si="23"/>
        <v>640.63391951470999</v>
      </c>
      <c r="FJ41" s="59">
        <f ca="1">AVERAGE(OFFSET($FI$3,0,0,'Données projet'!$E$16+1,1))-AVERAGE(OFFSET($H$3,0,0,'Données projet'!$E$16+1,1))</f>
        <v>270.30888762640245</v>
      </c>
      <c r="FK41" s="59">
        <f t="shared" si="48"/>
        <v>202.23783851977691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>
        <f>EXP(-LN(2)/35)*FQ40+(1-EXP(-LN(2)/35))/(LN(2)/35)*FM41*FN41*VLOOKUP('Données projet'!$B$16,Paramètres!$A$1:$I$89,3,0)*0.475*44/12</f>
        <v>1.8280431736611527</v>
      </c>
      <c r="FR41" s="21">
        <f>EXP(-LN(2)/25)*FR40+(1-EXP(-LN(2)/25))/(LN(2)/25)*Calculateur!FM41*Calculateur!FO41*VLOOKUP('Données projet'!$B$16,Paramètres!$A$1:$I$89,3,0)*0.475*44/12</f>
        <v>9.8493209054758069</v>
      </c>
      <c r="FS41" s="21">
        <f>EXP(-LN(2)/2)*FS40+(1-EXP(-LN(2)/2))/(LN(2)/2)*FM41*FP41*VLOOKUP('Données projet'!$B$16,Paramètres!$A$1:$I$89,3,0)*0.475*44/12</f>
        <v>1.1557880366539115</v>
      </c>
      <c r="FT41" s="22">
        <f t="shared" si="24"/>
        <v>12.83315211579087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12.1</v>
      </c>
      <c r="FZ41" s="12">
        <f>IF('Données projet'!$A$244&gt;35,FZ40+FY41-GH40,IF(A41&lt;'Données projet'!$A$244,$FW$205^A41,IF(A41='Données projet'!$A$244,'Données projet'!$B$244,FZ40+FY41-GH40)))</f>
        <v>238.79999999999995</v>
      </c>
      <c r="GA41" s="17">
        <f>FZ41*VLOOKUP('Données projet'!$B$17,Paramètres!$A$1:$I$89,3,0)*VLOOKUP('Données projet'!$B$17,Paramètres!$A$1:$I$89,5,0)</f>
        <v>189.98927999999998</v>
      </c>
      <c r="GB41" s="13">
        <f t="shared" si="49"/>
        <v>47.537582803650189</v>
      </c>
      <c r="GC41" s="20">
        <f t="shared" si="25"/>
        <v>413.69261938302407</v>
      </c>
      <c r="GD41" s="59">
        <f t="shared" si="26"/>
        <v>707.02595271635732</v>
      </c>
      <c r="GE41" s="59">
        <f ca="1">AVERAGE(OFFSET($GD$3,0,0,'Données projet'!$E$17+1,1))-AVERAGE(OFFSET($H$3,0,0,'Données projet'!$E$17+1,1))</f>
        <v>260.20517190557814</v>
      </c>
      <c r="GF41" s="59">
        <f t="shared" si="50"/>
        <v>307.22009971147133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>
        <f>EXP(-LN(2)/35)*GL40+(1-EXP(-LN(2)/35))/(LN(2)/35)*GH41*GI41*VLOOKUP('Données projet'!$B$17,Paramètres!$A$1:$I$89,3,0)*0.475*44/12</f>
        <v>2.7848957237393459</v>
      </c>
      <c r="GM41" s="21">
        <f>EXP(-LN(2)/25)*GM40+(1-EXP(-LN(2)/25))/(LN(2)/25)*Calculateur!GH41*Calculateur!GJ41*VLOOKUP('Données projet'!$B$17,Paramètres!$A$1:$I$89,3,0)*0.475*44/12</f>
        <v>16.437635642940808</v>
      </c>
      <c r="GN41" s="21">
        <f>EXP(-LN(2)/2)*GN40+(1-EXP(-LN(2)/2))/(LN(2)/2)*GH41*GK41*VLOOKUP('Données projet'!$B$17,Paramètres!$A$1:$I$89,3,0)*0.475*44/12</f>
        <v>1.5024396407973304</v>
      </c>
      <c r="GO41" s="21">
        <f t="shared" si="27"/>
        <v>20.724971007477485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10.199999999999999</v>
      </c>
      <c r="GU41" s="12">
        <f>IF('Données projet'!$A$270&gt;35,GU40+GT41-HC40,IF(A41&lt;'Données projet'!$A$270,$GR$205^A41,IF(A41='Données projet'!$A$270,'Données projet'!$B$270,GU40+GT41-HC40)))</f>
        <v>199.59999999999988</v>
      </c>
      <c r="GV41" s="17">
        <f>GU41*VLOOKUP('Données projet'!$B$18,Paramètres!$A$1:$I$89,3,0)*VLOOKUP('Données projet'!$B$18,Paramètres!$A$1:$I$89,5,0)</f>
        <v>158.80175999999992</v>
      </c>
      <c r="GW41" s="13">
        <f t="shared" si="51"/>
        <v>40.572130902159856</v>
      </c>
      <c r="GX41" s="20">
        <f t="shared" si="28"/>
        <v>347.24285998792817</v>
      </c>
      <c r="GY41" s="59">
        <f t="shared" si="29"/>
        <v>640.57619332126148</v>
      </c>
      <c r="GZ41" s="59">
        <f ca="1">AVERAGE(OFFSET($GY$3,0,0,'Données projet'!$E$18+1,1))-AVERAGE(OFFSET($H$3,0,0,'Données projet'!$E$18+1,1))</f>
        <v>199.58763537752952</v>
      </c>
      <c r="HA41" s="59">
        <f t="shared" si="52"/>
        <v>242.62852778451929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>
        <f>EXP(-LN(2)/35)*HG40+(1-EXP(-LN(2)/35))/(LN(2)/35)*HC41*HD41*VLOOKUP('Données projet'!$B$18,Paramètres!$A$1:$I$89,3,0)*0.475*44/12</f>
        <v>0</v>
      </c>
      <c r="HH41" s="21">
        <f>EXP(-LN(2)/25)*HH40+(1-EXP(-LN(2)/25))/(LN(2)/25)*Calculateur!HC41*Calculateur!HE41*VLOOKUP('Données projet'!$B$18,Paramètres!$A$1:$I$89,3,0)*0.475*44/12</f>
        <v>8.2373827016086896</v>
      </c>
      <c r="HI41" s="21">
        <f>EXP(-LN(2)/2)*HI40+(1-EXP(-LN(2)/2))/(LN(2)/2)*HC41*HF41*VLOOKUP('Données projet'!$B$18,Paramètres!$A$1:$I$89,3,0)*0.475*44/12</f>
        <v>0.67259739957626319</v>
      </c>
      <c r="HJ41" s="22">
        <f t="shared" si="30"/>
        <v>8.9099801011849529</v>
      </c>
    </row>
    <row r="42" spans="1:218" x14ac:dyDescent="0.2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34.678799999999995</v>
      </c>
      <c r="D42" s="11">
        <f t="shared" si="32"/>
        <v>10.576760473435781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349.34116856687268</v>
      </c>
      <c r="H42" s="67">
        <f t="shared" si="1"/>
        <v>372.15343449123395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22.419230769230779</v>
      </c>
      <c r="N42" s="13">
        <f>IF('Données projet'!$A$36&gt;35,N41+M42-V41,IF(A42&lt;'Données projet'!$A$36,$K$205^A42,IF(A42='Données projet'!$A$36,'Données projet'!$B$36,N41+M42-V41)))</f>
        <v>401.46538461538432</v>
      </c>
      <c r="O42" s="13">
        <f>N42*VLOOKUP('Données projet'!$B$9,Paramètres!$A$1:$I$89,3,0)*VLOOKUP('Données projet'!$B$9,Paramètres!$A$1:$I$89,5,0)</f>
        <v>224.41914999999986</v>
      </c>
      <c r="P42" s="13">
        <f t="shared" si="33"/>
        <v>55.074251579267411</v>
      </c>
      <c r="Q42" s="20">
        <f t="shared" si="53"/>
        <v>486.78434108389047</v>
      </c>
      <c r="R42" s="59">
        <f t="shared" si="0"/>
        <v>780.11767441722372</v>
      </c>
      <c r="S42" s="59">
        <f ca="1">AVERAGE(OFFSET($R$3,0,0,'Données projet'!$E$9+1,1))-AVERAGE(OFFSET($H$3,0,0,'Données projet'!$E$9+1,1))</f>
        <v>255.5374979188561</v>
      </c>
      <c r="T42" s="59">
        <f t="shared" si="34"/>
        <v>343.10418468620901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2.5855712327682125</v>
      </c>
      <c r="AA42" s="21">
        <f>EXP(-LN(2)/25)*AA41+(1-EXP(-LN(2)/25))/(LN(2)/25)*Calculateur!V42*Calculateur!X42*VLOOKUP('Données projet'!$B$9,Paramètres!$A$1:$I$89,3,0)*0.475*44/12</f>
        <v>12.435668596507927</v>
      </c>
      <c r="AB42" s="21">
        <f>EXP(-LN(2)/2)*AB41+(1-EXP(-LN(2)/2))/(LN(2)/2)*V42*Y42*VLOOKUP('Données projet'!$B$9,Paramètres!$A$1:$I$89,3,0)*0.475*44/12</f>
        <v>7.4805360223217557E-2</v>
      </c>
      <c r="AC42" s="22">
        <f t="shared" si="3"/>
        <v>15.096045189499359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18.229670329670324</v>
      </c>
      <c r="AI42" s="13">
        <f>IF('Données projet'!$A$62&gt;35,AI41+AH42-AQ41,IF(A42&lt;'Données projet'!$A$62,$AF$205^A42,IF(A42='Données projet'!$A$62,'Données projet'!$B$62,AI41+AH42-AQ41)))</f>
        <v>307.91098901098906</v>
      </c>
      <c r="AJ42" s="13">
        <f>AI42*VLOOKUP('Données projet'!$B$10,Paramètres!$A$1:$I$89,3,0)*VLOOKUP('Données projet'!$B$10,Paramètres!$A$1:$I$89,5,0)</f>
        <v>172.12224285714288</v>
      </c>
      <c r="AK42" s="13">
        <f t="shared" si="35"/>
        <v>43.564991640658711</v>
      </c>
      <c r="AL42" s="20">
        <f t="shared" si="4"/>
        <v>375.65526675033772</v>
      </c>
      <c r="AM42" s="59">
        <f t="shared" si="5"/>
        <v>668.98860008367103</v>
      </c>
      <c r="AN42" s="59">
        <f ca="1">AVERAGE(OFFSET($AM$3,0,0,'Données projet'!$E$10+1,1))-AVERAGE(OFFSET($H$3,0,0,'Données projet'!$E$10+1,1))</f>
        <v>224.7049802939942</v>
      </c>
      <c r="AO42" s="59">
        <f t="shared" si="36"/>
        <v>203.48513862195352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1.8669087948118619</v>
      </c>
      <c r="AV42" s="21">
        <f>EXP(-LN(2)/25)*AV41+(1-EXP(-LN(2)/25))/(LN(2)/25)*Calculateur!AQ42*Calculateur!AS42*VLOOKUP('Données projet'!$B$10,Paramètres!$A$1:$I$89,3,0)*0.475*44/12</f>
        <v>15.212820291686242</v>
      </c>
      <c r="AW42" s="21">
        <f>EXP(-LN(2)/2)*AW41+(1-EXP(-LN(2)/2))/(LN(2)/2)*AQ42*AT42*VLOOKUP('Données projet'!$B$10,Paramètres!$A$1:$I$89,3,0)*0.475*44/12</f>
        <v>0.39600687042149302</v>
      </c>
      <c r="AX42" s="21">
        <f t="shared" si="6"/>
        <v>17.4757359569196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13.8</v>
      </c>
      <c r="BD42" s="12">
        <f>IF('Données projet'!$A$88&gt;35,BD41+BC42-BL41,IF(A42&lt;'Données projet'!$A$88,$BA$205^A42,IF(A42='Données projet'!$A$88,'Données projet'!$B$88,BD41+BC42-BL41)))</f>
        <v>300.2000000000001</v>
      </c>
      <c r="BE42" s="13">
        <f>BD42*VLOOKUP('Données projet'!$B$11,Paramètres!$A$1:$I$89,3,0)*VLOOKUP('Données projet'!$B$11,Paramètres!$A$1:$I$89,5,0)</f>
        <v>163.90920000000006</v>
      </c>
      <c r="BF42" s="13">
        <f t="shared" si="37"/>
        <v>41.723003836805745</v>
      </c>
      <c r="BG42" s="20">
        <f t="shared" si="7"/>
        <v>358.14275501577009</v>
      </c>
      <c r="BH42" s="59">
        <f t="shared" si="8"/>
        <v>651.47608834910341</v>
      </c>
      <c r="BI42" s="59">
        <f ca="1">AVERAGE(OFFSET($BH$3,0,0,'Données projet'!$E$11+1,1))-AVERAGE(OFFSET($H$3,0,0,'Données projet'!$E$11+1,1))</f>
        <v>210.04871822652808</v>
      </c>
      <c r="BJ42" s="59">
        <f t="shared" si="38"/>
        <v>250.17540614049324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6.1090519470659412</v>
      </c>
      <c r="BQ42" s="21">
        <f>EXP(-LN(2)/25)*BQ41+(1-EXP(-LN(2)/25))/(LN(2)/25)*Calculateur!BL42*Calculateur!BN42*VLOOKUP('Données projet'!$B$11,Paramètres!$A$1:$I$89,3,0)*0.475*44/12</f>
        <v>21.684706251451797</v>
      </c>
      <c r="BR42" s="21">
        <f>EXP(-LN(2)/2)*BR41+(1-EXP(-LN(2)/2))/(LN(2)/2)*BL42*BO42*VLOOKUP('Données projet'!$B$11,Paramètres!$A$1:$I$89,3,0)*0.475*44/12</f>
        <v>0.95255630544510572</v>
      </c>
      <c r="BS42" s="22">
        <f t="shared" si="9"/>
        <v>28.746314503962843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12.1</v>
      </c>
      <c r="BY42" s="12">
        <f>IF('Données projet'!$A$114&gt;35,BY41+BX42-CG41,IF(A42&lt;'Données projet'!$A$114,$BV$205^A42,IF(A42='Données projet'!$A$114,'Données projet'!$B$114,BY41+BX42-CG41)))</f>
        <v>258.89999999999998</v>
      </c>
      <c r="BZ42" s="13">
        <f>BY42*VLOOKUP('Données projet'!$B$12,Paramètres!$A$1:$I$89,3,0)*VLOOKUP('Données projet'!$B$12,Paramètres!$A$1:$I$89,5,0)</f>
        <v>141.35939999999999</v>
      </c>
      <c r="CA42" s="13">
        <f t="shared" si="39"/>
        <v>36.60824958838036</v>
      </c>
      <c r="CB42" s="20">
        <f t="shared" si="10"/>
        <v>309.96032303309579</v>
      </c>
      <c r="CC42" s="59">
        <f t="shared" si="11"/>
        <v>603.2936563664291</v>
      </c>
      <c r="CD42" s="59">
        <f ca="1">AVERAGE(OFFSET($CC$3,0,0,'Données projet'!$E$12+1,1))-AVERAGE(OFFSET($H$3,0,0,'Données projet'!$E$12+1,1))</f>
        <v>168.72306536277267</v>
      </c>
      <c r="CE42" s="59">
        <f t="shared" si="40"/>
        <v>203.35476578922339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2.5454383112774761</v>
      </c>
      <c r="CL42" s="21">
        <f>EXP(-LN(2)/25)*CL41+(1-EXP(-LN(2)/25))/(LN(2)/25)*Calculateur!CG42*Calculateur!CI42*VLOOKUP('Données projet'!$B$12,Paramètres!$A$1:$I$89,3,0)*0.475*44/12</f>
        <v>17.909114651678927</v>
      </c>
      <c r="CM42" s="21">
        <f>EXP(-LN(2)/2)*CM41+(1-EXP(-LN(2)/2))/(LN(2)/2)*CG42*CJ42*VLOOKUP('Données projet'!$B$12,Paramètres!$A$1:$I$89,3,0)*0.475*44/12</f>
        <v>0.88493735824491548</v>
      </c>
      <c r="CN42" s="22">
        <f t="shared" si="12"/>
        <v>21.339490321201318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5.6730769230769225</v>
      </c>
      <c r="CT42" s="12">
        <f>IF('Données projet'!$A$140&gt;35,CT41+CS42-DB41,IF(A42&lt;'Données projet'!$A$140,$CQ$205^A42,IF(A42='Données projet'!$A$140,'Données projet'!$B$140,CT41+CS42-DB41)))</f>
        <v>221.25000000000011</v>
      </c>
      <c r="CU42" s="17">
        <f>CT42*VLOOKUP('Données projet'!$B$13,Paramètres!$A$1:$I$89,3,0)*VLOOKUP('Données projet'!$B$13,Paramètres!$A$1:$I$89,5,0)</f>
        <v>106.42125000000006</v>
      </c>
      <c r="CV42" s="13">
        <f t="shared" si="41"/>
        <v>28.486186939644035</v>
      </c>
      <c r="CW42" s="20">
        <f t="shared" si="13"/>
        <v>234.96378600321347</v>
      </c>
      <c r="CX42" s="59">
        <f t="shared" si="14"/>
        <v>528.29711933654676</v>
      </c>
      <c r="CY42" s="59">
        <f ca="1">AVERAGE(OFFSET($CX$3,0,0,'Données projet'!$E$13+1,1))-AVERAGE(OFFSET($H$3,0,0,'Données projet'!$E$13+1,1))</f>
        <v>304.15237106473313</v>
      </c>
      <c r="CZ42" s="59">
        <f t="shared" si="42"/>
        <v>120.85458928724336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>
        <f>EXP(-LN(2)/35)*DF41+(1-EXP(-LN(2)/35))/(LN(2)/35)*DB42*DC42*VLOOKUP('Données projet'!$B$13,Paramètres!$A$1:$I$89,3,0)*0.475*44/12</f>
        <v>0</v>
      </c>
      <c r="DG42" s="21">
        <f>EXP(-LN(2)/25)*DG41+(1-EXP(-LN(2)/25))/(LN(2)/25)*Calculateur!DB42*Calculateur!DD42*VLOOKUP('Données projet'!$B$13,Paramètres!$A$1:$I$89,3,0)*0.475*44/12</f>
        <v>0</v>
      </c>
      <c r="DH42" s="21">
        <f>EXP(-LN(2)/2)*DH41+(1-EXP(-LN(2)/2))/(LN(2)/2)*DB42*DE42*VLOOKUP('Données projet'!$B$13,Paramètres!$A$1:$I$89,3,0)*0.475*44/12</f>
        <v>0</v>
      </c>
      <c r="DI42" s="22">
        <f t="shared" si="15"/>
        <v>0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3.8846153846153846</v>
      </c>
      <c r="DO42" s="12">
        <f>IF('Données projet'!$A$166&gt;35,DO41+DN42-DW41,IF(A42&lt;'Données projet'!$A$166,$DL$205^A42,IF(A42='Données projet'!$A$166,'Données projet'!$B$166,DO41+DN42-DW41)))</f>
        <v>151.50000000000006</v>
      </c>
      <c r="DP42" s="17">
        <f>DO42*VLOOKUP('Données projet'!$B$14,Paramètres!$A$1:$I$89,3,0)*VLOOKUP('Données projet'!$B$14,Paramètres!$A$1:$I$89,5,0)</f>
        <v>72.871500000000026</v>
      </c>
      <c r="DQ42" s="13">
        <f t="shared" si="43"/>
        <v>20.384875188957679</v>
      </c>
      <c r="DR42" s="20">
        <f t="shared" si="16"/>
        <v>162.42152012076801</v>
      </c>
      <c r="DS42" s="59">
        <f t="shared" si="17"/>
        <v>455.75485345410129</v>
      </c>
      <c r="DT42" s="59">
        <f ca="1">AVERAGE(OFFSET($DS$3,0,0,'Données projet'!$E$14+1,1))-AVERAGE(OFFSET($H$3,0,0,'Données projet'!$E$14+1,1))</f>
        <v>91.053246648097399</v>
      </c>
      <c r="DU42" s="59">
        <f t="shared" si="44"/>
        <v>64.716270355703955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>
        <f>EXP(-LN(2)/35)*EA41+(1-EXP(-LN(2)/35))/(LN(2)/35)*DW42*DX42*VLOOKUP('Données projet'!$B$14,Paramètres!$A$1:$I$89,3,0)*0.475*44/12</f>
        <v>0</v>
      </c>
      <c r="EB42" s="21">
        <f>EXP(-LN(2)/25)*EB41+(1-EXP(-LN(2)/25))/(LN(2)/25)*Calculateur!DW42*Calculateur!DY42*VLOOKUP('Données projet'!$B$14,Paramètres!$A$1:$I$89,3,0)*0.475*44/12</f>
        <v>0</v>
      </c>
      <c r="EC42" s="21">
        <f>EXP(-LN(2)/2)*EC41+(1-EXP(-LN(2)/2))/(LN(2)/2)*DW42*DZ42*VLOOKUP('Données projet'!$B$14,Paramètres!$A$1:$I$89,3,0)*0.475*44/12</f>
        <v>0</v>
      </c>
      <c r="ED42" s="22">
        <f t="shared" si="18"/>
        <v>0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18.2</v>
      </c>
      <c r="EJ42" s="12">
        <f>IF('Données projet'!$A$192&gt;35,EJ41+EI42-ER41,IF(A42&lt;'Données projet'!$A$192,$EG$205^A42,IF(A42='Données projet'!$A$192,'Données projet'!$B$192,EJ41+EI42-ER41)))</f>
        <v>322.79999999999995</v>
      </c>
      <c r="EK42" s="17">
        <f>EJ42*VLOOKUP('Données projet'!$B$15,Paramètres!$A$1:$I$89,3,0)*VLOOKUP('Données projet'!$B$15,Paramètres!$A$1:$I$89,5,0)</f>
        <v>193.03440000000001</v>
      </c>
      <c r="EL42" s="13">
        <f t="shared" si="45"/>
        <v>48.210195726438577</v>
      </c>
      <c r="EM42" s="20">
        <f t="shared" si="19"/>
        <v>420.16767089021386</v>
      </c>
      <c r="EN42" s="59">
        <f t="shared" si="20"/>
        <v>713.50100422354717</v>
      </c>
      <c r="EO42" s="59">
        <f ca="1">AVERAGE(OFFSET($EN$3,0,0,'Données projet'!$E$15+1,1))-AVERAGE(OFFSET($H$3,0,0,'Données projet'!$E$15+1,1))</f>
        <v>316.58509520829671</v>
      </c>
      <c r="EP42" s="59">
        <f t="shared" si="46"/>
        <v>240.71332110643596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>
        <f>EXP(-LN(2)/35)*EV41+(1-EXP(-LN(2)/35))/(LN(2)/35)*ER42*ES42*VLOOKUP('Données projet'!$B$15,Paramètres!$A$1:$I$89,3,0)*0.475*44/12</f>
        <v>2.1207656950592453</v>
      </c>
      <c r="EW42" s="21">
        <f>EXP(-LN(2)/25)*EW41+(1-EXP(-LN(2)/25))/(LN(2)/25)*Calculateur!ER42*Calculateur!ET42*VLOOKUP('Données projet'!$B$15,Paramètres!$A$1:$I$89,3,0)*0.475*44/12</f>
        <v>11.896227705540129</v>
      </c>
      <c r="EX42" s="21">
        <f>EXP(-LN(2)/2)*EX41+(1-EXP(-LN(2)/2))/(LN(2)/2)*ER42*EU42*VLOOKUP('Données projet'!$B$15,Paramètres!$A$1:$I$89,3,0)*0.475*44/12</f>
        <v>0.9695911412296655</v>
      </c>
      <c r="EY42" s="22">
        <f t="shared" si="21"/>
        <v>14.986584541829041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15.7</v>
      </c>
      <c r="FE42" s="12">
        <f>IF('Données projet'!$A$218&gt;35,FE41+FD42-FM41,IF(A42&lt;'Données projet'!$A$218,$FB$205^A42,IF(A42='Données projet'!$A$218,'Données projet'!$B$218,FE41+FD42-FM41)))</f>
        <v>281.29999999999995</v>
      </c>
      <c r="FF42" s="17">
        <f>FE42*VLOOKUP('Données projet'!$B$16,Paramètres!$A$1:$I$89,3,0)*VLOOKUP('Données projet'!$B$16,Paramètres!$A$1:$I$89,5,0)</f>
        <v>168.2174</v>
      </c>
      <c r="FG42" s="13">
        <f t="shared" si="47"/>
        <v>42.690535879167591</v>
      </c>
      <c r="FH42" s="20">
        <f t="shared" si="22"/>
        <v>367.33132165621686</v>
      </c>
      <c r="FI42" s="59">
        <f t="shared" si="23"/>
        <v>660.66465498955017</v>
      </c>
      <c r="FJ42" s="59">
        <f ca="1">AVERAGE(OFFSET($FI$3,0,0,'Données projet'!$E$16+1,1))-AVERAGE(OFFSET($H$3,0,0,'Données projet'!$E$16+1,1))</f>
        <v>270.30888762640245</v>
      </c>
      <c r="FK42" s="59">
        <f t="shared" si="48"/>
        <v>202.23783851977691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>
        <f>EXP(-LN(2)/35)*FQ41+(1-EXP(-LN(2)/35))/(LN(2)/35)*FM42*FN42*VLOOKUP('Données projet'!$B$16,Paramètres!$A$1:$I$89,3,0)*0.475*44/12</f>
        <v>1.7921963620218966</v>
      </c>
      <c r="FR42" s="21">
        <f>EXP(-LN(2)/25)*FR41+(1-EXP(-LN(2)/25))/(LN(2)/25)*Calculateur!FM42*Calculateur!FO42*VLOOKUP('Données projet'!$B$16,Paramètres!$A$1:$I$89,3,0)*0.475*44/12</f>
        <v>9.5799907073622954</v>
      </c>
      <c r="FS42" s="21">
        <f>EXP(-LN(2)/2)*FS41+(1-EXP(-LN(2)/2))/(LN(2)/2)*FM42*FP42*VLOOKUP('Données projet'!$B$16,Paramètres!$A$1:$I$89,3,0)*0.475*44/12</f>
        <v>0.81726555833226677</v>
      </c>
      <c r="FT42" s="22">
        <f t="shared" si="24"/>
        <v>12.189452627716459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12.1</v>
      </c>
      <c r="FZ42" s="12">
        <f>IF('Données projet'!$A$244&gt;35,FZ41+FY42-GH41,IF(A42&lt;'Données projet'!$A$244,$FW$205^A42,IF(A42='Données projet'!$A$244,'Données projet'!$B$244,FZ41+FY42-GH41)))</f>
        <v>250.89999999999995</v>
      </c>
      <c r="GA42" s="17">
        <f>FZ42*VLOOKUP('Données projet'!$B$17,Paramètres!$A$1:$I$89,3,0)*VLOOKUP('Données projet'!$B$17,Paramètres!$A$1:$I$89,5,0)</f>
        <v>199.61603999999997</v>
      </c>
      <c r="GB42" s="13">
        <f t="shared" si="49"/>
        <v>49.659775503665841</v>
      </c>
      <c r="GC42" s="20">
        <f t="shared" si="25"/>
        <v>434.15537866888457</v>
      </c>
      <c r="GD42" s="59">
        <f t="shared" si="26"/>
        <v>727.48871200221788</v>
      </c>
      <c r="GE42" s="59">
        <f ca="1">AVERAGE(OFFSET($GD$3,0,0,'Données projet'!$E$17+1,1))-AVERAGE(OFFSET($H$3,0,0,'Données projet'!$E$17+1,1))</f>
        <v>260.20517190557814</v>
      </c>
      <c r="GF42" s="59">
        <f t="shared" si="50"/>
        <v>307.22009971147133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>
        <f>EXP(-LN(2)/35)*GL41+(1-EXP(-LN(2)/35))/(LN(2)/35)*GH42*GI42*VLOOKUP('Données projet'!$B$17,Paramètres!$A$1:$I$89,3,0)*0.475*44/12</f>
        <v>2.7302856172154844</v>
      </c>
      <c r="GM42" s="21">
        <f>EXP(-LN(2)/25)*GM41+(1-EXP(-LN(2)/25))/(LN(2)/25)*Calculateur!GH42*Calculateur!GJ42*VLOOKUP('Données projet'!$B$17,Paramètres!$A$1:$I$89,3,0)*0.475*44/12</f>
        <v>15.988147631866902</v>
      </c>
      <c r="GN42" s="21">
        <f>EXP(-LN(2)/2)*GN41+(1-EXP(-LN(2)/2))/(LN(2)/2)*GH42*GK42*VLOOKUP('Données projet'!$B$17,Paramètres!$A$1:$I$89,3,0)*0.475*44/12</f>
        <v>1.062385258331273</v>
      </c>
      <c r="GO42" s="21">
        <f t="shared" si="27"/>
        <v>19.78081850741366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10.199999999999999</v>
      </c>
      <c r="GU42" s="12">
        <f>IF('Données projet'!$A$270&gt;35,GU41+GT42-HC41,IF(A42&lt;'Données projet'!$A$270,$GR$205^A42,IF(A42='Données projet'!$A$270,'Données projet'!$B$270,GU41+GT42-HC41)))</f>
        <v>209.79999999999987</v>
      </c>
      <c r="GV42" s="17">
        <f>GU42*VLOOKUP('Données projet'!$B$18,Paramètres!$A$1:$I$89,3,0)*VLOOKUP('Données projet'!$B$18,Paramètres!$A$1:$I$89,5,0)</f>
        <v>166.91687999999991</v>
      </c>
      <c r="GW42" s="13">
        <f t="shared" si="51"/>
        <v>42.398773450063487</v>
      </c>
      <c r="GX42" s="20">
        <f t="shared" si="28"/>
        <v>364.55809642552708</v>
      </c>
      <c r="GY42" s="59">
        <f t="shared" si="29"/>
        <v>657.89142975886034</v>
      </c>
      <c r="GZ42" s="59">
        <f ca="1">AVERAGE(OFFSET($GY$3,0,0,'Données projet'!$E$18+1,1))-AVERAGE(OFFSET($H$3,0,0,'Données projet'!$E$18+1,1))</f>
        <v>199.58763537752952</v>
      </c>
      <c r="HA42" s="59">
        <f t="shared" si="52"/>
        <v>242.62852778451929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>
        <f>EXP(-LN(2)/35)*HG41+(1-EXP(-LN(2)/35))/(LN(2)/35)*HC42*HD42*VLOOKUP('Données projet'!$B$18,Paramètres!$A$1:$I$89,3,0)*0.475*44/12</f>
        <v>0</v>
      </c>
      <c r="HH42" s="21">
        <f>EXP(-LN(2)/25)*HH41+(1-EXP(-LN(2)/25))/(LN(2)/25)*Calculateur!HC42*Calculateur!HE42*VLOOKUP('Données projet'!$B$18,Paramètres!$A$1:$I$89,3,0)*0.475*44/12</f>
        <v>8.0121310384480697</v>
      </c>
      <c r="HI42" s="21">
        <f>EXP(-LN(2)/2)*HI41+(1-EXP(-LN(2)/2))/(LN(2)/2)*HC42*HF42*VLOOKUP('Données projet'!$B$18,Paramètres!$A$1:$I$89,3,0)*0.475*44/12</f>
        <v>0.47559818224881362</v>
      </c>
      <c r="HJ42" s="22">
        <f t="shared" si="30"/>
        <v>8.4877292206968828</v>
      </c>
    </row>
    <row r="43" spans="1:218" x14ac:dyDescent="0.2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35.567999999999998</v>
      </c>
      <c r="D43" s="11">
        <f t="shared" si="32"/>
        <v>10.816037660735208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358.0522205390086</v>
      </c>
      <c r="H43" s="67">
        <f t="shared" si="1"/>
        <v>374.11886559244715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22.419230769230779</v>
      </c>
      <c r="N43" s="13">
        <f>IF('Données projet'!$A$36&gt;35,N42+M43-V42,IF(A43&lt;'Données projet'!$A$36,$K$205^A43,IF(A43='Données projet'!$A$36,'Données projet'!$B$36,N42+M43-V42)))</f>
        <v>423.88461538461513</v>
      </c>
      <c r="O43" s="13">
        <f>N43*VLOOKUP('Données projet'!$B$9,Paramètres!$A$1:$I$89,3,0)*VLOOKUP('Données projet'!$B$9,Paramètres!$A$1:$I$89,5,0)</f>
        <v>236.95149999999987</v>
      </c>
      <c r="P43" s="13">
        <f t="shared" si="33"/>
        <v>57.783143668102703</v>
      </c>
      <c r="Q43" s="20">
        <f t="shared" si="53"/>
        <v>513.32950438861201</v>
      </c>
      <c r="R43" s="59">
        <f t="shared" si="0"/>
        <v>806.66283772194538</v>
      </c>
      <c r="S43" s="59">
        <f ca="1">AVERAGE(OFFSET($R$3,0,0,'Données projet'!$E$9+1,1))-AVERAGE(OFFSET($H$3,0,0,'Données projet'!$E$9+1,1))</f>
        <v>255.5374979188561</v>
      </c>
      <c r="T43" s="59">
        <f t="shared" si="34"/>
        <v>343.10418468620901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2.5348697579363599</v>
      </c>
      <c r="AA43" s="21">
        <f>EXP(-LN(2)/25)*AA42+(1-EXP(-LN(2)/25))/(LN(2)/25)*Calculateur!V43*Calculateur!X43*VLOOKUP('Données projet'!$B$9,Paramètres!$A$1:$I$89,3,0)*0.475*44/12</f>
        <v>12.095614584773029</v>
      </c>
      <c r="AB43" s="21">
        <f>EXP(-LN(2)/2)*AB42+(1-EXP(-LN(2)/2))/(LN(2)/2)*V43*Y43*VLOOKUP('Données projet'!$B$9,Paramètres!$A$1:$I$89,3,0)*0.475*44/12</f>
        <v>5.2895377482939564E-2</v>
      </c>
      <c r="AC43" s="22">
        <f t="shared" si="3"/>
        <v>14.683379720192329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18.229670329670324</v>
      </c>
      <c r="AI43" s="13">
        <f>IF('Données projet'!$A$62&gt;35,AI42+AH43-AQ42,IF(A43&lt;'Données projet'!$A$62,$AF$205^A43,IF(A43='Données projet'!$A$62,'Données projet'!$B$62,AI42+AH43-AQ42)))</f>
        <v>326.1406593406594</v>
      </c>
      <c r="AJ43" s="13">
        <f>AI43*VLOOKUP('Données projet'!$B$10,Paramètres!$A$1:$I$89,3,0)*VLOOKUP('Données projet'!$B$10,Paramètres!$A$1:$I$89,5,0)</f>
        <v>182.31262857142863</v>
      </c>
      <c r="AK43" s="13">
        <f t="shared" si="35"/>
        <v>45.836320512875446</v>
      </c>
      <c r="AL43" s="20">
        <f t="shared" si="4"/>
        <v>397.35941965516298</v>
      </c>
      <c r="AM43" s="59">
        <f t="shared" si="5"/>
        <v>690.6927529884963</v>
      </c>
      <c r="AN43" s="59">
        <f ca="1">AVERAGE(OFFSET($AM$3,0,0,'Données projet'!$E$10+1,1))-AVERAGE(OFFSET($H$3,0,0,'Données projet'!$E$10+1,1))</f>
        <v>224.7049802939942</v>
      </c>
      <c r="AO43" s="59">
        <f t="shared" si="36"/>
        <v>203.48513862195352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1.8302998520475287</v>
      </c>
      <c r="AV43" s="21">
        <f>EXP(-LN(2)/25)*AV42+(1-EXP(-LN(2)/25))/(LN(2)/25)*Calculateur!AQ43*Calculateur!AS43*VLOOKUP('Données projet'!$B$10,Paramètres!$A$1:$I$89,3,0)*0.475*44/12</f>
        <v>14.796824920802631</v>
      </c>
      <c r="AW43" s="21">
        <f>EXP(-LN(2)/2)*AW42+(1-EXP(-LN(2)/2))/(LN(2)/2)*AQ43*AT43*VLOOKUP('Données projet'!$B$10,Paramètres!$A$1:$I$89,3,0)*0.475*44/12</f>
        <v>0.28001914347150014</v>
      </c>
      <c r="AX43" s="21">
        <f t="shared" si="6"/>
        <v>16.907143916321658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>
        <f>VLOOKUP(A43,'Données projet'!$A$87:$I$107,2,0)</f>
        <v>314</v>
      </c>
      <c r="BB43" s="12">
        <f>VLOOKUP(A43,'Données projet'!$A$87:$I$107,9,0)</f>
        <v>13.8</v>
      </c>
      <c r="BC43" s="12">
        <f t="array" ref="BC43">INDEX(BB:BB,MIN(IF(ISNUMBER(BB43:BB239),ROW(BB43:BB239),"")))</f>
        <v>13.8</v>
      </c>
      <c r="BD43" s="12">
        <f>IF('Données projet'!$A$88&gt;35,BD42+BC43-BL42,IF(A43&lt;'Données projet'!$A$88,$BA$205^A43,IF(A43='Données projet'!$A$88,'Données projet'!$B$88,BD42+BC43-BL42)))</f>
        <v>314.00000000000011</v>
      </c>
      <c r="BE43" s="13">
        <f>BD43*VLOOKUP('Données projet'!$B$11,Paramètres!$A$1:$I$89,3,0)*VLOOKUP('Données projet'!$B$11,Paramètres!$A$1:$I$89,5,0)</f>
        <v>171.44400000000007</v>
      </c>
      <c r="BF43" s="13">
        <f t="shared" si="37"/>
        <v>43.413272173627242</v>
      </c>
      <c r="BG43" s="20">
        <f t="shared" si="7"/>
        <v>374.20974903573421</v>
      </c>
      <c r="BH43" s="59">
        <f t="shared" si="8"/>
        <v>667.54308236906752</v>
      </c>
      <c r="BI43" s="59">
        <f ca="1">AVERAGE(OFFSET($BH$3,0,0,'Données projet'!$E$11+1,1))-AVERAGE(OFFSET($H$3,0,0,'Données projet'!$E$11+1,1))</f>
        <v>210.04871822652808</v>
      </c>
      <c r="BJ43" s="59">
        <f t="shared" si="38"/>
        <v>250.17540614049324</v>
      </c>
      <c r="BK43" s="15">
        <f>IF(ISNA(VLOOKUP(A43,'Données projet'!$A$87:$I$107,3,0)),0,VLOOKUP(A43,'Données projet'!$A$87:$I$107,3,0))</f>
        <v>3</v>
      </c>
      <c r="BL43" s="15">
        <f>IF(ISNA(VLOOKUP(A43,'Données projet'!$A$87:$I$107,4,0)),0,VLOOKUP(A43,'Données projet'!$A$87:$I$107,4,0))</f>
        <v>80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5.9892571645377384</v>
      </c>
      <c r="BQ43" s="21">
        <f>EXP(-LN(2)/25)*BQ42+(1-EXP(-LN(2)/25))/(LN(2)/25)*Calculateur!BL43*Calculateur!BN43*VLOOKUP('Données projet'!$B$11,Paramètres!$A$1:$I$89,3,0)*0.475*44/12</f>
        <v>21.091736818656706</v>
      </c>
      <c r="BR43" s="21">
        <f>EXP(-LN(2)/2)*BR42+(1-EXP(-LN(2)/2))/(LN(2)/2)*BL43*BO43*VLOOKUP('Données projet'!$B$11,Paramètres!$A$1:$I$89,3,0)*0.475*44/12</f>
        <v>0.67355902304223858</v>
      </c>
      <c r="BS43" s="22">
        <f t="shared" si="9"/>
        <v>27.754553006236684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>
        <f>VLOOKUP(A43,'Données projet'!$A$113:$I$133,2,0)</f>
        <v>271</v>
      </c>
      <c r="BW43" s="12">
        <f>VLOOKUP(A43,'Données projet'!$A$113:$I$133,9,0)</f>
        <v>12.1</v>
      </c>
      <c r="BX43" s="12">
        <f t="array" ref="BX43">INDEX(BW:BW,MIN(IF(ISNUMBER(BW43:BW239),ROW(BW43:BW239),"")))</f>
        <v>12.1</v>
      </c>
      <c r="BY43" s="12">
        <f>IF('Données projet'!$A$114&gt;35,BY42+BX43-CG42,IF(A43&lt;'Données projet'!$A$114,$BV$205^A43,IF(A43='Données projet'!$A$114,'Données projet'!$B$114,BY42+BX43-CG42)))</f>
        <v>271</v>
      </c>
      <c r="BZ43" s="13">
        <f>BY43*VLOOKUP('Données projet'!$B$12,Paramètres!$A$1:$I$89,3,0)*VLOOKUP('Données projet'!$B$12,Paramètres!$A$1:$I$89,5,0)</f>
        <v>147.96600000000001</v>
      </c>
      <c r="CA43" s="13">
        <f t="shared" si="39"/>
        <v>38.115985176802688</v>
      </c>
      <c r="CB43" s="20">
        <f t="shared" si="10"/>
        <v>324.09279084959798</v>
      </c>
      <c r="CC43" s="59">
        <f t="shared" si="11"/>
        <v>617.42612418293129</v>
      </c>
      <c r="CD43" s="59">
        <f ca="1">AVERAGE(OFFSET($CC$3,0,0,'Données projet'!$E$12+1,1))-AVERAGE(OFFSET($H$3,0,0,'Données projet'!$E$12+1,1))</f>
        <v>168.72306536277267</v>
      </c>
      <c r="CE43" s="59">
        <f t="shared" si="40"/>
        <v>203.35476578922339</v>
      </c>
      <c r="CF43" s="15">
        <f>IF(ISNA(VLOOKUP(A43,'Données projet'!$A$113:$I$133,3,0)),0,VLOOKUP(A43,'Données projet'!$A$113:$I$133,3,0))</f>
        <v>3</v>
      </c>
      <c r="CG43" s="15">
        <f>IF(ISNA(VLOOKUP(A43,'Données projet'!$A$113:$I$133,4,0)),0,VLOOKUP(A43,'Données projet'!$A$113:$I$133,4,0))</f>
        <v>68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2.4955238185573916</v>
      </c>
      <c r="CL43" s="21">
        <f>EXP(-LN(2)/25)*CL42+(1-EXP(-LN(2)/25))/(LN(2)/25)*Calculateur!CG43*Calculateur!CI43*VLOOKUP('Données projet'!$B$12,Paramètres!$A$1:$I$89,3,0)*0.475*44/12</f>
        <v>17.419388969729358</v>
      </c>
      <c r="CM43" s="21">
        <f>EXP(-LN(2)/2)*CM42+(1-EXP(-LN(2)/2))/(LN(2)/2)*CG43*CJ43*VLOOKUP('Données projet'!$B$12,Paramètres!$A$1:$I$89,3,0)*0.475*44/12</f>
        <v>0.6257452069402889</v>
      </c>
      <c r="CN43" s="22">
        <f t="shared" si="12"/>
        <v>20.540657995227036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>
        <f>VLOOKUP(A43,'Données projet'!$A$139:$I$159,2,0)</f>
        <v>226.92307692307691</v>
      </c>
      <c r="CR43" s="12">
        <f>VLOOKUP(A43,'Données projet'!$A$139:$I$159,9,0)</f>
        <v>5.6730769230769225</v>
      </c>
      <c r="CS43" s="12">
        <f t="array" ref="CS43">INDEX(CR:CR,MIN(IF(ISNUMBER(CR43:CR239),ROW(CR43:CR239),"")))</f>
        <v>5.6730769230769225</v>
      </c>
      <c r="CT43" s="12">
        <f>IF('Données projet'!$A$140&gt;35,CT42+CS43-DB42,IF(A43&lt;'Données projet'!$A$140,$CQ$205^A43,IF(A43='Données projet'!$A$140,'Données projet'!$B$140,CT42+CS43-DB42)))</f>
        <v>226.92307692307705</v>
      </c>
      <c r="CU43" s="17">
        <f>CT43*VLOOKUP('Données projet'!$B$13,Paramètres!$A$1:$I$89,3,0)*VLOOKUP('Données projet'!$B$13,Paramètres!$A$1:$I$89,5,0)</f>
        <v>109.15000000000006</v>
      </c>
      <c r="CV43" s="13">
        <f t="shared" si="41"/>
        <v>29.130627617384881</v>
      </c>
      <c r="CW43" s="20">
        <f t="shared" si="13"/>
        <v>240.8387597669454</v>
      </c>
      <c r="CX43" s="59">
        <f t="shared" si="14"/>
        <v>534.17209310027874</v>
      </c>
      <c r="CY43" s="59">
        <f ca="1">AVERAGE(OFFSET($CX$3,0,0,'Données projet'!$E$13+1,1))-AVERAGE(OFFSET($H$3,0,0,'Données projet'!$E$13+1,1))</f>
        <v>304.15237106473313</v>
      </c>
      <c r="CZ43" s="59">
        <f t="shared" si="42"/>
        <v>120.85458928724336</v>
      </c>
      <c r="DA43" s="15">
        <f>IF(ISNA(VLOOKUP(A43,'Données projet'!$A$139:$I$159,3,0)),0,VLOOKUP(A43,'Données projet'!$A$139:$I$159,3,0))</f>
        <v>1</v>
      </c>
      <c r="DB43" s="15">
        <f>IF(ISNA(VLOOKUP(A43,'Données projet'!$A$139:$I$159,4,0)),0,VLOOKUP(A43,'Données projet'!$A$139:$I$159,4,0))</f>
        <v>70.769230769230774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>
        <f>EXP(-LN(2)/35)*DF42+(1-EXP(-LN(2)/35))/(LN(2)/35)*DB43*DC43*VLOOKUP('Données projet'!$B$13,Paramètres!$A$1:$I$89,3,0)*0.475*44/12</f>
        <v>0</v>
      </c>
      <c r="DG43" s="21">
        <f>EXP(-LN(2)/25)*DG42+(1-EXP(-LN(2)/25))/(LN(2)/25)*Calculateur!DB43*Calculateur!DD43*VLOOKUP('Données projet'!$B$13,Paramètres!$A$1:$I$89,3,0)*0.475*44/12</f>
        <v>0</v>
      </c>
      <c r="DH43" s="21">
        <f>EXP(-LN(2)/2)*DH42+(1-EXP(-LN(2)/2))/(LN(2)/2)*DB43*DE43*VLOOKUP('Données projet'!$B$13,Paramètres!$A$1:$I$89,3,0)*0.475*44/12</f>
        <v>0</v>
      </c>
      <c r="DI43" s="22">
        <f t="shared" si="15"/>
        <v>0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>
        <f>VLOOKUP(A43,'Données projet'!$A$165:$I$185,2,0)</f>
        <v>155.38461538461539</v>
      </c>
      <c r="DM43" s="12">
        <f>VLOOKUP(A43,'Données projet'!$A$165:$I$185,9,0)</f>
        <v>3.8846153846153846</v>
      </c>
      <c r="DN43" s="12">
        <f t="array" ref="DN43">INDEX(DM:DM,MIN(IF(ISNUMBER(DM43:DM239),ROW(DM43:DM239),"")))</f>
        <v>3.8846153846153846</v>
      </c>
      <c r="DO43" s="12">
        <f>IF('Données projet'!$A$166&gt;35,DO42+DN43-DW42,IF(A43&lt;'Données projet'!$A$166,$DL$205^A43,IF(A43='Données projet'!$A$166,'Données projet'!$B$166,DO42+DN43-DW42)))</f>
        <v>155.38461538461544</v>
      </c>
      <c r="DP43" s="17">
        <f>DO43*VLOOKUP('Données projet'!$B$14,Paramètres!$A$1:$I$89,3,0)*VLOOKUP('Données projet'!$B$14,Paramètres!$A$1:$I$89,5,0)</f>
        <v>74.740000000000023</v>
      </c>
      <c r="DQ43" s="13">
        <f t="shared" si="43"/>
        <v>20.846040553429539</v>
      </c>
      <c r="DR43" s="20">
        <f t="shared" si="16"/>
        <v>166.47902063055651</v>
      </c>
      <c r="DS43" s="59">
        <f t="shared" si="17"/>
        <v>459.81235396388979</v>
      </c>
      <c r="DT43" s="59">
        <f ca="1">AVERAGE(OFFSET($DS$3,0,0,'Données projet'!$E$14+1,1))-AVERAGE(OFFSET($H$3,0,0,'Données projet'!$E$14+1,1))</f>
        <v>91.053246648097399</v>
      </c>
      <c r="DU43" s="59">
        <f t="shared" si="44"/>
        <v>64.716270355703955</v>
      </c>
      <c r="DV43" s="15">
        <f>IF(ISNA(VLOOKUP(A43,'Données projet'!$A$165:$I$185,3,0)),0,VLOOKUP(A43,'Données projet'!$A$165:$I$185,3,0))</f>
        <v>1</v>
      </c>
      <c r="DW43" s="15">
        <f>IF(ISNA(VLOOKUP(A43,'Données projet'!$A$165:$I$185,4,0)),0,VLOOKUP(A43,'Données projet'!$A$165:$I$185,4,0))</f>
        <v>50.769230769230766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>
        <f>EXP(-LN(2)/35)*EA42+(1-EXP(-LN(2)/35))/(LN(2)/35)*DW43*DX43*VLOOKUP('Données projet'!$B$14,Paramètres!$A$1:$I$89,3,0)*0.475*44/12</f>
        <v>0</v>
      </c>
      <c r="EB43" s="21">
        <f>EXP(-LN(2)/25)*EB42+(1-EXP(-LN(2)/25))/(LN(2)/25)*Calculateur!DW43*Calculateur!DY43*VLOOKUP('Données projet'!$B$14,Paramètres!$A$1:$I$89,3,0)*0.475*44/12</f>
        <v>0</v>
      </c>
      <c r="EC43" s="21">
        <f>EXP(-LN(2)/2)*EC42+(1-EXP(-LN(2)/2))/(LN(2)/2)*DW43*DZ43*VLOOKUP('Données projet'!$B$14,Paramètres!$A$1:$I$89,3,0)*0.475*44/12</f>
        <v>0</v>
      </c>
      <c r="ED43" s="22">
        <f t="shared" si="18"/>
        <v>0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>
        <f>VLOOKUP(A43,'Données projet'!$A$191:$I$211,2,0)</f>
        <v>341</v>
      </c>
      <c r="EH43" s="12">
        <f>VLOOKUP(A43,'Données projet'!$A$191:$I$211,9,0)</f>
        <v>18.2</v>
      </c>
      <c r="EI43" s="12">
        <f t="array" ref="EI43">INDEX(EH:EH,MIN(IF(ISNUMBER(EH43:EH239),ROW(EH43:EH239),"")))</f>
        <v>18.2</v>
      </c>
      <c r="EJ43" s="12">
        <f>IF('Données projet'!$A$192&gt;35,EJ42+EI43-ER42,IF(A43&lt;'Données projet'!$A$192,$EG$205^A43,IF(A43='Données projet'!$A$192,'Données projet'!$B$192,EJ42+EI43-ER42)))</f>
        <v>340.99999999999994</v>
      </c>
      <c r="EK43" s="17">
        <f>EJ43*VLOOKUP('Données projet'!$B$15,Paramètres!$A$1:$I$89,3,0)*VLOOKUP('Données projet'!$B$15,Paramètres!$A$1:$I$89,5,0)</f>
        <v>203.91799999999998</v>
      </c>
      <c r="EL43" s="13">
        <f t="shared" si="45"/>
        <v>50.604250898161411</v>
      </c>
      <c r="EM43" s="20">
        <f t="shared" si="19"/>
        <v>443.29292031429776</v>
      </c>
      <c r="EN43" s="59">
        <f t="shared" si="20"/>
        <v>736.62625364763107</v>
      </c>
      <c r="EO43" s="59">
        <f ca="1">AVERAGE(OFFSET($EN$3,0,0,'Données projet'!$E$15+1,1))-AVERAGE(OFFSET($H$3,0,0,'Données projet'!$E$15+1,1))</f>
        <v>316.58509520829671</v>
      </c>
      <c r="EP43" s="59">
        <f t="shared" si="46"/>
        <v>240.71332110643596</v>
      </c>
      <c r="EQ43" s="15">
        <f>IF(ISNA(VLOOKUP(A43,'Données projet'!$A$191:$I$211,3,0)),0,VLOOKUP(A43,'Données projet'!$A$191:$I$211,3,0))</f>
        <v>3</v>
      </c>
      <c r="ER43" s="15">
        <f>IF(ISNA(VLOOKUP(A43,'Données projet'!$A$191:$I$211,4,0)),0,VLOOKUP(A43,'Données projet'!$A$191:$I$211,4,0))</f>
        <v>95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>
        <f>EXP(-LN(2)/35)*EV42+(1-EXP(-LN(2)/35))/(LN(2)/35)*ER43*ES43*VLOOKUP('Données projet'!$B$15,Paramètres!$A$1:$I$89,3,0)*0.475*44/12</f>
        <v>2.079178773318481</v>
      </c>
      <c r="EW43" s="21">
        <f>EXP(-LN(2)/25)*EW42+(1-EXP(-LN(2)/25))/(LN(2)/25)*Calculateur!ER43*Calculateur!ET43*VLOOKUP('Données projet'!$B$15,Paramètres!$A$1:$I$89,3,0)*0.475*44/12</f>
        <v>11.570924733336708</v>
      </c>
      <c r="EX43" s="21">
        <f>EXP(-LN(2)/2)*EX42+(1-EXP(-LN(2)/2))/(LN(2)/2)*ER43*EU43*VLOOKUP('Données projet'!$B$15,Paramètres!$A$1:$I$89,3,0)*0.475*44/12</f>
        <v>0.68560447094190002</v>
      </c>
      <c r="EY43" s="22">
        <f t="shared" si="21"/>
        <v>14.335707977597089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>
        <f>VLOOKUP(A43,'Données projet'!$A$217:$I$237,2,0)</f>
        <v>297</v>
      </c>
      <c r="FC43" s="12">
        <f>VLOOKUP(A43,'Données projet'!$A$217:$I$237,9,0)</f>
        <v>15.7</v>
      </c>
      <c r="FD43" s="12">
        <f t="array" ref="FD43">INDEX(FC:FC,MIN(IF(ISNUMBER(FC43:FC239),ROW(FC43:FC239),"")))</f>
        <v>15.7</v>
      </c>
      <c r="FE43" s="12">
        <f>IF('Données projet'!$A$218&gt;35,FE42+FD43-FM42,IF(A43&lt;'Données projet'!$A$218,$FB$205^A43,IF(A43='Données projet'!$A$218,'Données projet'!$B$218,FE42+FD43-FM42)))</f>
        <v>296.99999999999994</v>
      </c>
      <c r="FF43" s="17">
        <f>FE43*VLOOKUP('Données projet'!$B$16,Paramètres!$A$1:$I$89,3,0)*VLOOKUP('Données projet'!$B$16,Paramètres!$A$1:$I$89,5,0)</f>
        <v>177.60599999999997</v>
      </c>
      <c r="FG43" s="13">
        <f t="shared" si="47"/>
        <v>44.789150937858665</v>
      </c>
      <c r="FH43" s="20">
        <f t="shared" si="22"/>
        <v>387.33822121677048</v>
      </c>
      <c r="FI43" s="59">
        <f t="shared" si="23"/>
        <v>680.67155455010379</v>
      </c>
      <c r="FJ43" s="59">
        <f ca="1">AVERAGE(OFFSET($FI$3,0,0,'Données projet'!$E$16+1,1))-AVERAGE(OFFSET($H$3,0,0,'Données projet'!$E$16+1,1))</f>
        <v>270.30888762640245</v>
      </c>
      <c r="FK43" s="59">
        <f t="shared" si="48"/>
        <v>202.23783851977691</v>
      </c>
      <c r="FL43" s="15">
        <f>IF(ISNA(VLOOKUP(A43,'Données projet'!$A$217:$I$237,3,0)),0,VLOOKUP(A43,'Données projet'!$A$217:$I$237,3,0))</f>
        <v>3</v>
      </c>
      <c r="FM43" s="15">
        <f>IF(ISNA(VLOOKUP(A43,'Données projet'!$A$217:$I$237,4,0)),0,VLOOKUP(A43,'Données projet'!$A$217:$I$237,4,0))</f>
        <v>79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>
        <f>EXP(-LN(2)/35)*FQ42+(1-EXP(-LN(2)/35))/(LN(2)/35)*FM43*FN43*VLOOKUP('Données projet'!$B$16,Paramètres!$A$1:$I$89,3,0)*0.475*44/12</f>
        <v>1.7570524844944901</v>
      </c>
      <c r="FR43" s="21">
        <f>EXP(-LN(2)/25)*FR42+(1-EXP(-LN(2)/25))/(LN(2)/25)*Calculateur!FM43*Calculateur!FO43*VLOOKUP('Données projet'!$B$16,Paramètres!$A$1:$I$89,3,0)*0.475*44/12</f>
        <v>9.318025357679657</v>
      </c>
      <c r="FS43" s="21">
        <f>EXP(-LN(2)/2)*FS42+(1-EXP(-LN(2)/2))/(LN(2)/2)*FM43*FP43*VLOOKUP('Données projet'!$B$16,Paramètres!$A$1:$I$89,3,0)*0.475*44/12</f>
        <v>0.57789401832695575</v>
      </c>
      <c r="FT43" s="22">
        <f t="shared" si="24"/>
        <v>11.652971860501104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>
        <f>VLOOKUP(A43,'Données projet'!$A$243:$I$263,2,0)</f>
        <v>263</v>
      </c>
      <c r="FX43" s="12">
        <f>VLOOKUP(A43,'Données projet'!$A$243:$I$263,9,0)</f>
        <v>12.1</v>
      </c>
      <c r="FY43" s="12">
        <f t="array" ref="FY43">INDEX(FX:FX,MIN(IF(ISNUMBER(FX43:FX239),ROW(FX43:FX239),"")))</f>
        <v>12.1</v>
      </c>
      <c r="FZ43" s="12">
        <f>IF('Données projet'!$A$244&gt;35,FZ42+FY43-GH42,IF(A43&lt;'Données projet'!$A$244,$FW$205^A43,IF(A43='Données projet'!$A$244,'Données projet'!$B$244,FZ42+FY43-GH42)))</f>
        <v>262.99999999999994</v>
      </c>
      <c r="GA43" s="17">
        <f>FZ43*VLOOKUP('Données projet'!$B$17,Paramètres!$A$1:$I$89,3,0)*VLOOKUP('Données projet'!$B$17,Paramètres!$A$1:$I$89,5,0)</f>
        <v>209.24279999999996</v>
      </c>
      <c r="GB43" s="13">
        <f t="shared" si="49"/>
        <v>51.770083677016814</v>
      </c>
      <c r="GC43" s="20">
        <f t="shared" si="25"/>
        <v>454.59743907080411</v>
      </c>
      <c r="GD43" s="59">
        <f t="shared" si="26"/>
        <v>747.93077240413743</v>
      </c>
      <c r="GE43" s="59">
        <f ca="1">AVERAGE(OFFSET($GD$3,0,0,'Données projet'!$E$17+1,1))-AVERAGE(OFFSET($H$3,0,0,'Données projet'!$E$17+1,1))</f>
        <v>260.20517190557814</v>
      </c>
      <c r="GF43" s="59">
        <f t="shared" si="50"/>
        <v>307.22009971147133</v>
      </c>
      <c r="GG43" s="15">
        <f>IF(ISNA(VLOOKUP(A43,'Données projet'!$A$243:$I$263,3,0)),0,VLOOKUP(A43,'Données projet'!$A$243:$I$263,3,0))</f>
        <v>3</v>
      </c>
      <c r="GH43" s="15">
        <f>IF(ISNA(VLOOKUP(A43,'Données projet'!$A$243:$I$263,4,0)),0,VLOOKUP(A43,'Données projet'!$A$243:$I$263,4,0))</f>
        <v>70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>
        <f>EXP(-LN(2)/35)*GL42+(1-EXP(-LN(2)/35))/(LN(2)/35)*GH43*GI43*VLOOKUP('Données projet'!$B$17,Paramètres!$A$1:$I$89,3,0)*0.475*44/12</f>
        <v>2.6767463815716797</v>
      </c>
      <c r="GM43" s="21">
        <f>EXP(-LN(2)/25)*GM42+(1-EXP(-LN(2)/25))/(LN(2)/25)*Calculateur!GH43*Calculateur!GJ43*VLOOKUP('Données projet'!$B$17,Paramètres!$A$1:$I$89,3,0)*0.475*44/12</f>
        <v>15.550950894093358</v>
      </c>
      <c r="GN43" s="21">
        <f>EXP(-LN(2)/2)*GN42+(1-EXP(-LN(2)/2))/(LN(2)/2)*GH43*GK43*VLOOKUP('Données projet'!$B$17,Paramètres!$A$1:$I$89,3,0)*0.475*44/12</f>
        <v>0.75121982039866519</v>
      </c>
      <c r="GO43" s="21">
        <f t="shared" si="27"/>
        <v>18.9789170960637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>
        <f>VLOOKUP(A43,'Données projet'!$A$269:$I$289,2,0)</f>
        <v>220</v>
      </c>
      <c r="GS43" s="12">
        <f>VLOOKUP(A43,'Données projet'!$A$269:$I$289,9,0)</f>
        <v>10.199999999999999</v>
      </c>
      <c r="GT43" s="12">
        <f t="array" ref="GT43">INDEX(GS:GS,MIN(IF(ISNUMBER(GS43:GS239),ROW(GS43:GS239),"")))</f>
        <v>10.199999999999999</v>
      </c>
      <c r="GU43" s="12">
        <f>IF('Données projet'!$A$270&gt;35,GU42+GT43-HC42,IF(A43&lt;'Données projet'!$A$270,$GR$205^A43,IF(A43='Données projet'!$A$270,'Données projet'!$B$270,GU42+GT43-HC42)))</f>
        <v>219.99999999999986</v>
      </c>
      <c r="GV43" s="17">
        <f>GU43*VLOOKUP('Données projet'!$B$18,Paramètres!$A$1:$I$89,3,0)*VLOOKUP('Données projet'!$B$18,Paramètres!$A$1:$I$89,5,0)</f>
        <v>175.0319999999999</v>
      </c>
      <c r="GW43" s="13">
        <f t="shared" si="51"/>
        <v>44.215103743190973</v>
      </c>
      <c r="GX43" s="20">
        <f t="shared" si="28"/>
        <v>381.85537235272409</v>
      </c>
      <c r="GY43" s="59">
        <f t="shared" si="29"/>
        <v>675.18870568605735</v>
      </c>
      <c r="GZ43" s="59">
        <f ca="1">AVERAGE(OFFSET($GY$3,0,0,'Données projet'!$E$18+1,1))-AVERAGE(OFFSET($H$3,0,0,'Données projet'!$E$18+1,1))</f>
        <v>199.58763537752952</v>
      </c>
      <c r="HA43" s="59">
        <f t="shared" si="52"/>
        <v>242.62852778451929</v>
      </c>
      <c r="HB43" s="15">
        <f>IF(ISNA(VLOOKUP(A43,'Données projet'!$A$269:$I$289,3,0)),0,VLOOKUP(A43,'Données projet'!$A$269:$I$289,3,0))</f>
        <v>3</v>
      </c>
      <c r="HC43" s="15">
        <f>IF(ISNA(VLOOKUP(A43,'Données projet'!$A$269:$I$289,4,0)),0,VLOOKUP(A43,'Données projet'!$A$269:$I$289,4,0))</f>
        <v>56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>
        <f>EXP(-LN(2)/35)*HG42+(1-EXP(-LN(2)/35))/(LN(2)/35)*HC43*HD43*VLOOKUP('Données projet'!$B$18,Paramètres!$A$1:$I$89,3,0)*0.475*44/12</f>
        <v>0</v>
      </c>
      <c r="HH43" s="21">
        <f>EXP(-LN(2)/25)*HH42+(1-EXP(-LN(2)/25))/(LN(2)/25)*Calculateur!HC43*Calculateur!HE43*VLOOKUP('Données projet'!$B$18,Paramètres!$A$1:$I$89,3,0)*0.475*44/12</f>
        <v>7.7930388938620476</v>
      </c>
      <c r="HI43" s="21">
        <f>EXP(-LN(2)/2)*HI42+(1-EXP(-LN(2)/2))/(LN(2)/2)*HC43*HF43*VLOOKUP('Données projet'!$B$18,Paramètres!$A$1:$I$89,3,0)*0.475*44/12</f>
        <v>0.33629869978813165</v>
      </c>
      <c r="HJ43" s="22">
        <f t="shared" si="30"/>
        <v>8.1293375936501793</v>
      </c>
    </row>
    <row r="44" spans="1:218" x14ac:dyDescent="0.2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36.4572</v>
      </c>
      <c r="D44" s="11">
        <f t="shared" si="32"/>
        <v>11.054619486999963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366.75790481192956</v>
      </c>
      <c r="H44" s="67">
        <f t="shared" si="1"/>
        <v>376.08308560652495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22.419230769230779</v>
      </c>
      <c r="N44" s="13">
        <f>IF('Données projet'!$A$36&gt;35,N43+M44-V43,IF(A44&lt;'Données projet'!$A$36,$K$205^A44,IF(A44='Données projet'!$A$36,'Données projet'!$B$36,N43+M44-V43)))</f>
        <v>446.30384615384594</v>
      </c>
      <c r="O44" s="13">
        <f>N44*VLOOKUP('Données projet'!$B$9,Paramètres!$A$1:$I$89,3,0)*VLOOKUP('Données projet'!$B$9,Paramètres!$A$1:$I$89,5,0)</f>
        <v>249.4838499999999</v>
      </c>
      <c r="P44" s="13">
        <f t="shared" si="33"/>
        <v>60.475401807280001</v>
      </c>
      <c r="Q44" s="20">
        <f t="shared" si="53"/>
        <v>539.84569689767909</v>
      </c>
      <c r="R44" s="59">
        <f t="shared" si="0"/>
        <v>833.17903023101235</v>
      </c>
      <c r="S44" s="59">
        <f ca="1">AVERAGE(OFFSET($R$3,0,0,'Données projet'!$E$9+1,1))-AVERAGE(OFFSET($H$3,0,0,'Données projet'!$E$9+1,1))</f>
        <v>255.5374979188561</v>
      </c>
      <c r="T44" s="59">
        <f t="shared" si="34"/>
        <v>343.10418468620901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2.4851625081011139</v>
      </c>
      <c r="AA44" s="21">
        <f>EXP(-LN(2)/25)*AA43+(1-EXP(-LN(2)/25))/(LN(2)/25)*Calculateur!V44*Calculateur!X44*VLOOKUP('Données projet'!$B$9,Paramètres!$A$1:$I$89,3,0)*0.475*44/12</f>
        <v>11.764859367871685</v>
      </c>
      <c r="AB44" s="21">
        <f>EXP(-LN(2)/2)*AB43+(1-EXP(-LN(2)/2))/(LN(2)/2)*V44*Y44*VLOOKUP('Données projet'!$B$9,Paramètres!$A$1:$I$89,3,0)*0.475*44/12</f>
        <v>3.7402680111608778E-2</v>
      </c>
      <c r="AC44" s="22">
        <f t="shared" si="3"/>
        <v>14.287424556084407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18.229670329670324</v>
      </c>
      <c r="AI44" s="13">
        <f>IF('Données projet'!$A$62&gt;35,AI43+AH44-AQ43,IF(A44&lt;'Données projet'!$A$62,$AF$205^A44,IF(A44='Données projet'!$A$62,'Données projet'!$B$62,AI43+AH44-AQ43)))</f>
        <v>344.37032967032974</v>
      </c>
      <c r="AJ44" s="13">
        <f>AI44*VLOOKUP('Données projet'!$B$10,Paramètres!$A$1:$I$89,3,0)*VLOOKUP('Données projet'!$B$10,Paramètres!$A$1:$I$89,5,0)</f>
        <v>192.50301428571433</v>
      </c>
      <c r="AK44" s="13">
        <f t="shared" si="35"/>
        <v>48.092911552862631</v>
      </c>
      <c r="AL44" s="20">
        <f t="shared" si="4"/>
        <v>419.03790416885482</v>
      </c>
      <c r="AM44" s="59">
        <f t="shared" si="5"/>
        <v>712.37123750218814</v>
      </c>
      <c r="AN44" s="59">
        <f ca="1">AVERAGE(OFFSET($AM$3,0,0,'Données projet'!$E$10+1,1))-AVERAGE(OFFSET($H$3,0,0,'Données projet'!$E$10+1,1))</f>
        <v>224.7049802939942</v>
      </c>
      <c r="AO44" s="59">
        <f t="shared" si="36"/>
        <v>203.48513862195352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1.7944087883215538</v>
      </c>
      <c r="AV44" s="21">
        <f>EXP(-LN(2)/25)*AV43+(1-EXP(-LN(2)/25))/(LN(2)/25)*Calculateur!AQ44*Calculateur!AS44*VLOOKUP('Données projet'!$B$10,Paramètres!$A$1:$I$89,3,0)*0.475*44/12</f>
        <v>14.392204965212079</v>
      </c>
      <c r="AW44" s="21">
        <f>EXP(-LN(2)/2)*AW43+(1-EXP(-LN(2)/2))/(LN(2)/2)*AQ44*AT44*VLOOKUP('Données projet'!$B$10,Paramètres!$A$1:$I$89,3,0)*0.475*44/12</f>
        <v>0.19800343521074651</v>
      </c>
      <c r="AX44" s="21">
        <f t="shared" si="6"/>
        <v>16.384617188744379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11.5</v>
      </c>
      <c r="BD44" s="12">
        <f>IF('Données projet'!$A$88&gt;35,BD43+BC44-BL43,IF(A44&lt;'Données projet'!$A$88,$BA$205^A44,IF(A44='Données projet'!$A$88,'Données projet'!$B$88,BD43+BC44-BL43)))</f>
        <v>245.50000000000011</v>
      </c>
      <c r="BE44" s="13">
        <f>BD44*VLOOKUP('Données projet'!$B$11,Paramètres!$A$1:$I$89,3,0)*VLOOKUP('Données projet'!$B$11,Paramètres!$A$1:$I$89,5,0)</f>
        <v>134.04300000000006</v>
      </c>
      <c r="BF44" s="13">
        <f t="shared" si="37"/>
        <v>34.928906226695894</v>
      </c>
      <c r="BG44" s="20">
        <f t="shared" si="7"/>
        <v>294.2927366781621</v>
      </c>
      <c r="BH44" s="59">
        <f t="shared" si="8"/>
        <v>587.62607001149536</v>
      </c>
      <c r="BI44" s="59">
        <f ca="1">AVERAGE(OFFSET($BH$3,0,0,'Données projet'!$E$11+1,1))-AVERAGE(OFFSET($H$3,0,0,'Données projet'!$E$11+1,1))</f>
        <v>210.04871822652808</v>
      </c>
      <c r="BJ44" s="59">
        <f t="shared" si="38"/>
        <v>250.17540614049324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5.8718114846273117</v>
      </c>
      <c r="BQ44" s="21">
        <f>EXP(-LN(2)/25)*BQ43+(1-EXP(-LN(2)/25))/(LN(2)/25)*Calculateur!BL44*Calculateur!BN44*VLOOKUP('Données projet'!$B$11,Paramètres!$A$1:$I$89,3,0)*0.475*44/12</f>
        <v>20.514982166184303</v>
      </c>
      <c r="BR44" s="21">
        <f>EXP(-LN(2)/2)*BR43+(1-EXP(-LN(2)/2))/(LN(2)/2)*BL44*BO44*VLOOKUP('Données projet'!$B$11,Paramètres!$A$1:$I$89,3,0)*0.475*44/12</f>
        <v>0.47627815272255297</v>
      </c>
      <c r="BS44" s="22">
        <f t="shared" si="9"/>
        <v>26.863071803534169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9.9</v>
      </c>
      <c r="BY44" s="12">
        <f>IF('Données projet'!$A$114&gt;35,BY43+BX44-CG43,IF(A44&lt;'Données projet'!$A$114,$BV$205^A44,IF(A44='Données projet'!$A$114,'Données projet'!$B$114,BY43+BX44-CG43)))</f>
        <v>212.89999999999998</v>
      </c>
      <c r="BZ44" s="13">
        <f>BY44*VLOOKUP('Données projet'!$B$12,Paramètres!$A$1:$I$89,3,0)*VLOOKUP('Données projet'!$B$12,Paramètres!$A$1:$I$89,5,0)</f>
        <v>116.24339999999999</v>
      </c>
      <c r="CA44" s="13">
        <f t="shared" si="39"/>
        <v>30.79721879349761</v>
      </c>
      <c r="CB44" s="20">
        <f t="shared" si="10"/>
        <v>256.09574439867498</v>
      </c>
      <c r="CC44" s="59">
        <f t="shared" si="11"/>
        <v>549.4290777320083</v>
      </c>
      <c r="CD44" s="59">
        <f ca="1">AVERAGE(OFFSET($CC$3,0,0,'Données projet'!$E$12+1,1))-AVERAGE(OFFSET($H$3,0,0,'Données projet'!$E$12+1,1))</f>
        <v>168.72306536277267</v>
      </c>
      <c r="CE44" s="59">
        <f t="shared" si="40"/>
        <v>203.35476578922339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2.4465881185947138</v>
      </c>
      <c r="CL44" s="21">
        <f>EXP(-LN(2)/25)*CL43+(1-EXP(-LN(2)/25))/(LN(2)/25)*Calculateur!CG44*Calculateur!CI44*VLOOKUP('Données projet'!$B$12,Paramètres!$A$1:$I$89,3,0)*0.475*44/12</f>
        <v>16.943054862306255</v>
      </c>
      <c r="CM44" s="21">
        <f>EXP(-LN(2)/2)*CM43+(1-EXP(-LN(2)/2))/(LN(2)/2)*CG44*CJ44*VLOOKUP('Données projet'!$B$12,Paramètres!$A$1:$I$89,3,0)*0.475*44/12</f>
        <v>0.4424686791224578</v>
      </c>
      <c r="CN44" s="22">
        <f t="shared" si="12"/>
        <v>19.832111660023429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11.538461538461542</v>
      </c>
      <c r="CT44" s="12">
        <f>IF('Données projet'!$A$140&gt;35,CT43+CS44-DB43,IF(A44&lt;'Données projet'!$A$140,$CQ$205^A44,IF(A44='Données projet'!$A$140,'Données projet'!$B$140,CT43+CS44-DB43)))</f>
        <v>167.69230769230782</v>
      </c>
      <c r="CU44" s="17">
        <f>CT44*VLOOKUP('Données projet'!$B$13,Paramètres!$A$1:$I$89,3,0)*VLOOKUP('Données projet'!$B$13,Paramètres!$A$1:$I$89,5,0)</f>
        <v>80.660000000000068</v>
      </c>
      <c r="CV44" s="13">
        <f t="shared" si="41"/>
        <v>22.298480313199988</v>
      </c>
      <c r="CW44" s="20">
        <f t="shared" si="13"/>
        <v>179.31935321215676</v>
      </c>
      <c r="CX44" s="59">
        <f t="shared" si="14"/>
        <v>472.65268654549004</v>
      </c>
      <c r="CY44" s="59">
        <f ca="1">AVERAGE(OFFSET($CX$3,0,0,'Données projet'!$E$13+1,1))-AVERAGE(OFFSET($H$3,0,0,'Données projet'!$E$13+1,1))</f>
        <v>304.15237106473313</v>
      </c>
      <c r="CZ44" s="59">
        <f t="shared" si="42"/>
        <v>120.85458928724336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>
        <f>EXP(-LN(2)/35)*DF43+(1-EXP(-LN(2)/35))/(LN(2)/35)*DB44*DC44*VLOOKUP('Données projet'!$B$13,Paramètres!$A$1:$I$89,3,0)*0.475*44/12</f>
        <v>0</v>
      </c>
      <c r="DG44" s="21">
        <f>EXP(-LN(2)/25)*DG43+(1-EXP(-LN(2)/25))/(LN(2)/25)*Calculateur!DB44*Calculateur!DD44*VLOOKUP('Données projet'!$B$13,Paramètres!$A$1:$I$89,3,0)*0.475*44/12</f>
        <v>0</v>
      </c>
      <c r="DH44" s="21">
        <f>EXP(-LN(2)/2)*DH43+(1-EXP(-LN(2)/2))/(LN(2)/2)*DB44*DE44*VLOOKUP('Données projet'!$B$13,Paramètres!$A$1:$I$89,3,0)*0.475*44/12</f>
        <v>0</v>
      </c>
      <c r="DI44" s="22">
        <f t="shared" si="15"/>
        <v>0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6.8461538461538449</v>
      </c>
      <c r="DO44" s="12">
        <f>IF('Données projet'!$A$166&gt;35,DO43+DN44-DW43,IF(A44&lt;'Données projet'!$A$166,$DL$205^A44,IF(A44='Données projet'!$A$166,'Données projet'!$B$166,DO43+DN44-DW43)))</f>
        <v>111.46153846153851</v>
      </c>
      <c r="DP44" s="17">
        <f>DO44*VLOOKUP('Données projet'!$B$14,Paramètres!$A$1:$I$89,3,0)*VLOOKUP('Données projet'!$B$14,Paramètres!$A$1:$I$89,5,0)</f>
        <v>53.613000000000021</v>
      </c>
      <c r="DQ44" s="13">
        <f t="shared" si="43"/>
        <v>15.543010258968035</v>
      </c>
      <c r="DR44" s="20">
        <f t="shared" si="16"/>
        <v>120.44671786770267</v>
      </c>
      <c r="DS44" s="59">
        <f t="shared" si="17"/>
        <v>413.78005120103597</v>
      </c>
      <c r="DT44" s="59">
        <f ca="1">AVERAGE(OFFSET($DS$3,0,0,'Données projet'!$E$14+1,1))-AVERAGE(OFFSET($H$3,0,0,'Données projet'!$E$14+1,1))</f>
        <v>91.053246648097399</v>
      </c>
      <c r="DU44" s="59">
        <f t="shared" si="44"/>
        <v>64.716270355703955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>
        <f>EXP(-LN(2)/35)*EA43+(1-EXP(-LN(2)/35))/(LN(2)/35)*DW44*DX44*VLOOKUP('Données projet'!$B$14,Paramètres!$A$1:$I$89,3,0)*0.475*44/12</f>
        <v>0</v>
      </c>
      <c r="EB44" s="21">
        <f>EXP(-LN(2)/25)*EB43+(1-EXP(-LN(2)/25))/(LN(2)/25)*Calculateur!DW44*Calculateur!DY44*VLOOKUP('Données projet'!$B$14,Paramètres!$A$1:$I$89,3,0)*0.475*44/12</f>
        <v>0</v>
      </c>
      <c r="EC44" s="21">
        <f>EXP(-LN(2)/2)*EC43+(1-EXP(-LN(2)/2))/(LN(2)/2)*DW44*DZ44*VLOOKUP('Données projet'!$B$14,Paramètres!$A$1:$I$89,3,0)*0.475*44/12</f>
        <v>0</v>
      </c>
      <c r="ED44" s="22">
        <f t="shared" si="18"/>
        <v>0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18.899999999999999</v>
      </c>
      <c r="EJ44" s="12">
        <f>IF('Données projet'!$A$192&gt;35,EJ43+EI44-ER43,IF(A44&lt;'Données projet'!$A$192,$EG$205^A44,IF(A44='Données projet'!$A$192,'Données projet'!$B$192,EJ43+EI44-ER43)))</f>
        <v>264.89999999999992</v>
      </c>
      <c r="EK44" s="17">
        <f>EJ44*VLOOKUP('Données projet'!$B$15,Paramètres!$A$1:$I$89,3,0)*VLOOKUP('Données projet'!$B$15,Paramètres!$A$1:$I$89,5,0)</f>
        <v>158.41019999999997</v>
      </c>
      <c r="EL44" s="13">
        <f t="shared" si="45"/>
        <v>40.483723442869469</v>
      </c>
      <c r="EM44" s="20">
        <f t="shared" si="19"/>
        <v>346.40691666299762</v>
      </c>
      <c r="EN44" s="59">
        <f t="shared" si="20"/>
        <v>639.74024999633093</v>
      </c>
      <c r="EO44" s="59">
        <f ca="1">AVERAGE(OFFSET($EN$3,0,0,'Données projet'!$E$15+1,1))-AVERAGE(OFFSET($H$3,0,0,'Données projet'!$E$15+1,1))</f>
        <v>316.58509520829671</v>
      </c>
      <c r="EP44" s="59">
        <f t="shared" si="46"/>
        <v>240.71332110643596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>
        <f>EXP(-LN(2)/35)*EV43+(1-EXP(-LN(2)/35))/(LN(2)/35)*ER44*ES44*VLOOKUP('Données projet'!$B$15,Paramètres!$A$1:$I$89,3,0)*0.475*44/12</f>
        <v>2.0384073457475353</v>
      </c>
      <c r="EW44" s="21">
        <f>EXP(-LN(2)/25)*EW43+(1-EXP(-LN(2)/25))/(LN(2)/25)*Calculateur!ER44*Calculateur!ET44*VLOOKUP('Données projet'!$B$15,Paramètres!$A$1:$I$89,3,0)*0.475*44/12</f>
        <v>11.25451718801513</v>
      </c>
      <c r="EX44" s="21">
        <f>EXP(-LN(2)/2)*EX43+(1-EXP(-LN(2)/2))/(LN(2)/2)*ER44*EU44*VLOOKUP('Données projet'!$B$15,Paramètres!$A$1:$I$89,3,0)*0.475*44/12</f>
        <v>0.4847955706148328</v>
      </c>
      <c r="EY44" s="22">
        <f t="shared" si="21"/>
        <v>13.777720104377497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16.2</v>
      </c>
      <c r="FE44" s="12">
        <f>IF('Données projet'!$A$218&gt;35,FE43+FD44-FM43,IF(A44&lt;'Données projet'!$A$218,$FB$205^A44,IF(A44='Données projet'!$A$218,'Données projet'!$B$218,FE43+FD44-FM43)))</f>
        <v>234.19999999999993</v>
      </c>
      <c r="FF44" s="17">
        <f>FE44*VLOOKUP('Données projet'!$B$16,Paramètres!$A$1:$I$89,3,0)*VLOOKUP('Données projet'!$B$16,Paramètres!$A$1:$I$89,5,0)</f>
        <v>140.05159999999998</v>
      </c>
      <c r="FG44" s="13">
        <f t="shared" si="47"/>
        <v>36.308826076884692</v>
      </c>
      <c r="FH44" s="20">
        <f t="shared" si="22"/>
        <v>307.1610754172408</v>
      </c>
      <c r="FI44" s="59">
        <f t="shared" si="23"/>
        <v>600.49440875057417</v>
      </c>
      <c r="FJ44" s="59">
        <f ca="1">AVERAGE(OFFSET($FI$3,0,0,'Données projet'!$E$16+1,1))-AVERAGE(OFFSET($H$3,0,0,'Données projet'!$E$16+1,1))</f>
        <v>270.30888762640245</v>
      </c>
      <c r="FK44" s="59">
        <f t="shared" si="48"/>
        <v>202.23783851977691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>
        <f>EXP(-LN(2)/35)*FQ43+(1-EXP(-LN(2)/35))/(LN(2)/35)*FM44*FN44*VLOOKUP('Données projet'!$B$16,Paramètres!$A$1:$I$89,3,0)*0.475*44/12</f>
        <v>1.7225977569697475</v>
      </c>
      <c r="FR44" s="21">
        <f>EXP(-LN(2)/25)*FR43+(1-EXP(-LN(2)/25))/(LN(2)/25)*Calculateur!FM44*Calculateur!FO44*VLOOKUP('Données projet'!$B$16,Paramètres!$A$1:$I$89,3,0)*0.475*44/12</f>
        <v>9.0632234642602505</v>
      </c>
      <c r="FS44" s="21">
        <f>EXP(-LN(2)/2)*FS43+(1-EXP(-LN(2)/2))/(LN(2)/2)*FM44*FP44*VLOOKUP('Données projet'!$B$16,Paramètres!$A$1:$I$89,3,0)*0.475*44/12</f>
        <v>0.40863277916613339</v>
      </c>
      <c r="FT44" s="22">
        <f t="shared" si="24"/>
        <v>11.194454000396131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9.1999999999999993</v>
      </c>
      <c r="FZ44" s="12">
        <f>IF('Données projet'!$A$244&gt;35,FZ43+FY44-GH43,IF(A44&lt;'Données projet'!$A$244,$FW$205^A44,IF(A44='Données projet'!$A$244,'Données projet'!$B$244,FZ43+FY44-GH43)))</f>
        <v>202.19999999999993</v>
      </c>
      <c r="GA44" s="17">
        <f>FZ44*VLOOKUP('Données projet'!$B$17,Paramètres!$A$1:$I$89,3,0)*VLOOKUP('Données projet'!$B$17,Paramètres!$A$1:$I$89,5,0)</f>
        <v>160.87031999999996</v>
      </c>
      <c r="GB44" s="13">
        <f t="shared" si="49"/>
        <v>41.038756492063129</v>
      </c>
      <c r="GC44" s="20">
        <f t="shared" si="25"/>
        <v>351.65830822367656</v>
      </c>
      <c r="GD44" s="59">
        <f t="shared" si="26"/>
        <v>644.99164155700987</v>
      </c>
      <c r="GE44" s="59">
        <f ca="1">AVERAGE(OFFSET($GD$3,0,0,'Données projet'!$E$17+1,1))-AVERAGE(OFFSET($H$3,0,0,'Données projet'!$E$17+1,1))</f>
        <v>260.20517190557814</v>
      </c>
      <c r="GF44" s="59">
        <f t="shared" si="50"/>
        <v>307.22009971147133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>
        <f>EXP(-LN(2)/35)*GL43+(1-EXP(-LN(2)/35))/(LN(2)/35)*GH44*GI44*VLOOKUP('Données projet'!$B$17,Paramètres!$A$1:$I$89,3,0)*0.475*44/12</f>
        <v>2.6242570176831408</v>
      </c>
      <c r="GM44" s="21">
        <f>EXP(-LN(2)/25)*GM43+(1-EXP(-LN(2)/25))/(LN(2)/25)*Calculateur!GH44*Calculateur!GJ44*VLOOKUP('Données projet'!$B$17,Paramètres!$A$1:$I$89,3,0)*0.475*44/12</f>
        <v>15.12570932410541</v>
      </c>
      <c r="GN44" s="21">
        <f>EXP(-LN(2)/2)*GN43+(1-EXP(-LN(2)/2))/(LN(2)/2)*GH44*GK44*VLOOKUP('Données projet'!$B$17,Paramètres!$A$1:$I$89,3,0)*0.475*44/12</f>
        <v>0.53119262916563648</v>
      </c>
      <c r="GO44" s="21">
        <f t="shared" si="27"/>
        <v>18.281158970954188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7.7</v>
      </c>
      <c r="GU44" s="12">
        <f>IF('Données projet'!$A$270&gt;35,GU43+GT44-HC43,IF(A44&lt;'Données projet'!$A$270,$GR$205^A44,IF(A44='Données projet'!$A$270,'Données projet'!$B$270,GU43+GT44-HC43)))</f>
        <v>171.69999999999985</v>
      </c>
      <c r="GV44" s="17">
        <f>GU44*VLOOKUP('Données projet'!$B$18,Paramètres!$A$1:$I$89,3,0)*VLOOKUP('Données projet'!$B$18,Paramètres!$A$1:$I$89,5,0)</f>
        <v>136.60451999999989</v>
      </c>
      <c r="GW44" s="13">
        <f t="shared" si="51"/>
        <v>35.518040685530593</v>
      </c>
      <c r="GX44" s="20">
        <f t="shared" si="28"/>
        <v>299.78012652729893</v>
      </c>
      <c r="GY44" s="59">
        <f t="shared" si="29"/>
        <v>593.11345986063225</v>
      </c>
      <c r="GZ44" s="59">
        <f ca="1">AVERAGE(OFFSET($GY$3,0,0,'Données projet'!$E$18+1,1))-AVERAGE(OFFSET($H$3,0,0,'Données projet'!$E$18+1,1))</f>
        <v>199.58763537752952</v>
      </c>
      <c r="HA44" s="59">
        <f t="shared" si="52"/>
        <v>242.62852778451929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>
        <f>EXP(-LN(2)/35)*HG43+(1-EXP(-LN(2)/35))/(LN(2)/35)*HC44*HD44*VLOOKUP('Données projet'!$B$18,Paramètres!$A$1:$I$89,3,0)*0.475*44/12</f>
        <v>0</v>
      </c>
      <c r="HH44" s="21">
        <f>EXP(-LN(2)/25)*HH43+(1-EXP(-LN(2)/25))/(LN(2)/25)*Calculateur!HC44*Calculateur!HE44*VLOOKUP('Données projet'!$B$18,Paramètres!$A$1:$I$89,3,0)*0.475*44/12</f>
        <v>7.5799378354912861</v>
      </c>
      <c r="HI44" s="21">
        <f>EXP(-LN(2)/2)*HI43+(1-EXP(-LN(2)/2))/(LN(2)/2)*HC44*HF44*VLOOKUP('Données projet'!$B$18,Paramètres!$A$1:$I$89,3,0)*0.475*44/12</f>
        <v>0.23779909112440686</v>
      </c>
      <c r="HJ44" s="22">
        <f t="shared" si="30"/>
        <v>7.8177369266156926</v>
      </c>
    </row>
    <row r="45" spans="1:218" x14ac:dyDescent="0.2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37.346400000000003</v>
      </c>
      <c r="D45" s="11">
        <f t="shared" si="32"/>
        <v>11.292524863342397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375.45836736615183</v>
      </c>
      <c r="H45" s="67">
        <f t="shared" si="1"/>
        <v>378.04612747032132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>
        <f>VLOOKUP(A45,'Données projet'!$A$35:$I$55,2,0)</f>
        <v>468.72307692307692</v>
      </c>
      <c r="L45" s="12">
        <f>VLOOKUP(A45,'Données projet'!$A$35:$I$55,9,0)</f>
        <v>22.419230769230779</v>
      </c>
      <c r="M45" s="12">
        <f t="array" ref="M45">INDEX(L:L,MIN(IF(ISNUMBER(L45:L241),ROW(L45:L241),"")))</f>
        <v>22.419230769230779</v>
      </c>
      <c r="N45" s="13">
        <f>IF('Données projet'!$A$36&gt;35,N44+M45-V44,IF(A45&lt;'Données projet'!$A$36,$K$205^A45,IF(A45='Données projet'!$A$36,'Données projet'!$B$36,N44+M45-V44)))</f>
        <v>468.72307692307675</v>
      </c>
      <c r="O45" s="13">
        <f>N45*VLOOKUP('Données projet'!$B$9,Paramètres!$A$1:$I$89,3,0)*VLOOKUP('Données projet'!$B$9,Paramètres!$A$1:$I$89,5,0)</f>
        <v>262.01619999999991</v>
      </c>
      <c r="P45" s="13">
        <f t="shared" si="33"/>
        <v>63.151956912854573</v>
      </c>
      <c r="Q45" s="20">
        <f t="shared" si="53"/>
        <v>566.33453995655486</v>
      </c>
      <c r="R45" s="59">
        <f t="shared" si="0"/>
        <v>859.66787328988812</v>
      </c>
      <c r="S45" s="59">
        <f ca="1">AVERAGE(OFFSET($R$3,0,0,'Données projet'!$E$9+1,1))-AVERAGE(OFFSET($H$3,0,0,'Données projet'!$E$9+1,1))</f>
        <v>255.5374979188561</v>
      </c>
      <c r="T45" s="59">
        <f t="shared" si="34"/>
        <v>343.10418468620901</v>
      </c>
      <c r="U45" s="15">
        <f>IF(ISNA(VLOOKUP(A45,'Données projet'!$A$35:$I$55,3,0)),0,VLOOKUP(A45,'Données projet'!$A$35:$I$55,3,0))</f>
        <v>5</v>
      </c>
      <c r="V45" s="15">
        <f>IF(ISNA(VLOOKUP(A45,'Données projet'!$A$35:$I$55,4,0)),0,VLOOKUP(A45,'Données projet'!$A$35:$I$55,4,0))</f>
        <v>73.392307692307682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2.4364299871167083</v>
      </c>
      <c r="AA45" s="21">
        <f>EXP(-LN(2)/25)*AA44+(1-EXP(-LN(2)/25))/(LN(2)/25)*Calculateur!V45*Calculateur!X45*VLOOKUP('Données projet'!$B$9,Paramètres!$A$1:$I$89,3,0)*0.475*44/12</f>
        <v>11.443148669770169</v>
      </c>
      <c r="AB45" s="21">
        <f>EXP(-LN(2)/2)*AB44+(1-EXP(-LN(2)/2))/(LN(2)/2)*V45*Y45*VLOOKUP('Données projet'!$B$9,Paramètres!$A$1:$I$89,3,0)*0.475*44/12</f>
        <v>2.6447688741469782E-2</v>
      </c>
      <c r="AC45" s="22">
        <f t="shared" si="3"/>
        <v>13.906026345628348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362.59999999999997</v>
      </c>
      <c r="AG45" s="12">
        <f>VLOOKUP(A45,'Données projet'!$A$61:$I$81,9,0)</f>
        <v>18.229670329670324</v>
      </c>
      <c r="AH45" s="12">
        <f t="array" ref="AH45">INDEX(AG:AG,MIN(IF(ISNUMBER(AG45:AG241),ROW(AG45:AG241),"")))</f>
        <v>18.229670329670324</v>
      </c>
      <c r="AI45" s="13">
        <f>IF('Données projet'!$A$62&gt;35,AI44+AH45-AQ44,IF(A45&lt;'Données projet'!$A$62,$AF$205^A45,IF(A45='Données projet'!$A$62,'Données projet'!$B$62,AI44+AH45-AQ44)))</f>
        <v>362.60000000000008</v>
      </c>
      <c r="AJ45" s="13">
        <f>AI45*VLOOKUP('Données projet'!$B$10,Paramètres!$A$1:$I$89,3,0)*VLOOKUP('Données projet'!$B$10,Paramètres!$A$1:$I$89,5,0)</f>
        <v>202.69340000000005</v>
      </c>
      <c r="AK45" s="13">
        <f t="shared" si="35"/>
        <v>50.335633892078647</v>
      </c>
      <c r="AL45" s="20">
        <f t="shared" si="4"/>
        <v>440.69223402870375</v>
      </c>
      <c r="AM45" s="59">
        <f t="shared" si="5"/>
        <v>734.02556736203701</v>
      </c>
      <c r="AN45" s="59">
        <f ca="1">AVERAGE(OFFSET($AM$3,0,0,'Données projet'!$E$10+1,1))-AVERAGE(OFFSET($H$3,0,0,'Données projet'!$E$10+1,1))</f>
        <v>224.7049802939942</v>
      </c>
      <c r="AO45" s="59">
        <f t="shared" si="36"/>
        <v>203.48513862195352</v>
      </c>
      <c r="AP45" s="15">
        <f>IF(ISNA(VLOOKUP(A45,'Données projet'!$A$61:$I$81,3,0)),0,VLOOKUP(A45,'Données projet'!$A$61:$I$81,3,0))</f>
        <v>4</v>
      </c>
      <c r="AQ45" s="15">
        <f>IF(ISNA(VLOOKUP(A45,'Données projet'!$A$61:$I$81,4,0)),0,VLOOKUP(A45,'Données projet'!$A$61:$I$81,4,0))</f>
        <v>80.669230769230765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1.759221526463858</v>
      </c>
      <c r="AV45" s="21">
        <f>EXP(-LN(2)/25)*AV44+(1-EXP(-LN(2)/25))/(LN(2)/25)*Calculateur!AQ45*Calculateur!AS45*VLOOKUP('Données projet'!$B$10,Paramètres!$A$1:$I$89,3,0)*0.475*44/12</f>
        <v>13.998649363585189</v>
      </c>
      <c r="AW45" s="21">
        <f>EXP(-LN(2)/2)*AW44+(1-EXP(-LN(2)/2))/(LN(2)/2)*AQ45*AT45*VLOOKUP('Données projet'!$B$10,Paramètres!$A$1:$I$89,3,0)*0.475*44/12</f>
        <v>0.14000957173575007</v>
      </c>
      <c r="AX45" s="21">
        <f t="shared" si="6"/>
        <v>15.897880461784796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11.5</v>
      </c>
      <c r="BD45" s="12">
        <f>IF('Données projet'!$A$88&gt;35,BD44+BC45-BL44,IF(A45&lt;'Données projet'!$A$88,$BA$205^A45,IF(A45='Données projet'!$A$88,'Données projet'!$B$88,BD44+BC45-BL44)))</f>
        <v>257.00000000000011</v>
      </c>
      <c r="BE45" s="13">
        <f>BD45*VLOOKUP('Données projet'!$B$11,Paramètres!$A$1:$I$89,3,0)*VLOOKUP('Données projet'!$B$11,Paramètres!$A$1:$I$89,5,0)</f>
        <v>140.32200000000006</v>
      </c>
      <c r="BF45" s="13">
        <f t="shared" si="37"/>
        <v>36.370761307502896</v>
      </c>
      <c r="BG45" s="20">
        <f t="shared" si="7"/>
        <v>307.73989261056767</v>
      </c>
      <c r="BH45" s="59">
        <f t="shared" si="8"/>
        <v>601.07322594390098</v>
      </c>
      <c r="BI45" s="59">
        <f ca="1">AVERAGE(OFFSET($BH$3,0,0,'Données projet'!$E$11+1,1))-AVERAGE(OFFSET($H$3,0,0,'Données projet'!$E$11+1,1))</f>
        <v>210.04871822652808</v>
      </c>
      <c r="BJ45" s="59">
        <f t="shared" si="38"/>
        <v>250.17540614049324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5.7566688428651371</v>
      </c>
      <c r="BQ45" s="21">
        <f>EXP(-LN(2)/25)*BQ44+(1-EXP(-LN(2)/25))/(LN(2)/25)*Calculateur!BL45*Calculateur!BN45*VLOOKUP('Données projet'!$B$11,Paramètres!$A$1:$I$89,3,0)*0.475*44/12</f>
        <v>19.953998900013968</v>
      </c>
      <c r="BR45" s="21">
        <f>EXP(-LN(2)/2)*BR44+(1-EXP(-LN(2)/2))/(LN(2)/2)*BL45*BO45*VLOOKUP('Données projet'!$B$11,Paramètres!$A$1:$I$89,3,0)*0.475*44/12</f>
        <v>0.33677951152111935</v>
      </c>
      <c r="BS45" s="22">
        <f t="shared" si="9"/>
        <v>26.047447254400222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9.9</v>
      </c>
      <c r="BY45" s="12">
        <f>IF('Données projet'!$A$114&gt;35,BY44+BX45-CG44,IF(A45&lt;'Données projet'!$A$114,$BV$205^A45,IF(A45='Données projet'!$A$114,'Données projet'!$B$114,BY44+BX45-CG44)))</f>
        <v>222.79999999999998</v>
      </c>
      <c r="BZ45" s="13">
        <f>BY45*VLOOKUP('Données projet'!$B$12,Paramètres!$A$1:$I$89,3,0)*VLOOKUP('Données projet'!$B$12,Paramètres!$A$1:$I$89,5,0)</f>
        <v>121.64879999999999</v>
      </c>
      <c r="CA45" s="13">
        <f t="shared" si="39"/>
        <v>32.059248862040441</v>
      </c>
      <c r="CB45" s="20">
        <f t="shared" si="10"/>
        <v>267.70818510138707</v>
      </c>
      <c r="CC45" s="59">
        <f t="shared" si="11"/>
        <v>561.04151843472039</v>
      </c>
      <c r="CD45" s="59">
        <f ca="1">AVERAGE(OFFSET($CC$3,0,0,'Données projet'!$E$12+1,1))-AVERAGE(OFFSET($H$3,0,0,'Données projet'!$E$12+1,1))</f>
        <v>168.72306536277267</v>
      </c>
      <c r="CE45" s="59">
        <f t="shared" si="40"/>
        <v>203.35476578922339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2.3986120178604744</v>
      </c>
      <c r="CL45" s="21">
        <f>EXP(-LN(2)/25)*CL44+(1-EXP(-LN(2)/25))/(LN(2)/25)*Calculateur!CG45*Calculateur!CI45*VLOOKUP('Données projet'!$B$12,Paramètres!$A$1:$I$89,3,0)*0.475*44/12</f>
        <v>16.479746136099958</v>
      </c>
      <c r="CM45" s="21">
        <f>EXP(-LN(2)/2)*CM44+(1-EXP(-LN(2)/2))/(LN(2)/2)*CG45*CJ45*VLOOKUP('Données projet'!$B$12,Paramètres!$A$1:$I$89,3,0)*0.475*44/12</f>
        <v>0.31287260347014451</v>
      </c>
      <c r="CN45" s="22">
        <f t="shared" si="12"/>
        <v>19.191230757430578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11.538461538461542</v>
      </c>
      <c r="CT45" s="12">
        <f>IF('Données projet'!$A$140&gt;35,CT44+CS45-DB44,IF(A45&lt;'Données projet'!$A$140,$CQ$205^A45,IF(A45='Données projet'!$A$140,'Données projet'!$B$140,CT44+CS45-DB44)))</f>
        <v>179.23076923076937</v>
      </c>
      <c r="CU45" s="17">
        <f>CT45*VLOOKUP('Données projet'!$B$13,Paramètres!$A$1:$I$89,3,0)*VLOOKUP('Données projet'!$B$13,Paramètres!$A$1:$I$89,5,0)</f>
        <v>86.210000000000065</v>
      </c>
      <c r="CV45" s="13">
        <f t="shared" si="41"/>
        <v>23.64889211582879</v>
      </c>
      <c r="CW45" s="20">
        <f t="shared" si="13"/>
        <v>191.33757043506856</v>
      </c>
      <c r="CX45" s="59">
        <f t="shared" si="14"/>
        <v>484.6709037684019</v>
      </c>
      <c r="CY45" s="59">
        <f ca="1">AVERAGE(OFFSET($CX$3,0,0,'Données projet'!$E$13+1,1))-AVERAGE(OFFSET($H$3,0,0,'Données projet'!$E$13+1,1))</f>
        <v>304.15237106473313</v>
      </c>
      <c r="CZ45" s="59">
        <f t="shared" si="42"/>
        <v>120.85458928724336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>
        <f>EXP(-LN(2)/35)*DF44+(1-EXP(-LN(2)/35))/(LN(2)/35)*DB45*DC45*VLOOKUP('Données projet'!$B$13,Paramètres!$A$1:$I$89,3,0)*0.475*44/12</f>
        <v>0</v>
      </c>
      <c r="DG45" s="21">
        <f>EXP(-LN(2)/25)*DG44+(1-EXP(-LN(2)/25))/(LN(2)/25)*Calculateur!DB45*Calculateur!DD45*VLOOKUP('Données projet'!$B$13,Paramètres!$A$1:$I$89,3,0)*0.475*44/12</f>
        <v>0</v>
      </c>
      <c r="DH45" s="21">
        <f>EXP(-LN(2)/2)*DH44+(1-EXP(-LN(2)/2))/(LN(2)/2)*DB45*DE45*VLOOKUP('Données projet'!$B$13,Paramètres!$A$1:$I$89,3,0)*0.475*44/12</f>
        <v>0</v>
      </c>
      <c r="DI45" s="22">
        <f t="shared" si="15"/>
        <v>0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6.8461538461538449</v>
      </c>
      <c r="DO45" s="12">
        <f>IF('Données projet'!$A$166&gt;35,DO44+DN45-DW44,IF(A45&lt;'Données projet'!$A$166,$DL$205^A45,IF(A45='Données projet'!$A$166,'Données projet'!$B$166,DO44+DN45-DW44)))</f>
        <v>118.30769230769235</v>
      </c>
      <c r="DP45" s="17">
        <f>DO45*VLOOKUP('Données projet'!$B$14,Paramètres!$A$1:$I$89,3,0)*VLOOKUP('Données projet'!$B$14,Paramètres!$A$1:$I$89,5,0)</f>
        <v>56.906000000000027</v>
      </c>
      <c r="DQ45" s="13">
        <f t="shared" si="43"/>
        <v>16.3836147125647</v>
      </c>
      <c r="DR45" s="20">
        <f t="shared" si="16"/>
        <v>127.64607895771688</v>
      </c>
      <c r="DS45" s="59">
        <f t="shared" si="17"/>
        <v>420.97941229105021</v>
      </c>
      <c r="DT45" s="59">
        <f ca="1">AVERAGE(OFFSET($DS$3,0,0,'Données projet'!$E$14+1,1))-AVERAGE(OFFSET($H$3,0,0,'Données projet'!$E$14+1,1))</f>
        <v>91.053246648097399</v>
      </c>
      <c r="DU45" s="59">
        <f t="shared" si="44"/>
        <v>64.716270355703955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>
        <f>EXP(-LN(2)/35)*EA44+(1-EXP(-LN(2)/35))/(LN(2)/35)*DW45*DX45*VLOOKUP('Données projet'!$B$14,Paramètres!$A$1:$I$89,3,0)*0.475*44/12</f>
        <v>0</v>
      </c>
      <c r="EB45" s="21">
        <f>EXP(-LN(2)/25)*EB44+(1-EXP(-LN(2)/25))/(LN(2)/25)*Calculateur!DW45*Calculateur!DY45*VLOOKUP('Données projet'!$B$14,Paramètres!$A$1:$I$89,3,0)*0.475*44/12</f>
        <v>0</v>
      </c>
      <c r="EC45" s="21">
        <f>EXP(-LN(2)/2)*EC44+(1-EXP(-LN(2)/2))/(LN(2)/2)*DW45*DZ45*VLOOKUP('Données projet'!$B$14,Paramètres!$A$1:$I$89,3,0)*0.475*44/12</f>
        <v>0</v>
      </c>
      <c r="ED45" s="22">
        <f t="shared" si="18"/>
        <v>0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18.899999999999999</v>
      </c>
      <c r="EJ45" s="12">
        <f>IF('Données projet'!$A$192&gt;35,EJ44+EI45-ER44,IF(A45&lt;'Données projet'!$A$192,$EG$205^A45,IF(A45='Données projet'!$A$192,'Données projet'!$B$192,EJ44+EI45-ER44)))</f>
        <v>283.7999999999999</v>
      </c>
      <c r="EK45" s="17">
        <f>EJ45*VLOOKUP('Données projet'!$B$15,Paramètres!$A$1:$I$89,3,0)*VLOOKUP('Données projet'!$B$15,Paramètres!$A$1:$I$89,5,0)</f>
        <v>169.71239999999995</v>
      </c>
      <c r="EL45" s="13">
        <f t="shared" si="45"/>
        <v>43.025604406382911</v>
      </c>
      <c r="EM45" s="20">
        <f t="shared" si="19"/>
        <v>370.51869100778345</v>
      </c>
      <c r="EN45" s="59">
        <f t="shared" si="20"/>
        <v>663.8520243411167</v>
      </c>
      <c r="EO45" s="59">
        <f ca="1">AVERAGE(OFFSET($EN$3,0,0,'Données projet'!$E$15+1,1))-AVERAGE(OFFSET($H$3,0,0,'Données projet'!$E$15+1,1))</f>
        <v>316.58509520829671</v>
      </c>
      <c r="EP45" s="59">
        <f t="shared" si="46"/>
        <v>240.71332110643596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>
        <f>EXP(-LN(2)/35)*EV44+(1-EXP(-LN(2)/35))/(LN(2)/35)*ER45*ES45*VLOOKUP('Données projet'!$B$15,Paramètres!$A$1:$I$89,3,0)*0.475*44/12</f>
        <v>1.9984354210031408</v>
      </c>
      <c r="EW45" s="21">
        <f>EXP(-LN(2)/25)*EW44+(1-EXP(-LN(2)/25))/(LN(2)/25)*Calculateur!ER45*Calculateur!ET45*VLOOKUP('Données projet'!$B$15,Paramètres!$A$1:$I$89,3,0)*0.475*44/12</f>
        <v>10.94676182365952</v>
      </c>
      <c r="EX45" s="21">
        <f>EXP(-LN(2)/2)*EX44+(1-EXP(-LN(2)/2))/(LN(2)/2)*ER45*EU45*VLOOKUP('Données projet'!$B$15,Paramètres!$A$1:$I$89,3,0)*0.475*44/12</f>
        <v>0.34280223547095007</v>
      </c>
      <c r="EY45" s="22">
        <f t="shared" si="21"/>
        <v>13.28799948013361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16.2</v>
      </c>
      <c r="FE45" s="12">
        <f>IF('Données projet'!$A$218&gt;35,FE44+FD45-FM44,IF(A45&lt;'Données projet'!$A$218,$FB$205^A45,IF(A45='Données projet'!$A$218,'Données projet'!$B$218,FE44+FD45-FM44)))</f>
        <v>250.39999999999992</v>
      </c>
      <c r="FF45" s="17">
        <f>FE45*VLOOKUP('Données projet'!$B$16,Paramètres!$A$1:$I$89,3,0)*VLOOKUP('Données projet'!$B$16,Paramètres!$A$1:$I$89,5,0)</f>
        <v>149.73919999999995</v>
      </c>
      <c r="FG45" s="13">
        <f t="shared" si="47"/>
        <v>38.51931188379853</v>
      </c>
      <c r="FH45" s="20">
        <f t="shared" si="22"/>
        <v>327.88357486428237</v>
      </c>
      <c r="FI45" s="59">
        <f t="shared" si="23"/>
        <v>621.21690819761568</v>
      </c>
      <c r="FJ45" s="59">
        <f ca="1">AVERAGE(OFFSET($FI$3,0,0,'Données projet'!$E$16+1,1))-AVERAGE(OFFSET($H$3,0,0,'Données projet'!$E$16+1,1))</f>
        <v>270.30888762640245</v>
      </c>
      <c r="FK45" s="59">
        <f t="shared" si="48"/>
        <v>202.23783851977691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>
        <f>EXP(-LN(2)/35)*FQ44+(1-EXP(-LN(2)/35))/(LN(2)/35)*FM45*FN45*VLOOKUP('Données projet'!$B$16,Paramètres!$A$1:$I$89,3,0)*0.475*44/12</f>
        <v>1.6888186656364563</v>
      </c>
      <c r="FR45" s="21">
        <f>EXP(-LN(2)/25)*FR44+(1-EXP(-LN(2)/25))/(LN(2)/25)*Calculateur!FM45*Calculateur!FO45*VLOOKUP('Données projet'!$B$16,Paramètres!$A$1:$I$89,3,0)*0.475*44/12</f>
        <v>8.8153891420158459</v>
      </c>
      <c r="FS45" s="21">
        <f>EXP(-LN(2)/2)*FS44+(1-EXP(-LN(2)/2))/(LN(2)/2)*FM45*FP45*VLOOKUP('Données projet'!$B$16,Paramètres!$A$1:$I$89,3,0)*0.475*44/12</f>
        <v>0.28894700916347787</v>
      </c>
      <c r="FT45" s="22">
        <f t="shared" si="24"/>
        <v>10.793154816815779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9.1999999999999993</v>
      </c>
      <c r="FZ45" s="12">
        <f>IF('Données projet'!$A$244&gt;35,FZ44+FY45-GH44,IF(A45&lt;'Données projet'!$A$244,$FW$205^A45,IF(A45='Données projet'!$A$244,'Données projet'!$B$244,FZ44+FY45-GH44)))</f>
        <v>211.39999999999992</v>
      </c>
      <c r="GA45" s="17">
        <f>FZ45*VLOOKUP('Données projet'!$B$17,Paramètres!$A$1:$I$89,3,0)*VLOOKUP('Données projet'!$B$17,Paramètres!$A$1:$I$89,5,0)</f>
        <v>168.18983999999995</v>
      </c>
      <c r="GB45" s="13">
        <f t="shared" si="49"/>
        <v>42.684355718695357</v>
      </c>
      <c r="GC45" s="20">
        <f t="shared" si="25"/>
        <v>367.27255754339438</v>
      </c>
      <c r="GD45" s="59">
        <f t="shared" si="26"/>
        <v>660.6058908767277</v>
      </c>
      <c r="GE45" s="59">
        <f ca="1">AVERAGE(OFFSET($GD$3,0,0,'Données projet'!$E$17+1,1))-AVERAGE(OFFSET($H$3,0,0,'Données projet'!$E$17+1,1))</f>
        <v>260.20517190557814</v>
      </c>
      <c r="GF45" s="59">
        <f t="shared" si="50"/>
        <v>307.22009971147133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>
        <f>EXP(-LN(2)/35)*GL44+(1-EXP(-LN(2)/35))/(LN(2)/35)*GH45*GI45*VLOOKUP('Données projet'!$B$17,Paramètres!$A$1:$I$89,3,0)*0.475*44/12</f>
        <v>2.572796938205105</v>
      </c>
      <c r="GM45" s="21">
        <f>EXP(-LN(2)/25)*GM44+(1-EXP(-LN(2)/25))/(LN(2)/25)*Calculateur!GH45*Calculateur!GJ45*VLOOKUP('Données projet'!$B$17,Paramètres!$A$1:$I$89,3,0)*0.475*44/12</f>
        <v>14.712096007211263</v>
      </c>
      <c r="GN45" s="21">
        <f>EXP(-LN(2)/2)*GN44+(1-EXP(-LN(2)/2))/(LN(2)/2)*GH45*GK45*VLOOKUP('Données projet'!$B$17,Paramètres!$A$1:$I$89,3,0)*0.475*44/12</f>
        <v>0.3756099101993326</v>
      </c>
      <c r="GO45" s="21">
        <f t="shared" si="27"/>
        <v>17.6605028556157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7.7</v>
      </c>
      <c r="GU45" s="12">
        <f>IF('Données projet'!$A$270&gt;35,GU44+GT45-HC44,IF(A45&lt;'Données projet'!$A$270,$GR$205^A45,IF(A45='Données projet'!$A$270,'Données projet'!$B$270,GU44+GT45-HC44)))</f>
        <v>179.39999999999984</v>
      </c>
      <c r="GV45" s="17">
        <f>GU45*VLOOKUP('Données projet'!$B$18,Paramètres!$A$1:$I$89,3,0)*VLOOKUP('Données projet'!$B$18,Paramètres!$A$1:$I$89,5,0)</f>
        <v>142.73063999999988</v>
      </c>
      <c r="GW45" s="13">
        <f t="shared" si="51"/>
        <v>36.921851771122689</v>
      </c>
      <c r="GX45" s="20">
        <f t="shared" si="28"/>
        <v>312.89475650137177</v>
      </c>
      <c r="GY45" s="59">
        <f t="shared" si="29"/>
        <v>606.22808983470509</v>
      </c>
      <c r="GZ45" s="59">
        <f ca="1">AVERAGE(OFFSET($GY$3,0,0,'Données projet'!$E$18+1,1))-AVERAGE(OFFSET($H$3,0,0,'Données projet'!$E$18+1,1))</f>
        <v>199.58763537752952</v>
      </c>
      <c r="HA45" s="59">
        <f t="shared" si="52"/>
        <v>242.62852778451929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>
        <f>EXP(-LN(2)/35)*HG44+(1-EXP(-LN(2)/35))/(LN(2)/35)*HC45*HD45*VLOOKUP('Données projet'!$B$18,Paramètres!$A$1:$I$89,3,0)*0.475*44/12</f>
        <v>0</v>
      </c>
      <c r="HH45" s="21">
        <f>EXP(-LN(2)/25)*HH44+(1-EXP(-LN(2)/25))/(LN(2)/25)*Calculateur!HC45*Calculateur!HE45*VLOOKUP('Données projet'!$B$18,Paramètres!$A$1:$I$89,3,0)*0.475*44/12</f>
        <v>7.3726640367681702</v>
      </c>
      <c r="HI45" s="21">
        <f>EXP(-LN(2)/2)*HI44+(1-EXP(-LN(2)/2))/(LN(2)/2)*HC45*HF45*VLOOKUP('Données projet'!$B$18,Paramètres!$A$1:$I$89,3,0)*0.475*44/12</f>
        <v>0.16814934989406585</v>
      </c>
      <c r="HJ45" s="22">
        <f t="shared" si="30"/>
        <v>7.5408133866622364</v>
      </c>
    </row>
    <row r="46" spans="1:218" x14ac:dyDescent="0.2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38.235600000000005</v>
      </c>
      <c r="D46" s="11">
        <f t="shared" si="32"/>
        <v>11.529771748983352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384.15374683425745</v>
      </c>
      <c r="H46" s="67">
        <f t="shared" si="1"/>
        <v>380.00802246281268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21.625641025641027</v>
      </c>
      <c r="N46" s="13">
        <f>IF('Données projet'!$A$36&gt;35,N45+M46-V45,IF(A46&lt;'Données projet'!$A$36,$K$205^A46,IF(A46='Données projet'!$A$36,'Données projet'!$B$36,N45+M46-V45)))</f>
        <v>416.95641025641009</v>
      </c>
      <c r="O46" s="13">
        <f>N46*VLOOKUP('Données projet'!$B$9,Paramètres!$A$1:$I$89,3,0)*VLOOKUP('Données projet'!$B$9,Paramètres!$A$1:$I$89,5,0)</f>
        <v>233.07863333333327</v>
      </c>
      <c r="P46" s="13">
        <f t="shared" si="33"/>
        <v>56.947838023653489</v>
      </c>
      <c r="Q46" s="20">
        <f t="shared" si="53"/>
        <v>505.12943761341859</v>
      </c>
      <c r="R46" s="59">
        <f t="shared" si="0"/>
        <v>798.4627709467519</v>
      </c>
      <c r="S46" s="59">
        <f ca="1">AVERAGE(OFFSET($R$3,0,0,'Données projet'!$E$9+1,1))-AVERAGE(OFFSET($H$3,0,0,'Données projet'!$E$9+1,1))</f>
        <v>255.5374979188561</v>
      </c>
      <c r="T46" s="59">
        <f t="shared" si="34"/>
        <v>343.10418468620901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2.3886530811449043</v>
      </c>
      <c r="AA46" s="21">
        <f>EXP(-LN(2)/25)*AA45+(1-EXP(-LN(2)/25))/(LN(2)/25)*Calculateur!V46*Calculateur!X46*VLOOKUP('Données projet'!$B$9,Paramètres!$A$1:$I$89,3,0)*0.475*44/12</f>
        <v>11.130235167626269</v>
      </c>
      <c r="AB46" s="21">
        <f>EXP(-LN(2)/2)*AB45+(1-EXP(-LN(2)/2))/(LN(2)/2)*V46*Y46*VLOOKUP('Données projet'!$B$9,Paramètres!$A$1:$I$89,3,0)*0.475*44/12</f>
        <v>1.8701340055804389E-2</v>
      </c>
      <c r="AC46" s="22">
        <f t="shared" si="3"/>
        <v>13.537589588826977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17.519780219780223</v>
      </c>
      <c r="AI46" s="13">
        <f>IF('Données projet'!$A$62&gt;35,AI45+AH46-AQ45,IF(A46&lt;'Données projet'!$A$62,$AF$205^A46,IF(A46='Données projet'!$A$62,'Données projet'!$B$62,AI45+AH46-AQ45)))</f>
        <v>299.45054945054954</v>
      </c>
      <c r="AJ46" s="13">
        <f>AI46*VLOOKUP('Données projet'!$B$10,Paramètres!$A$1:$I$89,3,0)*VLOOKUP('Données projet'!$B$10,Paramètres!$A$1:$I$89,5,0)</f>
        <v>167.3928571428572</v>
      </c>
      <c r="AK46" s="13">
        <f t="shared" si="35"/>
        <v>42.505586135425617</v>
      </c>
      <c r="AL46" s="20">
        <f t="shared" si="4"/>
        <v>365.57312204300916</v>
      </c>
      <c r="AM46" s="59">
        <f t="shared" si="5"/>
        <v>658.90645537634248</v>
      </c>
      <c r="AN46" s="59">
        <f ca="1">AVERAGE(OFFSET($AM$3,0,0,'Données projet'!$E$10+1,1))-AVERAGE(OFFSET($H$3,0,0,'Données projet'!$E$10+1,1))</f>
        <v>224.7049802939942</v>
      </c>
      <c r="AO46" s="59">
        <f t="shared" si="36"/>
        <v>203.48513862195352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1.7247242653490811</v>
      </c>
      <c r="AV46" s="21">
        <f>EXP(-LN(2)/25)*AV45+(1-EXP(-LN(2)/25))/(LN(2)/25)*Calculateur!AQ46*Calculateur!AS46*VLOOKUP('Données projet'!$B$10,Paramètres!$A$1:$I$89,3,0)*0.475*44/12</f>
        <v>13.615855560580977</v>
      </c>
      <c r="AW46" s="21">
        <f>EXP(-LN(2)/2)*AW45+(1-EXP(-LN(2)/2))/(LN(2)/2)*AQ46*AT46*VLOOKUP('Données projet'!$B$10,Paramètres!$A$1:$I$89,3,0)*0.475*44/12</f>
        <v>9.9001717605373254E-2</v>
      </c>
      <c r="AX46" s="21">
        <f t="shared" si="6"/>
        <v>15.439581543535432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11.5</v>
      </c>
      <c r="BD46" s="12">
        <f>IF('Données projet'!$A$88&gt;35,BD45+BC46-BL45,IF(A46&lt;'Données projet'!$A$88,$BA$205^A46,IF(A46='Données projet'!$A$88,'Données projet'!$B$88,BD45+BC46-BL45)))</f>
        <v>268.50000000000011</v>
      </c>
      <c r="BE46" s="13">
        <f>BD46*VLOOKUP('Données projet'!$B$11,Paramètres!$A$1:$I$89,3,0)*VLOOKUP('Données projet'!$B$11,Paramètres!$A$1:$I$89,5,0)</f>
        <v>146.60100000000006</v>
      </c>
      <c r="BF46" s="13">
        <f t="shared" si="37"/>
        <v>37.805123282858517</v>
      </c>
      <c r="BG46" s="20">
        <f t="shared" si="7"/>
        <v>321.1739980509787</v>
      </c>
      <c r="BH46" s="59">
        <f t="shared" si="8"/>
        <v>614.50733138431201</v>
      </c>
      <c r="BI46" s="59">
        <f ca="1">AVERAGE(OFFSET($BH$3,0,0,'Données projet'!$E$11+1,1))-AVERAGE(OFFSET($H$3,0,0,'Données projet'!$E$11+1,1))</f>
        <v>210.04871822652808</v>
      </c>
      <c r="BJ46" s="59">
        <f t="shared" si="38"/>
        <v>250.17540614049324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5.6437840780778412</v>
      </c>
      <c r="BQ46" s="21">
        <f>EXP(-LN(2)/25)*BQ45+(1-EXP(-LN(2)/25))/(LN(2)/25)*Calculateur!BL46*Calculateur!BN46*VLOOKUP('Données projet'!$B$11,Paramètres!$A$1:$I$89,3,0)*0.475*44/12</f>
        <v>19.408355750757888</v>
      </c>
      <c r="BR46" s="21">
        <f>EXP(-LN(2)/2)*BR45+(1-EXP(-LN(2)/2))/(LN(2)/2)*BL46*BO46*VLOOKUP('Données projet'!$B$11,Paramètres!$A$1:$I$89,3,0)*0.475*44/12</f>
        <v>0.23813907636127651</v>
      </c>
      <c r="BS46" s="22">
        <f t="shared" si="9"/>
        <v>25.290278905197003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9.9</v>
      </c>
      <c r="BY46" s="12">
        <f>IF('Données projet'!$A$114&gt;35,BY45+BX46-CG45,IF(A46&lt;'Données projet'!$A$114,$BV$205^A46,IF(A46='Données projet'!$A$114,'Données projet'!$B$114,BY45+BX46-CG45)))</f>
        <v>232.7</v>
      </c>
      <c r="BZ46" s="13">
        <f>BY46*VLOOKUP('Données projet'!$B$12,Paramètres!$A$1:$I$89,3,0)*VLOOKUP('Données projet'!$B$12,Paramètres!$A$1:$I$89,5,0)</f>
        <v>127.05419999999999</v>
      </c>
      <c r="CA46" s="13">
        <f t="shared" si="39"/>
        <v>33.314766081862359</v>
      </c>
      <c r="CB46" s="20">
        <f t="shared" si="10"/>
        <v>279.30928259257695</v>
      </c>
      <c r="CC46" s="59">
        <f t="shared" si="11"/>
        <v>572.64261592591026</v>
      </c>
      <c r="CD46" s="59">
        <f ca="1">AVERAGE(OFFSET($CC$3,0,0,'Données projet'!$E$12+1,1))-AVERAGE(OFFSET($H$3,0,0,'Données projet'!$E$12+1,1))</f>
        <v>168.72306536277267</v>
      </c>
      <c r="CE46" s="59">
        <f t="shared" si="40"/>
        <v>203.35476578922339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2.3515766991991014</v>
      </c>
      <c r="CL46" s="21">
        <f>EXP(-LN(2)/25)*CL45+(1-EXP(-LN(2)/25))/(LN(2)/25)*Calculateur!CG46*Calculateur!CI46*VLOOKUP('Données projet'!$B$12,Paramètres!$A$1:$I$89,3,0)*0.475*44/12</f>
        <v>16.029106611376122</v>
      </c>
      <c r="CM46" s="21">
        <f>EXP(-LN(2)/2)*CM45+(1-EXP(-LN(2)/2))/(LN(2)/2)*CG46*CJ46*VLOOKUP('Données projet'!$B$12,Paramètres!$A$1:$I$89,3,0)*0.475*44/12</f>
        <v>0.22123433956122893</v>
      </c>
      <c r="CN46" s="22">
        <f t="shared" si="12"/>
        <v>18.60191765013645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11.538461538461542</v>
      </c>
      <c r="CT46" s="12">
        <f>IF('Données projet'!$A$140&gt;35,CT45+CS46-DB45,IF(A46&lt;'Données projet'!$A$140,$CQ$205^A46,IF(A46='Données projet'!$A$140,'Données projet'!$B$140,CT45+CS46-DB45)))</f>
        <v>190.76923076923092</v>
      </c>
      <c r="CU46" s="17">
        <f>CT46*VLOOKUP('Données projet'!$B$13,Paramètres!$A$1:$I$89,3,0)*VLOOKUP('Données projet'!$B$13,Paramètres!$A$1:$I$89,5,0)</f>
        <v>91.760000000000062</v>
      </c>
      <c r="CV46" s="13">
        <f t="shared" si="41"/>
        <v>24.98921498991157</v>
      </c>
      <c r="CW46" s="20">
        <f t="shared" si="13"/>
        <v>203.33821610742942</v>
      </c>
      <c r="CX46" s="59">
        <f t="shared" si="14"/>
        <v>496.67154944076276</v>
      </c>
      <c r="CY46" s="59">
        <f ca="1">AVERAGE(OFFSET($CX$3,0,0,'Données projet'!$E$13+1,1))-AVERAGE(OFFSET($H$3,0,0,'Données projet'!$E$13+1,1))</f>
        <v>304.15237106473313</v>
      </c>
      <c r="CZ46" s="59">
        <f t="shared" si="42"/>
        <v>120.85458928724336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>
        <f>EXP(-LN(2)/35)*DF45+(1-EXP(-LN(2)/35))/(LN(2)/35)*DB46*DC46*VLOOKUP('Données projet'!$B$13,Paramètres!$A$1:$I$89,3,0)*0.475*44/12</f>
        <v>0</v>
      </c>
      <c r="DG46" s="21">
        <f>EXP(-LN(2)/25)*DG45+(1-EXP(-LN(2)/25))/(LN(2)/25)*Calculateur!DB46*Calculateur!DD46*VLOOKUP('Données projet'!$B$13,Paramètres!$A$1:$I$89,3,0)*0.475*44/12</f>
        <v>0</v>
      </c>
      <c r="DH46" s="21">
        <f>EXP(-LN(2)/2)*DH45+(1-EXP(-LN(2)/2))/(LN(2)/2)*DB46*DE46*VLOOKUP('Données projet'!$B$13,Paramètres!$A$1:$I$89,3,0)*0.475*44/12</f>
        <v>0</v>
      </c>
      <c r="DI46" s="22">
        <f t="shared" si="15"/>
        <v>0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6.8461538461538449</v>
      </c>
      <c r="DO46" s="12">
        <f>IF('Données projet'!$A$166&gt;35,DO45+DN46-DW45,IF(A46&lt;'Données projet'!$A$166,$DL$205^A46,IF(A46='Données projet'!$A$166,'Données projet'!$B$166,DO45+DN46-DW45)))</f>
        <v>125.15384615384619</v>
      </c>
      <c r="DP46" s="17">
        <f>DO46*VLOOKUP('Données projet'!$B$14,Paramètres!$A$1:$I$89,3,0)*VLOOKUP('Données projet'!$B$14,Paramètres!$A$1:$I$89,5,0)</f>
        <v>60.199000000000019</v>
      </c>
      <c r="DQ46" s="13">
        <f t="shared" si="43"/>
        <v>17.21857275608242</v>
      </c>
      <c r="DR46" s="20">
        <f t="shared" si="16"/>
        <v>134.83560588351023</v>
      </c>
      <c r="DS46" s="59">
        <f t="shared" si="17"/>
        <v>428.16893921684357</v>
      </c>
      <c r="DT46" s="59">
        <f ca="1">AVERAGE(OFFSET($DS$3,0,0,'Données projet'!$E$14+1,1))-AVERAGE(OFFSET($H$3,0,0,'Données projet'!$E$14+1,1))</f>
        <v>91.053246648097399</v>
      </c>
      <c r="DU46" s="59">
        <f t="shared" si="44"/>
        <v>64.716270355703955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>
        <f>EXP(-LN(2)/35)*EA45+(1-EXP(-LN(2)/35))/(LN(2)/35)*DW46*DX46*VLOOKUP('Données projet'!$B$14,Paramètres!$A$1:$I$89,3,0)*0.475*44/12</f>
        <v>0</v>
      </c>
      <c r="EB46" s="21">
        <f>EXP(-LN(2)/25)*EB45+(1-EXP(-LN(2)/25))/(LN(2)/25)*Calculateur!DW46*Calculateur!DY46*VLOOKUP('Données projet'!$B$14,Paramètres!$A$1:$I$89,3,0)*0.475*44/12</f>
        <v>0</v>
      </c>
      <c r="EC46" s="21">
        <f>EXP(-LN(2)/2)*EC45+(1-EXP(-LN(2)/2))/(LN(2)/2)*DW46*DZ46*VLOOKUP('Données projet'!$B$14,Paramètres!$A$1:$I$89,3,0)*0.475*44/12</f>
        <v>0</v>
      </c>
      <c r="ED46" s="22">
        <f t="shared" si="18"/>
        <v>0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18.899999999999999</v>
      </c>
      <c r="EJ46" s="12">
        <f>IF('Données projet'!$A$192&gt;35,EJ45+EI46-ER45,IF(A46&lt;'Données projet'!$A$192,$EG$205^A46,IF(A46='Données projet'!$A$192,'Données projet'!$B$192,EJ45+EI46-ER45)))</f>
        <v>302.69999999999987</v>
      </c>
      <c r="EK46" s="17">
        <f>EJ46*VLOOKUP('Données projet'!$B$15,Paramètres!$A$1:$I$89,3,0)*VLOOKUP('Données projet'!$B$15,Paramètres!$A$1:$I$89,5,0)</f>
        <v>181.01459999999994</v>
      </c>
      <c r="EL46" s="13">
        <f t="shared" si="45"/>
        <v>45.547842076970326</v>
      </c>
      <c r="EM46" s="20">
        <f t="shared" si="19"/>
        <v>394.59625328405656</v>
      </c>
      <c r="EN46" s="59">
        <f t="shared" si="20"/>
        <v>687.92958661738987</v>
      </c>
      <c r="EO46" s="59">
        <f ca="1">AVERAGE(OFFSET($EN$3,0,0,'Données projet'!$E$15+1,1))-AVERAGE(OFFSET($H$3,0,0,'Données projet'!$E$15+1,1))</f>
        <v>316.58509520829671</v>
      </c>
      <c r="EP46" s="59">
        <f t="shared" si="46"/>
        <v>240.71332110643596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>
        <f>EXP(-LN(2)/35)*EV45+(1-EXP(-LN(2)/35))/(LN(2)/35)*ER46*ES46*VLOOKUP('Données projet'!$B$15,Paramètres!$A$1:$I$89,3,0)*0.475*44/12</f>
        <v>1.959247321322517</v>
      </c>
      <c r="EW46" s="21">
        <f>EXP(-LN(2)/25)*EW45+(1-EXP(-LN(2)/25))/(LN(2)/25)*Calculateur!ER46*Calculateur!ET46*VLOOKUP('Données projet'!$B$15,Paramètres!$A$1:$I$89,3,0)*0.475*44/12</f>
        <v>10.647422045926366</v>
      </c>
      <c r="EX46" s="21">
        <f>EXP(-LN(2)/2)*EX45+(1-EXP(-LN(2)/2))/(LN(2)/2)*ER46*EU46*VLOOKUP('Données projet'!$B$15,Paramètres!$A$1:$I$89,3,0)*0.475*44/12</f>
        <v>0.24239778530741646</v>
      </c>
      <c r="EY46" s="22">
        <f t="shared" si="21"/>
        <v>12.849067152556298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16.2</v>
      </c>
      <c r="FE46" s="12">
        <f>IF('Données projet'!$A$218&gt;35,FE45+FD46-FM45,IF(A46&lt;'Données projet'!$A$218,$FB$205^A46,IF(A46='Données projet'!$A$218,'Données projet'!$B$218,FE45+FD46-FM45)))</f>
        <v>266.59999999999991</v>
      </c>
      <c r="FF46" s="17">
        <f>FE46*VLOOKUP('Données projet'!$B$16,Paramètres!$A$1:$I$89,3,0)*VLOOKUP('Données projet'!$B$16,Paramètres!$A$1:$I$89,5,0)</f>
        <v>159.42679999999996</v>
      </c>
      <c r="FG46" s="13">
        <f t="shared" si="47"/>
        <v>40.713201554193425</v>
      </c>
      <c r="FH46" s="20">
        <f t="shared" si="22"/>
        <v>348.57716937355349</v>
      </c>
      <c r="FI46" s="59">
        <f t="shared" si="23"/>
        <v>641.91050270688675</v>
      </c>
      <c r="FJ46" s="59">
        <f ca="1">AVERAGE(OFFSET($FI$3,0,0,'Données projet'!$E$16+1,1))-AVERAGE(OFFSET($H$3,0,0,'Données projet'!$E$16+1,1))</f>
        <v>270.30888762640245</v>
      </c>
      <c r="FK46" s="59">
        <f t="shared" si="48"/>
        <v>202.23783851977691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>
        <f>EXP(-LN(2)/35)*FQ45+(1-EXP(-LN(2)/35))/(LN(2)/35)*FM46*FN46*VLOOKUP('Données projet'!$B$16,Paramètres!$A$1:$I$89,3,0)*0.475*44/12</f>
        <v>1.6557019616809998</v>
      </c>
      <c r="FR46" s="21">
        <f>EXP(-LN(2)/25)*FR45+(1-EXP(-LN(2)/25))/(LN(2)/25)*Calculateur!FM46*Calculateur!FO46*VLOOKUP('Données projet'!$B$16,Paramètres!$A$1:$I$89,3,0)*0.475*44/12</f>
        <v>8.5743318623462557</v>
      </c>
      <c r="FS46" s="21">
        <f>EXP(-LN(2)/2)*FS45+(1-EXP(-LN(2)/2))/(LN(2)/2)*FM46*FP46*VLOOKUP('Données projet'!$B$16,Paramètres!$A$1:$I$89,3,0)*0.475*44/12</f>
        <v>0.20431638958306669</v>
      </c>
      <c r="FT46" s="22">
        <f t="shared" si="24"/>
        <v>10.434350213610323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9.1999999999999993</v>
      </c>
      <c r="FZ46" s="12">
        <f>IF('Données projet'!$A$244&gt;35,FZ45+FY46-GH45,IF(A46&lt;'Données projet'!$A$244,$FW$205^A46,IF(A46='Données projet'!$A$244,'Données projet'!$B$244,FZ45+FY46-GH45)))</f>
        <v>220.59999999999991</v>
      </c>
      <c r="GA46" s="17">
        <f>FZ46*VLOOKUP('Données projet'!$B$17,Paramètres!$A$1:$I$89,3,0)*VLOOKUP('Données projet'!$B$17,Paramètres!$A$1:$I$89,5,0)</f>
        <v>175.50935999999993</v>
      </c>
      <c r="GB46" s="13">
        <f t="shared" si="49"/>
        <v>44.321637208794016</v>
      </c>
      <c r="GC46" s="20">
        <f t="shared" si="25"/>
        <v>382.87232013864946</v>
      </c>
      <c r="GD46" s="59">
        <f t="shared" si="26"/>
        <v>676.20565347198271</v>
      </c>
      <c r="GE46" s="59">
        <f ca="1">AVERAGE(OFFSET($GD$3,0,0,'Données projet'!$E$17+1,1))-AVERAGE(OFFSET($H$3,0,0,'Données projet'!$E$17+1,1))</f>
        <v>260.20517190557814</v>
      </c>
      <c r="GF46" s="59">
        <f t="shared" si="50"/>
        <v>307.22009971147133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>
        <f>EXP(-LN(2)/35)*GL45+(1-EXP(-LN(2)/35))/(LN(2)/35)*GH46*GI46*VLOOKUP('Données projet'!$B$17,Paramètres!$A$1:$I$89,3,0)*0.475*44/12</f>
        <v>2.5223459594980846</v>
      </c>
      <c r="GM46" s="21">
        <f>EXP(-LN(2)/25)*GM45+(1-EXP(-LN(2)/25))/(LN(2)/25)*Calculateur!GH46*Calculateur!GJ46*VLOOKUP('Données projet'!$B$17,Paramètres!$A$1:$I$89,3,0)*0.475*44/12</f>
        <v>14.309792968218567</v>
      </c>
      <c r="GN46" s="21">
        <f>EXP(-LN(2)/2)*GN45+(1-EXP(-LN(2)/2))/(LN(2)/2)*GH46*GK46*VLOOKUP('Données projet'!$B$17,Paramètres!$A$1:$I$89,3,0)*0.475*44/12</f>
        <v>0.26559631458281824</v>
      </c>
      <c r="GO46" s="21">
        <f t="shared" si="27"/>
        <v>17.097735242299471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7.7</v>
      </c>
      <c r="GU46" s="12">
        <f>IF('Données projet'!$A$270&gt;35,GU45+GT46-HC45,IF(A46&lt;'Données projet'!$A$270,$GR$205^A46,IF(A46='Données projet'!$A$270,'Données projet'!$B$270,GU45+GT46-HC45)))</f>
        <v>187.09999999999982</v>
      </c>
      <c r="GV46" s="17">
        <f>GU46*VLOOKUP('Données projet'!$B$18,Paramètres!$A$1:$I$89,3,0)*VLOOKUP('Données projet'!$B$18,Paramètres!$A$1:$I$89,5,0)</f>
        <v>148.85675999999987</v>
      </c>
      <c r="GW46" s="13">
        <f t="shared" si="51"/>
        <v>38.318664656580218</v>
      </c>
      <c r="GX46" s="20">
        <f t="shared" si="28"/>
        <v>325.9971979435436</v>
      </c>
      <c r="GY46" s="59">
        <f t="shared" si="29"/>
        <v>619.33053127687685</v>
      </c>
      <c r="GZ46" s="59">
        <f ca="1">AVERAGE(OFFSET($GY$3,0,0,'Données projet'!$E$18+1,1))-AVERAGE(OFFSET($H$3,0,0,'Données projet'!$E$18+1,1))</f>
        <v>199.58763537752952</v>
      </c>
      <c r="HA46" s="59">
        <f t="shared" si="52"/>
        <v>242.62852778451929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>
        <f>EXP(-LN(2)/35)*HG45+(1-EXP(-LN(2)/35))/(LN(2)/35)*HC46*HD46*VLOOKUP('Données projet'!$B$18,Paramètres!$A$1:$I$89,3,0)*0.475*44/12</f>
        <v>0</v>
      </c>
      <c r="HH46" s="21">
        <f>EXP(-LN(2)/25)*HH45+(1-EXP(-LN(2)/25))/(LN(2)/25)*Calculateur!HC46*Calculateur!HE46*VLOOKUP('Données projet'!$B$18,Paramètres!$A$1:$I$89,3,0)*0.475*44/12</f>
        <v>7.1710581509711933</v>
      </c>
      <c r="HI46" s="21">
        <f>EXP(-LN(2)/2)*HI45+(1-EXP(-LN(2)/2))/(LN(2)/2)*HC46*HF46*VLOOKUP('Données projet'!$B$18,Paramètres!$A$1:$I$89,3,0)*0.475*44/12</f>
        <v>0.11889954556220345</v>
      </c>
      <c r="HJ46" s="22">
        <f t="shared" si="30"/>
        <v>7.2899576965333965</v>
      </c>
    </row>
    <row r="47" spans="1:218" x14ac:dyDescent="0.2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39.124800000000008</v>
      </c>
      <c r="D47" s="11">
        <f t="shared" si="32"/>
        <v>11.766377220171686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392.84417503290433</v>
      </c>
      <c r="H47" s="67">
        <f t="shared" si="1"/>
        <v>381.96880032513235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21.625641025641027</v>
      </c>
      <c r="N47" s="13">
        <f>IF('Données projet'!$A$36&gt;35,N46+M47-V46,IF(A47&lt;'Données projet'!$A$36,$K$205^A47,IF(A47='Données projet'!$A$36,'Données projet'!$B$36,N46+M47-V46)))</f>
        <v>438.58205128205111</v>
      </c>
      <c r="O47" s="13">
        <f>N47*VLOOKUP('Données projet'!$B$9,Paramètres!$A$1:$I$89,3,0)*VLOOKUP('Données projet'!$B$9,Paramètres!$A$1:$I$89,5,0)</f>
        <v>245.16736666666657</v>
      </c>
      <c r="P47" s="13">
        <f t="shared" si="33"/>
        <v>59.549932468183236</v>
      </c>
      <c r="Q47" s="20">
        <f t="shared" si="53"/>
        <v>530.71596265986329</v>
      </c>
      <c r="R47" s="59">
        <f t="shared" si="0"/>
        <v>824.04929599319667</v>
      </c>
      <c r="S47" s="59">
        <f ca="1">AVERAGE(OFFSET($R$3,0,0,'Données projet'!$E$9+1,1))-AVERAGE(OFFSET($H$3,0,0,'Données projet'!$E$9+1,1))</f>
        <v>255.5374979188561</v>
      </c>
      <c r="T47" s="59">
        <f t="shared" si="34"/>
        <v>343.10418468620901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2.3418130511581721</v>
      </c>
      <c r="AA47" s="21">
        <f>EXP(-LN(2)/25)*AA46+(1-EXP(-LN(2)/25))/(LN(2)/25)*Calculateur!V47*Calculateur!X47*VLOOKUP('Données projet'!$B$9,Paramètres!$A$1:$I$89,3,0)*0.475*44/12</f>
        <v>10.8258783016539</v>
      </c>
      <c r="AB47" s="21">
        <f>EXP(-LN(2)/2)*AB46+(1-EXP(-LN(2)/2))/(LN(2)/2)*V47*Y47*VLOOKUP('Données projet'!$B$9,Paramètres!$A$1:$I$89,3,0)*0.475*44/12</f>
        <v>1.3223844370734891E-2</v>
      </c>
      <c r="AC47" s="22">
        <f t="shared" si="3"/>
        <v>13.180915197182806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17.519780219780223</v>
      </c>
      <c r="AI47" s="13">
        <f>IF('Données projet'!$A$62&gt;35,AI46+AH47-AQ46,IF(A47&lt;'Données projet'!$A$62,$AF$205^A47,IF(A47='Données projet'!$A$62,'Données projet'!$B$62,AI46+AH47-AQ46)))</f>
        <v>316.97032967032976</v>
      </c>
      <c r="AJ47" s="13">
        <f>AI47*VLOOKUP('Données projet'!$B$10,Paramètres!$A$1:$I$89,3,0)*VLOOKUP('Données projet'!$B$10,Paramètres!$A$1:$I$89,5,0)</f>
        <v>177.18641428571433</v>
      </c>
      <c r="AK47" s="13">
        <f t="shared" si="35"/>
        <v>44.695642380138821</v>
      </c>
      <c r="AL47" s="20">
        <f t="shared" si="4"/>
        <v>386.44458202636088</v>
      </c>
      <c r="AM47" s="59">
        <f t="shared" si="5"/>
        <v>679.77791535969413</v>
      </c>
      <c r="AN47" s="59">
        <f ca="1">AVERAGE(OFFSET($AM$3,0,0,'Données projet'!$E$10+1,1))-AVERAGE(OFFSET($H$3,0,0,'Données projet'!$E$10+1,1))</f>
        <v>224.7049802939942</v>
      </c>
      <c r="AO47" s="59">
        <f t="shared" si="36"/>
        <v>203.48513862195352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1.6909034744835132</v>
      </c>
      <c r="AV47" s="21">
        <f>EXP(-LN(2)/25)*AV46+(1-EXP(-LN(2)/25))/(LN(2)/25)*Calculateur!AQ47*Calculateur!AS47*VLOOKUP('Données projet'!$B$10,Paramètres!$A$1:$I$89,3,0)*0.475*44/12</f>
        <v>13.243529274250166</v>
      </c>
      <c r="AW47" s="21">
        <f>EXP(-LN(2)/2)*AW46+(1-EXP(-LN(2)/2))/(LN(2)/2)*AQ47*AT47*VLOOKUP('Données projet'!$B$10,Paramètres!$A$1:$I$89,3,0)*0.475*44/12</f>
        <v>7.0004785867875036E-2</v>
      </c>
      <c r="AX47" s="21">
        <f t="shared" si="6"/>
        <v>15.004437534601553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11.5</v>
      </c>
      <c r="BD47" s="12">
        <f>IF('Données projet'!$A$88&gt;35,BD46+BC47-BL46,IF(A47&lt;'Données projet'!$A$88,$BA$205^A47,IF(A47='Données projet'!$A$88,'Données projet'!$B$88,BD46+BC47-BL46)))</f>
        <v>280.00000000000011</v>
      </c>
      <c r="BE47" s="13">
        <f>BD47*VLOOKUP('Données projet'!$B$11,Paramètres!$A$1:$I$89,3,0)*VLOOKUP('Données projet'!$B$11,Paramètres!$A$1:$I$89,5,0)</f>
        <v>152.88000000000005</v>
      </c>
      <c r="BF47" s="13">
        <f t="shared" si="37"/>
        <v>39.232349774697852</v>
      </c>
      <c r="BG47" s="20">
        <f t="shared" si="7"/>
        <v>334.59567585759885</v>
      </c>
      <c r="BH47" s="59">
        <f t="shared" si="8"/>
        <v>627.92900919093222</v>
      </c>
      <c r="BI47" s="59">
        <f ca="1">AVERAGE(OFFSET($BH$3,0,0,'Données projet'!$E$11+1,1))-AVERAGE(OFFSET($H$3,0,0,'Données projet'!$E$11+1,1))</f>
        <v>210.04871822652808</v>
      </c>
      <c r="BJ47" s="59">
        <f t="shared" si="38"/>
        <v>250.17540614049324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5.533112914675117</v>
      </c>
      <c r="BQ47" s="21">
        <f>EXP(-LN(2)/25)*BQ46+(1-EXP(-LN(2)/25))/(LN(2)/25)*Calculateur!BL47*Calculateur!BN47*VLOOKUP('Données projet'!$B$11,Paramètres!$A$1:$I$89,3,0)*0.475*44/12</f>
        <v>18.877633242112342</v>
      </c>
      <c r="BR47" s="21">
        <f>EXP(-LN(2)/2)*BR46+(1-EXP(-LN(2)/2))/(LN(2)/2)*BL47*BO47*VLOOKUP('Données projet'!$B$11,Paramètres!$A$1:$I$89,3,0)*0.475*44/12</f>
        <v>0.1683897557605597</v>
      </c>
      <c r="BS47" s="22">
        <f t="shared" si="9"/>
        <v>24.579135912548022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9.9</v>
      </c>
      <c r="BY47" s="12">
        <f>IF('Données projet'!$A$114&gt;35,BY46+BX47-CG46,IF(A47&lt;'Données projet'!$A$114,$BV$205^A47,IF(A47='Données projet'!$A$114,'Données projet'!$B$114,BY46+BX47-CG46)))</f>
        <v>242.6</v>
      </c>
      <c r="BZ47" s="13">
        <f>BY47*VLOOKUP('Données projet'!$B$12,Paramètres!$A$1:$I$89,3,0)*VLOOKUP('Données projet'!$B$12,Paramètres!$A$1:$I$89,5,0)</f>
        <v>132.45959999999999</v>
      </c>
      <c r="CA47" s="13">
        <f t="shared" si="39"/>
        <v>34.56407921374916</v>
      </c>
      <c r="CB47" s="20">
        <f t="shared" si="10"/>
        <v>290.89957463061307</v>
      </c>
      <c r="CC47" s="59">
        <f t="shared" si="11"/>
        <v>584.23290796394645</v>
      </c>
      <c r="CD47" s="59">
        <f ca="1">AVERAGE(OFFSET($CC$3,0,0,'Données projet'!$E$12+1,1))-AVERAGE(OFFSET($H$3,0,0,'Données projet'!$E$12+1,1))</f>
        <v>168.72306536277267</v>
      </c>
      <c r="CE47" s="59">
        <f t="shared" si="40"/>
        <v>203.35476578922339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2.3054637144479662</v>
      </c>
      <c r="CL47" s="21">
        <f>EXP(-LN(2)/25)*CL46+(1-EXP(-LN(2)/25))/(LN(2)/25)*Calculateur!CG47*Calculateur!CI47*VLOOKUP('Données projet'!$B$12,Paramètres!$A$1:$I$89,3,0)*0.475*44/12</f>
        <v>15.59078984815396</v>
      </c>
      <c r="CM47" s="21">
        <f>EXP(-LN(2)/2)*CM46+(1-EXP(-LN(2)/2))/(LN(2)/2)*CG47*CJ47*VLOOKUP('Données projet'!$B$12,Paramètres!$A$1:$I$89,3,0)*0.475*44/12</f>
        <v>0.15643630173507228</v>
      </c>
      <c r="CN47" s="22">
        <f t="shared" si="12"/>
        <v>18.052689864337001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11.538461538461542</v>
      </c>
      <c r="CT47" s="12">
        <f>IF('Données projet'!$A$140&gt;35,CT46+CS47-DB46,IF(A47&lt;'Données projet'!$A$140,$CQ$205^A47,IF(A47='Données projet'!$A$140,'Données projet'!$B$140,CT46+CS47-DB46)))</f>
        <v>202.30769230769246</v>
      </c>
      <c r="CU47" s="17">
        <f>CT47*VLOOKUP('Données projet'!$B$13,Paramètres!$A$1:$I$89,3,0)*VLOOKUP('Données projet'!$B$13,Paramètres!$A$1:$I$89,5,0)</f>
        <v>97.310000000000073</v>
      </c>
      <c r="CV47" s="13">
        <f t="shared" si="41"/>
        <v>26.320128643223345</v>
      </c>
      <c r="CW47" s="20">
        <f t="shared" si="13"/>
        <v>215.32247405361412</v>
      </c>
      <c r="CX47" s="59">
        <f t="shared" si="14"/>
        <v>508.65580738694746</v>
      </c>
      <c r="CY47" s="59">
        <f ca="1">AVERAGE(OFFSET($CX$3,0,0,'Données projet'!$E$13+1,1))-AVERAGE(OFFSET($H$3,0,0,'Données projet'!$E$13+1,1))</f>
        <v>304.15237106473313</v>
      </c>
      <c r="CZ47" s="59">
        <f t="shared" si="42"/>
        <v>120.85458928724336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>
        <f>EXP(-LN(2)/35)*DF46+(1-EXP(-LN(2)/35))/(LN(2)/35)*DB47*DC47*VLOOKUP('Données projet'!$B$13,Paramètres!$A$1:$I$89,3,0)*0.475*44/12</f>
        <v>0</v>
      </c>
      <c r="DG47" s="21">
        <f>EXP(-LN(2)/25)*DG46+(1-EXP(-LN(2)/25))/(LN(2)/25)*Calculateur!DB47*Calculateur!DD47*VLOOKUP('Données projet'!$B$13,Paramètres!$A$1:$I$89,3,0)*0.475*44/12</f>
        <v>0</v>
      </c>
      <c r="DH47" s="21">
        <f>EXP(-LN(2)/2)*DH46+(1-EXP(-LN(2)/2))/(LN(2)/2)*DB47*DE47*VLOOKUP('Données projet'!$B$13,Paramètres!$A$1:$I$89,3,0)*0.475*44/12</f>
        <v>0</v>
      </c>
      <c r="DI47" s="22">
        <f t="shared" si="15"/>
        <v>0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6.8461538461538449</v>
      </c>
      <c r="DO47" s="12">
        <f>IF('Données projet'!$A$166&gt;35,DO46+DN47-DW46,IF(A47&lt;'Données projet'!$A$166,$DL$205^A47,IF(A47='Données projet'!$A$166,'Données projet'!$B$166,DO46+DN47-DW46)))</f>
        <v>132.00000000000003</v>
      </c>
      <c r="DP47" s="17">
        <f>DO47*VLOOKUP('Données projet'!$B$14,Paramètres!$A$1:$I$89,3,0)*VLOOKUP('Données projet'!$B$14,Paramètres!$A$1:$I$89,5,0)</f>
        <v>63.492000000000019</v>
      </c>
      <c r="DQ47" s="13">
        <f t="shared" si="43"/>
        <v>18.048228468163369</v>
      </c>
      <c r="DR47" s="20">
        <f t="shared" si="16"/>
        <v>142.01589791538456</v>
      </c>
      <c r="DS47" s="59">
        <f t="shared" si="17"/>
        <v>435.34923124871784</v>
      </c>
      <c r="DT47" s="59">
        <f ca="1">AVERAGE(OFFSET($DS$3,0,0,'Données projet'!$E$14+1,1))-AVERAGE(OFFSET($H$3,0,0,'Données projet'!$E$14+1,1))</f>
        <v>91.053246648097399</v>
      </c>
      <c r="DU47" s="59">
        <f t="shared" si="44"/>
        <v>64.716270355703955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>
        <f>EXP(-LN(2)/35)*EA46+(1-EXP(-LN(2)/35))/(LN(2)/35)*DW47*DX47*VLOOKUP('Données projet'!$B$14,Paramètres!$A$1:$I$89,3,0)*0.475*44/12</f>
        <v>0</v>
      </c>
      <c r="EB47" s="21">
        <f>EXP(-LN(2)/25)*EB46+(1-EXP(-LN(2)/25))/(LN(2)/25)*Calculateur!DW47*Calculateur!DY47*VLOOKUP('Données projet'!$B$14,Paramètres!$A$1:$I$89,3,0)*0.475*44/12</f>
        <v>0</v>
      </c>
      <c r="EC47" s="21">
        <f>EXP(-LN(2)/2)*EC46+(1-EXP(-LN(2)/2))/(LN(2)/2)*DW47*DZ47*VLOOKUP('Données projet'!$B$14,Paramètres!$A$1:$I$89,3,0)*0.475*44/12</f>
        <v>0</v>
      </c>
      <c r="ED47" s="22">
        <f t="shared" si="18"/>
        <v>0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18.899999999999999</v>
      </c>
      <c r="EJ47" s="12">
        <f>IF('Données projet'!$A$192&gt;35,EJ46+EI47-ER46,IF(A47&lt;'Données projet'!$A$192,$EG$205^A47,IF(A47='Données projet'!$A$192,'Données projet'!$B$192,EJ46+EI47-ER46)))</f>
        <v>321.59999999999985</v>
      </c>
      <c r="EK47" s="17">
        <f>EJ47*VLOOKUP('Données projet'!$B$15,Paramètres!$A$1:$I$89,3,0)*VLOOKUP('Données projet'!$B$15,Paramètres!$A$1:$I$89,5,0)</f>
        <v>192.31679999999994</v>
      </c>
      <c r="EL47" s="13">
        <f t="shared" si="45"/>
        <v>48.05180257326473</v>
      </c>
      <c r="EM47" s="20">
        <f t="shared" si="19"/>
        <v>418.64198281510261</v>
      </c>
      <c r="EN47" s="59">
        <f t="shared" si="20"/>
        <v>711.97531614843592</v>
      </c>
      <c r="EO47" s="59">
        <f ca="1">AVERAGE(OFFSET($EN$3,0,0,'Données projet'!$E$15+1,1))-AVERAGE(OFFSET($H$3,0,0,'Données projet'!$E$15+1,1))</f>
        <v>316.58509520829671</v>
      </c>
      <c r="EP47" s="59">
        <f t="shared" si="46"/>
        <v>240.71332110643596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>
        <f>EXP(-LN(2)/35)*EV46+(1-EXP(-LN(2)/35))/(LN(2)/35)*ER47*ES47*VLOOKUP('Données projet'!$B$15,Paramètres!$A$1:$I$89,3,0)*0.475*44/12</f>
        <v>1.9208276763742498</v>
      </c>
      <c r="EW47" s="21">
        <f>EXP(-LN(2)/25)*EW46+(1-EXP(-LN(2)/25))/(LN(2)/25)*Calculateur!ER47*Calculateur!ET47*VLOOKUP('Données projet'!$B$15,Paramètres!$A$1:$I$89,3,0)*0.475*44/12</f>
        <v>10.356267730156919</v>
      </c>
      <c r="EX47" s="21">
        <f>EXP(-LN(2)/2)*EX46+(1-EXP(-LN(2)/2))/(LN(2)/2)*ER47*EU47*VLOOKUP('Données projet'!$B$15,Paramètres!$A$1:$I$89,3,0)*0.475*44/12</f>
        <v>0.17140111773547506</v>
      </c>
      <c r="EY47" s="22">
        <f t="shared" si="21"/>
        <v>12.448496524266645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16.2</v>
      </c>
      <c r="FE47" s="12">
        <f>IF('Données projet'!$A$218&gt;35,FE46+FD47-FM46,IF(A47&lt;'Données projet'!$A$218,$FB$205^A47,IF(A47='Données projet'!$A$218,'Données projet'!$B$218,FE46+FD47-FM46)))</f>
        <v>282.7999999999999</v>
      </c>
      <c r="FF47" s="17">
        <f>FE47*VLOOKUP('Données projet'!$B$16,Paramètres!$A$1:$I$89,3,0)*VLOOKUP('Données projet'!$B$16,Paramètres!$A$1:$I$89,5,0)</f>
        <v>169.11439999999996</v>
      </c>
      <c r="FG47" s="13">
        <f t="shared" si="47"/>
        <v>42.891618392708978</v>
      </c>
      <c r="FH47" s="20">
        <f t="shared" si="22"/>
        <v>369.24381536730135</v>
      </c>
      <c r="FI47" s="59">
        <f t="shared" si="23"/>
        <v>662.57714870063467</v>
      </c>
      <c r="FJ47" s="59">
        <f ca="1">AVERAGE(OFFSET($FI$3,0,0,'Données projet'!$E$16+1,1))-AVERAGE(OFFSET($H$3,0,0,'Données projet'!$E$16+1,1))</f>
        <v>270.30888762640245</v>
      </c>
      <c r="FK47" s="59">
        <f t="shared" si="48"/>
        <v>202.23783851977691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>
        <f>EXP(-LN(2)/35)*FQ46+(1-EXP(-LN(2)/35))/(LN(2)/35)*FM47*FN47*VLOOKUP('Données projet'!$B$16,Paramètres!$A$1:$I$89,3,0)*0.475*44/12</f>
        <v>1.6232346560909148</v>
      </c>
      <c r="FR47" s="21">
        <f>EXP(-LN(2)/25)*FR46+(1-EXP(-LN(2)/25))/(LN(2)/25)*Calculateur!FM47*Calculateur!FO47*VLOOKUP('Données projet'!$B$16,Paramètres!$A$1:$I$89,3,0)*0.475*44/12</f>
        <v>8.3398663066658809</v>
      </c>
      <c r="FS47" s="21">
        <f>EXP(-LN(2)/2)*FS46+(1-EXP(-LN(2)/2))/(LN(2)/2)*FM47*FP47*VLOOKUP('Données projet'!$B$16,Paramètres!$A$1:$I$89,3,0)*0.475*44/12</f>
        <v>0.14447350458173894</v>
      </c>
      <c r="FT47" s="22">
        <f t="shared" si="24"/>
        <v>10.107574467338535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9.1999999999999993</v>
      </c>
      <c r="FZ47" s="12">
        <f>IF('Données projet'!$A$244&gt;35,FZ46+FY47-GH46,IF(A47&lt;'Données projet'!$A$244,$FW$205^A47,IF(A47='Données projet'!$A$244,'Données projet'!$B$244,FZ46+FY47-GH46)))</f>
        <v>229.7999999999999</v>
      </c>
      <c r="GA47" s="17">
        <f>FZ47*VLOOKUP('Données projet'!$B$17,Paramètres!$A$1:$I$89,3,0)*VLOOKUP('Données projet'!$B$17,Paramètres!$A$1:$I$89,5,0)</f>
        <v>182.82887999999994</v>
      </c>
      <c r="GB47" s="13">
        <f t="shared" si="49"/>
        <v>45.950987516613559</v>
      </c>
      <c r="GC47" s="20">
        <f t="shared" si="25"/>
        <v>398.45826925810184</v>
      </c>
      <c r="GD47" s="59">
        <f t="shared" si="26"/>
        <v>691.79160259143509</v>
      </c>
      <c r="GE47" s="59">
        <f ca="1">AVERAGE(OFFSET($GD$3,0,0,'Données projet'!$E$17+1,1))-AVERAGE(OFFSET($H$3,0,0,'Données projet'!$E$17+1,1))</f>
        <v>260.20517190557814</v>
      </c>
      <c r="GF47" s="59">
        <f t="shared" si="50"/>
        <v>307.22009971147133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>
        <f>EXP(-LN(2)/35)*GL46+(1-EXP(-LN(2)/35))/(LN(2)/35)*GH47*GI47*VLOOKUP('Données projet'!$B$17,Paramètres!$A$1:$I$89,3,0)*0.475*44/12</f>
        <v>2.4728842937114504</v>
      </c>
      <c r="GM47" s="21">
        <f>EXP(-LN(2)/25)*GM46+(1-EXP(-LN(2)/25))/(LN(2)/25)*Calculateur!GH47*Calculateur!GJ47*VLOOKUP('Données projet'!$B$17,Paramètres!$A$1:$I$89,3,0)*0.475*44/12</f>
        <v>13.918490926983322</v>
      </c>
      <c r="GN47" s="21">
        <f>EXP(-LN(2)/2)*GN46+(1-EXP(-LN(2)/2))/(LN(2)/2)*GH47*GK47*VLOOKUP('Données projet'!$B$17,Paramètres!$A$1:$I$89,3,0)*0.475*44/12</f>
        <v>0.1878049550996663</v>
      </c>
      <c r="GO47" s="21">
        <f t="shared" si="27"/>
        <v>16.579180175794438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7.7</v>
      </c>
      <c r="GU47" s="12">
        <f>IF('Données projet'!$A$270&gt;35,GU46+GT47-HC46,IF(A47&lt;'Données projet'!$A$270,$GR$205^A47,IF(A47='Données projet'!$A$270,'Données projet'!$B$270,GU46+GT47-HC46)))</f>
        <v>194.79999999999981</v>
      </c>
      <c r="GV47" s="17">
        <f>GU47*VLOOKUP('Données projet'!$B$18,Paramètres!$A$1:$I$89,3,0)*VLOOKUP('Données projet'!$B$18,Paramètres!$A$1:$I$89,5,0)</f>
        <v>154.98287999999985</v>
      </c>
      <c r="GW47" s="13">
        <f t="shared" si="51"/>
        <v>39.708800288935478</v>
      </c>
      <c r="GX47" s="20">
        <f t="shared" si="28"/>
        <v>339.08800983656238</v>
      </c>
      <c r="GY47" s="59">
        <f t="shared" si="29"/>
        <v>632.42134316989564</v>
      </c>
      <c r="GZ47" s="59">
        <f ca="1">AVERAGE(OFFSET($GY$3,0,0,'Données projet'!$E$18+1,1))-AVERAGE(OFFSET($H$3,0,0,'Données projet'!$E$18+1,1))</f>
        <v>199.58763537752952</v>
      </c>
      <c r="HA47" s="59">
        <f t="shared" si="52"/>
        <v>242.62852778451929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>
        <f>EXP(-LN(2)/35)*HG46+(1-EXP(-LN(2)/35))/(LN(2)/35)*HC47*HD47*VLOOKUP('Données projet'!$B$18,Paramètres!$A$1:$I$89,3,0)*0.475*44/12</f>
        <v>0</v>
      </c>
      <c r="HH47" s="21">
        <f>EXP(-LN(2)/25)*HH46+(1-EXP(-LN(2)/25))/(LN(2)/25)*Calculateur!HC47*Calculateur!HE47*VLOOKUP('Données projet'!$B$18,Paramètres!$A$1:$I$89,3,0)*0.475*44/12</f>
        <v>6.9749651887233277</v>
      </c>
      <c r="HI47" s="21">
        <f>EXP(-LN(2)/2)*HI46+(1-EXP(-LN(2)/2))/(LN(2)/2)*HC47*HF47*VLOOKUP('Données projet'!$B$18,Paramètres!$A$1:$I$89,3,0)*0.475*44/12</f>
        <v>8.407467494703294E-2</v>
      </c>
      <c r="HJ47" s="22">
        <f t="shared" si="30"/>
        <v>7.0590398636703604</v>
      </c>
    </row>
    <row r="48" spans="1:218" x14ac:dyDescent="0.2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40.01400000000001</v>
      </c>
      <c r="D48" s="11">
        <f t="shared" si="32"/>
        <v>12.002357532661732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401.52977744510821</v>
      </c>
      <c r="H48" s="67">
        <f t="shared" si="1"/>
        <v>383.92848936938583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21.625641025641027</v>
      </c>
      <c r="N48" s="13">
        <f>IF('Données projet'!$A$36&gt;35,N47+M48-V47,IF(A48&lt;'Données projet'!$A$36,$K$205^A48,IF(A48='Données projet'!$A$36,'Données projet'!$B$36,N47+M48-V47)))</f>
        <v>460.20769230769213</v>
      </c>
      <c r="O48" s="13">
        <f>N48*VLOOKUP('Données projet'!$B$9,Paramètres!$A$1:$I$89,3,0)*VLOOKUP('Données projet'!$B$9,Paramètres!$A$1:$I$89,5,0)</f>
        <v>257.25609999999995</v>
      </c>
      <c r="P48" s="13">
        <f t="shared" si="33"/>
        <v>62.137128695600659</v>
      </c>
      <c r="Q48" s="20">
        <f t="shared" si="53"/>
        <v>556.27653997817106</v>
      </c>
      <c r="R48" s="59">
        <f t="shared" si="0"/>
        <v>849.60987331150432</v>
      </c>
      <c r="S48" s="59">
        <f ca="1">AVERAGE(OFFSET($R$3,0,0,'Données projet'!$E$9+1,1))-AVERAGE(OFFSET($H$3,0,0,'Données projet'!$E$9+1,1))</f>
        <v>255.5374979188561</v>
      </c>
      <c r="T48" s="59">
        <f t="shared" si="34"/>
        <v>343.10418468620901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2.2958915255898824</v>
      </c>
      <c r="AA48" s="21">
        <f>EXP(-LN(2)/25)*AA47+(1-EXP(-LN(2)/25))/(LN(2)/25)*Calculateur!V48*Calculateur!X48*VLOOKUP('Données projet'!$B$9,Paramètres!$A$1:$I$89,3,0)*0.475*44/12</f>
        <v>10.529844090186977</v>
      </c>
      <c r="AB48" s="21">
        <f>EXP(-LN(2)/2)*AB47+(1-EXP(-LN(2)/2))/(LN(2)/2)*V48*Y48*VLOOKUP('Données projet'!$B$9,Paramètres!$A$1:$I$89,3,0)*0.475*44/12</f>
        <v>9.3506700279021946E-3</v>
      </c>
      <c r="AC48" s="22">
        <f t="shared" si="3"/>
        <v>12.835086285804762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17.519780219780223</v>
      </c>
      <c r="AI48" s="13">
        <f>IF('Données projet'!$A$62&gt;35,AI47+AH48-AQ47,IF(A48&lt;'Données projet'!$A$62,$AF$205^A48,IF(A48='Données projet'!$A$62,'Données projet'!$B$62,AI47+AH48-AQ47)))</f>
        <v>334.49010989010998</v>
      </c>
      <c r="AJ48" s="13">
        <f>AI48*VLOOKUP('Données projet'!$B$10,Paramètres!$A$1:$I$89,3,0)*VLOOKUP('Données projet'!$B$10,Paramètres!$A$1:$I$89,5,0)</f>
        <v>186.9799714285715</v>
      </c>
      <c r="AK48" s="13">
        <f t="shared" si="35"/>
        <v>46.871646064498115</v>
      </c>
      <c r="AL48" s="20">
        <f t="shared" si="4"/>
        <v>407.29156713376295</v>
      </c>
      <c r="AM48" s="59">
        <f t="shared" si="5"/>
        <v>700.62490046709627</v>
      </c>
      <c r="AN48" s="59">
        <f ca="1">AVERAGE(OFFSET($AM$3,0,0,'Données projet'!$E$10+1,1))-AVERAGE(OFFSET($H$3,0,0,'Données projet'!$E$10+1,1))</f>
        <v>224.7049802939942</v>
      </c>
      <c r="AO48" s="59">
        <f t="shared" si="36"/>
        <v>203.48513862195352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1.6577458886981737</v>
      </c>
      <c r="AV48" s="21">
        <f>EXP(-LN(2)/25)*AV47+(1-EXP(-LN(2)/25))/(LN(2)/25)*Calculateur!AQ48*Calculateur!AS48*VLOOKUP('Données projet'!$B$10,Paramètres!$A$1:$I$89,3,0)*0.475*44/12</f>
        <v>12.881384269798859</v>
      </c>
      <c r="AW48" s="21">
        <f>EXP(-LN(2)/2)*AW47+(1-EXP(-LN(2)/2))/(LN(2)/2)*AQ48*AT48*VLOOKUP('Données projet'!$B$10,Paramètres!$A$1:$I$89,3,0)*0.475*44/12</f>
        <v>4.9500858802686627E-2</v>
      </c>
      <c r="AX48" s="21">
        <f t="shared" si="6"/>
        <v>14.588631017299718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11.5</v>
      </c>
      <c r="BD48" s="12">
        <f>IF('Données projet'!$A$88&gt;35,BD47+BC48-BL47,IF(A48&lt;'Données projet'!$A$88,$BA$205^A48,IF(A48='Données projet'!$A$88,'Données projet'!$B$88,BD47+BC48-BL47)))</f>
        <v>291.50000000000011</v>
      </c>
      <c r="BE48" s="13">
        <f>BD48*VLOOKUP('Données projet'!$B$11,Paramètres!$A$1:$I$89,3,0)*VLOOKUP('Données projet'!$B$11,Paramètres!$A$1:$I$89,5,0)</f>
        <v>159.15900000000008</v>
      </c>
      <c r="BF48" s="13">
        <f t="shared" si="37"/>
        <v>40.65276736661405</v>
      </c>
      <c r="BG48" s="20">
        <f t="shared" si="7"/>
        <v>348.00549483018625</v>
      </c>
      <c r="BH48" s="59">
        <f t="shared" si="8"/>
        <v>641.33882816351957</v>
      </c>
      <c r="BI48" s="59">
        <f ca="1">AVERAGE(OFFSET($BH$3,0,0,'Données projet'!$E$11+1,1))-AVERAGE(OFFSET($H$3,0,0,'Données projet'!$E$11+1,1))</f>
        <v>210.04871822652808</v>
      </c>
      <c r="BJ48" s="59">
        <f t="shared" si="38"/>
        <v>250.17540614049324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5.4246119452839761</v>
      </c>
      <c r="BQ48" s="21">
        <f>EXP(-LN(2)/25)*BQ47+(1-EXP(-LN(2)/25))/(LN(2)/25)*Calculateur!BL48*Calculateur!BN48*VLOOKUP('Données projet'!$B$11,Paramètres!$A$1:$I$89,3,0)*0.475*44/12</f>
        <v>18.361423368375192</v>
      </c>
      <c r="BR48" s="21">
        <f>EXP(-LN(2)/2)*BR47+(1-EXP(-LN(2)/2))/(LN(2)/2)*BL48*BO48*VLOOKUP('Données projet'!$B$11,Paramètres!$A$1:$I$89,3,0)*0.475*44/12</f>
        <v>0.11906953818063827</v>
      </c>
      <c r="BS48" s="22">
        <f t="shared" si="9"/>
        <v>23.905104851839809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9.9</v>
      </c>
      <c r="BY48" s="12">
        <f>IF('Données projet'!$A$114&gt;35,BY47+BX48-CG47,IF(A48&lt;'Données projet'!$A$114,$BV$205^A48,IF(A48='Données projet'!$A$114,'Données projet'!$B$114,BY47+BX48-CG47)))</f>
        <v>252.5</v>
      </c>
      <c r="BZ48" s="13">
        <f>BY48*VLOOKUP('Données projet'!$B$12,Paramètres!$A$1:$I$89,3,0)*VLOOKUP('Données projet'!$B$12,Paramètres!$A$1:$I$89,5,0)</f>
        <v>137.86500000000001</v>
      </c>
      <c r="CA48" s="13">
        <f t="shared" si="39"/>
        <v>35.807470392675356</v>
      </c>
      <c r="CB48" s="20">
        <f t="shared" si="10"/>
        <v>302.47955260057626</v>
      </c>
      <c r="CC48" s="59">
        <f t="shared" si="11"/>
        <v>595.81288593390957</v>
      </c>
      <c r="CD48" s="59">
        <f ca="1">AVERAGE(OFFSET($CC$3,0,0,'Données projet'!$E$12+1,1))-AVERAGE(OFFSET($H$3,0,0,'Données projet'!$E$12+1,1))</f>
        <v>168.72306536277267</v>
      </c>
      <c r="CE48" s="59">
        <f t="shared" si="40"/>
        <v>203.35476578922339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2.2602549772016571</v>
      </c>
      <c r="CL48" s="21">
        <f>EXP(-LN(2)/25)*CL47+(1-EXP(-LN(2)/25))/(LN(2)/25)*Calculateur!CG48*Calculateur!CI48*VLOOKUP('Données projet'!$B$12,Paramètres!$A$1:$I$89,3,0)*0.475*44/12</f>
        <v>15.164458879872186</v>
      </c>
      <c r="CM48" s="21">
        <f>EXP(-LN(2)/2)*CM47+(1-EXP(-LN(2)/2))/(LN(2)/2)*CG48*CJ48*VLOOKUP('Données projet'!$B$12,Paramètres!$A$1:$I$89,3,0)*0.475*44/12</f>
        <v>0.11061716978061449</v>
      </c>
      <c r="CN48" s="22">
        <f t="shared" si="12"/>
        <v>17.535331026854458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11.538461538461542</v>
      </c>
      <c r="CT48" s="12">
        <f>IF('Données projet'!$A$140&gt;35,CT47+CS48-DB47,IF(A48&lt;'Données projet'!$A$140,$CQ$205^A48,IF(A48='Données projet'!$A$140,'Données projet'!$B$140,CT47+CS48-DB47)))</f>
        <v>213.84615384615401</v>
      </c>
      <c r="CU48" s="17">
        <f>CT48*VLOOKUP('Données projet'!$B$13,Paramètres!$A$1:$I$89,3,0)*VLOOKUP('Données projet'!$B$13,Paramètres!$A$1:$I$89,5,0)</f>
        <v>102.86000000000007</v>
      </c>
      <c r="CV48" s="13">
        <f t="shared" si="41"/>
        <v>27.642230871054956</v>
      </c>
      <c r="CW48" s="20">
        <f t="shared" si="13"/>
        <v>227.29138543375416</v>
      </c>
      <c r="CX48" s="59">
        <f t="shared" si="14"/>
        <v>520.62471876708742</v>
      </c>
      <c r="CY48" s="59">
        <f ca="1">AVERAGE(OFFSET($CX$3,0,0,'Données projet'!$E$13+1,1))-AVERAGE(OFFSET($H$3,0,0,'Données projet'!$E$13+1,1))</f>
        <v>304.15237106473313</v>
      </c>
      <c r="CZ48" s="59">
        <f t="shared" si="42"/>
        <v>120.85458928724336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>
        <f>EXP(-LN(2)/35)*DF47+(1-EXP(-LN(2)/35))/(LN(2)/35)*DB48*DC48*VLOOKUP('Données projet'!$B$13,Paramètres!$A$1:$I$89,3,0)*0.475*44/12</f>
        <v>0</v>
      </c>
      <c r="DG48" s="21">
        <f>EXP(-LN(2)/25)*DG47+(1-EXP(-LN(2)/25))/(LN(2)/25)*Calculateur!DB48*Calculateur!DD48*VLOOKUP('Données projet'!$B$13,Paramètres!$A$1:$I$89,3,0)*0.475*44/12</f>
        <v>0</v>
      </c>
      <c r="DH48" s="21">
        <f>EXP(-LN(2)/2)*DH47+(1-EXP(-LN(2)/2))/(LN(2)/2)*DB48*DE48*VLOOKUP('Données projet'!$B$13,Paramètres!$A$1:$I$89,3,0)*0.475*44/12</f>
        <v>0</v>
      </c>
      <c r="DI48" s="22">
        <f t="shared" si="15"/>
        <v>0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6.8461538461538449</v>
      </c>
      <c r="DO48" s="12">
        <f>IF('Données projet'!$A$166&gt;35,DO47+DN48-DW47,IF(A48&lt;'Données projet'!$A$166,$DL$205^A48,IF(A48='Données projet'!$A$166,'Données projet'!$B$166,DO47+DN48-DW47)))</f>
        <v>138.84615384615387</v>
      </c>
      <c r="DP48" s="17">
        <f>DO48*VLOOKUP('Données projet'!$B$14,Paramètres!$A$1:$I$89,3,0)*VLOOKUP('Données projet'!$B$14,Paramètres!$A$1:$I$89,5,0)</f>
        <v>66.785000000000011</v>
      </c>
      <c r="DQ48" s="13">
        <f t="shared" si="43"/>
        <v>18.872888220412257</v>
      </c>
      <c r="DR48" s="20">
        <f t="shared" si="16"/>
        <v>149.18748865055136</v>
      </c>
      <c r="DS48" s="59">
        <f t="shared" si="17"/>
        <v>442.52082198388467</v>
      </c>
      <c r="DT48" s="59">
        <f ca="1">AVERAGE(OFFSET($DS$3,0,0,'Données projet'!$E$14+1,1))-AVERAGE(OFFSET($H$3,0,0,'Données projet'!$E$14+1,1))</f>
        <v>91.053246648097399</v>
      </c>
      <c r="DU48" s="59">
        <f t="shared" si="44"/>
        <v>64.716270355703955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>
        <f>EXP(-LN(2)/35)*EA47+(1-EXP(-LN(2)/35))/(LN(2)/35)*DW48*DX48*VLOOKUP('Données projet'!$B$14,Paramètres!$A$1:$I$89,3,0)*0.475*44/12</f>
        <v>0</v>
      </c>
      <c r="EB48" s="21">
        <f>EXP(-LN(2)/25)*EB47+(1-EXP(-LN(2)/25))/(LN(2)/25)*Calculateur!DW48*Calculateur!DY48*VLOOKUP('Données projet'!$B$14,Paramètres!$A$1:$I$89,3,0)*0.475*44/12</f>
        <v>0</v>
      </c>
      <c r="EC48" s="21">
        <f>EXP(-LN(2)/2)*EC47+(1-EXP(-LN(2)/2))/(LN(2)/2)*DW48*DZ48*VLOOKUP('Données projet'!$B$14,Paramètres!$A$1:$I$89,3,0)*0.475*44/12</f>
        <v>0</v>
      </c>
      <c r="ED48" s="22">
        <f t="shared" si="18"/>
        <v>0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18.899999999999999</v>
      </c>
      <c r="EJ48" s="12">
        <f>IF('Données projet'!$A$192&gt;35,EJ47+EI48-ER47,IF(A48&lt;'Données projet'!$A$192,$EG$205^A48,IF(A48='Données projet'!$A$192,'Données projet'!$B$192,EJ47+EI48-ER47)))</f>
        <v>340.49999999999983</v>
      </c>
      <c r="EK48" s="17">
        <f>EJ48*VLOOKUP('Données projet'!$B$15,Paramètres!$A$1:$I$89,3,0)*VLOOKUP('Données projet'!$B$15,Paramètres!$A$1:$I$89,5,0)</f>
        <v>203.61899999999991</v>
      </c>
      <c r="EL48" s="13">
        <f t="shared" si="45"/>
        <v>50.538682373323198</v>
      </c>
      <c r="EM48" s="20">
        <f t="shared" si="19"/>
        <v>442.65796346687102</v>
      </c>
      <c r="EN48" s="59">
        <f t="shared" si="20"/>
        <v>735.99129680020428</v>
      </c>
      <c r="EO48" s="59">
        <f ca="1">AVERAGE(OFFSET($EN$3,0,0,'Données projet'!$E$15+1,1))-AVERAGE(OFFSET($H$3,0,0,'Données projet'!$E$15+1,1))</f>
        <v>316.58509520829671</v>
      </c>
      <c r="EP48" s="59">
        <f t="shared" si="46"/>
        <v>240.71332110643596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>
        <f>EXP(-LN(2)/35)*EV47+(1-EXP(-LN(2)/35))/(LN(2)/35)*ER48*ES48*VLOOKUP('Données projet'!$B$15,Paramètres!$A$1:$I$89,3,0)*0.475*44/12</f>
        <v>1.8831614172297486</v>
      </c>
      <c r="EW48" s="21">
        <f>EXP(-LN(2)/25)*EW47+(1-EXP(-LN(2)/25))/(LN(2)/25)*Calculateur!ER48*Calculateur!ET48*VLOOKUP('Données projet'!$B$15,Paramètres!$A$1:$I$89,3,0)*0.475*44/12</f>
        <v>10.073075044463328</v>
      </c>
      <c r="EX48" s="21">
        <f>EXP(-LN(2)/2)*EX47+(1-EXP(-LN(2)/2))/(LN(2)/2)*ER48*EU48*VLOOKUP('Données projet'!$B$15,Paramètres!$A$1:$I$89,3,0)*0.475*44/12</f>
        <v>0.12119889265370824</v>
      </c>
      <c r="EY48" s="22">
        <f t="shared" si="21"/>
        <v>12.077435354346786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16.2</v>
      </c>
      <c r="FE48" s="12">
        <f>IF('Données projet'!$A$218&gt;35,FE47+FD48-FM47,IF(A48&lt;'Données projet'!$A$218,$FB$205^A48,IF(A48='Données projet'!$A$218,'Données projet'!$B$218,FE47+FD48-FM47)))</f>
        <v>298.99999999999989</v>
      </c>
      <c r="FF48" s="17">
        <f>FE48*VLOOKUP('Données projet'!$B$16,Paramètres!$A$1:$I$89,3,0)*VLOOKUP('Données projet'!$B$16,Paramètres!$A$1:$I$89,5,0)</f>
        <v>178.80199999999996</v>
      </c>
      <c r="FG48" s="13">
        <f t="shared" si="47"/>
        <v>45.055549739375898</v>
      </c>
      <c r="FH48" s="20">
        <f t="shared" si="22"/>
        <v>389.88523246274627</v>
      </c>
      <c r="FI48" s="59">
        <f t="shared" si="23"/>
        <v>683.21856579607959</v>
      </c>
      <c r="FJ48" s="59">
        <f ca="1">AVERAGE(OFFSET($FI$3,0,0,'Données projet'!$E$16+1,1))-AVERAGE(OFFSET($H$3,0,0,'Données projet'!$E$16+1,1))</f>
        <v>270.30888762640245</v>
      </c>
      <c r="FK48" s="59">
        <f t="shared" si="48"/>
        <v>202.23783851977691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>
        <f>EXP(-LN(2)/35)*FQ47+(1-EXP(-LN(2)/35))/(LN(2)/35)*FM48*FN48*VLOOKUP('Données projet'!$B$16,Paramètres!$A$1:$I$89,3,0)*0.475*44/12</f>
        <v>1.5914040145603503</v>
      </c>
      <c r="FR48" s="21">
        <f>EXP(-LN(2)/25)*FR47+(1-EXP(-LN(2)/25))/(LN(2)/25)*Calculateur!FM48*Calculateur!FO48*VLOOKUP('Données projet'!$B$16,Paramètres!$A$1:$I$89,3,0)*0.475*44/12</f>
        <v>8.1118122239355941</v>
      </c>
      <c r="FS48" s="21">
        <f>EXP(-LN(2)/2)*FS47+(1-EXP(-LN(2)/2))/(LN(2)/2)*FM48*FP48*VLOOKUP('Données projet'!$B$16,Paramètres!$A$1:$I$89,3,0)*0.475*44/12</f>
        <v>0.10215819479153335</v>
      </c>
      <c r="FT48" s="22">
        <f t="shared" si="24"/>
        <v>9.8053744332874775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9.1999999999999993</v>
      </c>
      <c r="FZ48" s="12">
        <f>IF('Données projet'!$A$244&gt;35,FZ47+FY48-GH47,IF(A48&lt;'Données projet'!$A$244,$FW$205^A48,IF(A48='Données projet'!$A$244,'Données projet'!$B$244,FZ47+FY48-GH47)))</f>
        <v>238.99999999999989</v>
      </c>
      <c r="GA48" s="17">
        <f>FZ48*VLOOKUP('Données projet'!$B$17,Paramètres!$A$1:$I$89,3,0)*VLOOKUP('Données projet'!$B$17,Paramètres!$A$1:$I$89,5,0)</f>
        <v>190.14839999999992</v>
      </c>
      <c r="GB48" s="13">
        <f t="shared" si="49"/>
        <v>47.572760493232991</v>
      </c>
      <c r="GC48" s="20">
        <f t="shared" si="25"/>
        <v>414.03102119238065</v>
      </c>
      <c r="GD48" s="59">
        <f t="shared" si="26"/>
        <v>707.36435452571391</v>
      </c>
      <c r="GE48" s="59">
        <f ca="1">AVERAGE(OFFSET($GD$3,0,0,'Données projet'!$E$17+1,1))-AVERAGE(OFFSET($H$3,0,0,'Données projet'!$E$17+1,1))</f>
        <v>260.20517190557814</v>
      </c>
      <c r="GF48" s="59">
        <f t="shared" si="50"/>
        <v>307.22009971147133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>
        <f>EXP(-LN(2)/35)*GL47+(1-EXP(-LN(2)/35))/(LN(2)/35)*GH48*GI48*VLOOKUP('Données projet'!$B$17,Paramètres!$A$1:$I$89,3,0)*0.475*44/12</f>
        <v>2.4243925410222547</v>
      </c>
      <c r="GM48" s="21">
        <f>EXP(-LN(2)/25)*GM47+(1-EXP(-LN(2)/25))/(LN(2)/25)*Calculateur!GH48*Calculateur!GJ48*VLOOKUP('Données projet'!$B$17,Paramètres!$A$1:$I$89,3,0)*0.475*44/12</f>
        <v>13.537889060643337</v>
      </c>
      <c r="GN48" s="21">
        <f>EXP(-LN(2)/2)*GN47+(1-EXP(-LN(2)/2))/(LN(2)/2)*GH48*GK48*VLOOKUP('Données projet'!$B$17,Paramètres!$A$1:$I$89,3,0)*0.475*44/12</f>
        <v>0.13279815729140912</v>
      </c>
      <c r="GO48" s="21">
        <f t="shared" si="27"/>
        <v>16.095079758956999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7.7</v>
      </c>
      <c r="GU48" s="12">
        <f>IF('Données projet'!$A$270&gt;35,GU47+GT48-HC47,IF(A48&lt;'Données projet'!$A$270,$GR$205^A48,IF(A48='Données projet'!$A$270,'Données projet'!$B$270,GU47+GT48-HC47)))</f>
        <v>202.4999999999998</v>
      </c>
      <c r="GV48" s="17">
        <f>GU48*VLOOKUP('Données projet'!$B$18,Paramètres!$A$1:$I$89,3,0)*VLOOKUP('Données projet'!$B$18,Paramètres!$A$1:$I$89,5,0)</f>
        <v>161.10899999999987</v>
      </c>
      <c r="GW48" s="13">
        <f t="shared" si="51"/>
        <v>41.092552806229506</v>
      </c>
      <c r="GX48" s="20">
        <f t="shared" si="28"/>
        <v>352.16770447084946</v>
      </c>
      <c r="GY48" s="59">
        <f t="shared" si="29"/>
        <v>645.50103780418272</v>
      </c>
      <c r="GZ48" s="59">
        <f ca="1">AVERAGE(OFFSET($GY$3,0,0,'Données projet'!$E$18+1,1))-AVERAGE(OFFSET($H$3,0,0,'Données projet'!$E$18+1,1))</f>
        <v>199.58763537752952</v>
      </c>
      <c r="HA48" s="59">
        <f t="shared" si="52"/>
        <v>242.62852778451929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>
        <f>EXP(-LN(2)/35)*HG47+(1-EXP(-LN(2)/35))/(LN(2)/35)*HC48*HD48*VLOOKUP('Données projet'!$B$18,Paramètres!$A$1:$I$89,3,0)*0.475*44/12</f>
        <v>0</v>
      </c>
      <c r="HH48" s="21">
        <f>EXP(-LN(2)/25)*HH47+(1-EXP(-LN(2)/25))/(LN(2)/25)*Calculateur!HC48*Calculateur!HE48*VLOOKUP('Données projet'!$B$18,Paramètres!$A$1:$I$89,3,0)*0.475*44/12</f>
        <v>6.7842343988402103</v>
      </c>
      <c r="HI48" s="21">
        <f>EXP(-LN(2)/2)*HI47+(1-EXP(-LN(2)/2))/(LN(2)/2)*HC48*HF48*VLOOKUP('Données projet'!$B$18,Paramètres!$A$1:$I$89,3,0)*0.475*44/12</f>
        <v>5.9449772781101737E-2</v>
      </c>
      <c r="HJ48" s="22">
        <f t="shared" si="30"/>
        <v>6.8436841716213124</v>
      </c>
    </row>
    <row r="49" spans="1:218" x14ac:dyDescent="0.2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40.903200000000012</v>
      </c>
      <c r="D49" s="11">
        <f t="shared" si="32"/>
        <v>12.237728178480605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410.21067365844692</v>
      </c>
      <c r="H49" s="67">
        <f t="shared" si="1"/>
        <v>385.88711657752037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21.625641025641027</v>
      </c>
      <c r="N49" s="13">
        <f>IF('Données projet'!$A$36&gt;35,N48+M49-V48,IF(A49&lt;'Données projet'!$A$36,$K$205^A49,IF(A49='Données projet'!$A$36,'Données projet'!$B$36,N48+M49-V48)))</f>
        <v>481.83333333333314</v>
      </c>
      <c r="O49" s="13">
        <f>N49*VLOOKUP('Données projet'!$B$9,Paramètres!$A$1:$I$89,3,0)*VLOOKUP('Données projet'!$B$9,Paramètres!$A$1:$I$89,5,0)</f>
        <v>269.34483333333321</v>
      </c>
      <c r="P49" s="13">
        <f t="shared" si="33"/>
        <v>64.710206731812519</v>
      </c>
      <c r="Q49" s="20">
        <f t="shared" si="53"/>
        <v>581.81252811346212</v>
      </c>
      <c r="R49" s="59">
        <f t="shared" si="0"/>
        <v>875.14586144679538</v>
      </c>
      <c r="S49" s="59">
        <f ca="1">AVERAGE(OFFSET($R$3,0,0,'Données projet'!$E$9+1,1))-AVERAGE(OFFSET($H$3,0,0,'Données projet'!$E$9+1,1))</f>
        <v>255.5374979188561</v>
      </c>
      <c r="T49" s="59">
        <f t="shared" si="34"/>
        <v>343.10418468620901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2.2508704931286219</v>
      </c>
      <c r="AA49" s="21">
        <f>EXP(-LN(2)/25)*AA48+(1-EXP(-LN(2)/25))/(LN(2)/25)*Calculateur!V49*Calculateur!X49*VLOOKUP('Données projet'!$B$9,Paramètres!$A$1:$I$89,3,0)*0.475*44/12</f>
        <v>10.241904949800379</v>
      </c>
      <c r="AB49" s="21">
        <f>EXP(-LN(2)/2)*AB48+(1-EXP(-LN(2)/2))/(LN(2)/2)*V49*Y49*VLOOKUP('Données projet'!$B$9,Paramètres!$A$1:$I$89,3,0)*0.475*44/12</f>
        <v>6.6119221853674455E-3</v>
      </c>
      <c r="AC49" s="22">
        <f t="shared" si="3"/>
        <v>12.499387365114368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17.519780219780223</v>
      </c>
      <c r="AI49" s="13">
        <f>IF('Données projet'!$A$62&gt;35,AI48+AH49-AQ48,IF(A49&lt;'Données projet'!$A$62,$AF$205^A49,IF(A49='Données projet'!$A$62,'Données projet'!$B$62,AI48+AH49-AQ48)))</f>
        <v>352.00989010989019</v>
      </c>
      <c r="AJ49" s="13">
        <f>AI49*VLOOKUP('Données projet'!$B$10,Paramètres!$A$1:$I$89,3,0)*VLOOKUP('Données projet'!$B$10,Paramètres!$A$1:$I$89,5,0)</f>
        <v>196.77352857142861</v>
      </c>
      <c r="AK49" s="13">
        <f t="shared" si="35"/>
        <v>49.034417171503861</v>
      </c>
      <c r="AL49" s="20">
        <f t="shared" si="4"/>
        <v>428.11550550227406</v>
      </c>
      <c r="AM49" s="59">
        <f t="shared" si="5"/>
        <v>721.44883883560738</v>
      </c>
      <c r="AN49" s="59">
        <f ca="1">AVERAGE(OFFSET($AM$3,0,0,'Données projet'!$E$10+1,1))-AVERAGE(OFFSET($H$3,0,0,'Données projet'!$E$10+1,1))</f>
        <v>224.7049802939942</v>
      </c>
      <c r="AO49" s="59">
        <f t="shared" si="36"/>
        <v>203.48513862195352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1.6252385029459544</v>
      </c>
      <c r="AV49" s="21">
        <f>EXP(-LN(2)/25)*AV48+(1-EXP(-LN(2)/25))/(LN(2)/25)*Calculateur!AQ49*Calculateur!AS49*VLOOKUP('Données projet'!$B$10,Paramètres!$A$1:$I$89,3,0)*0.475*44/12</f>
        <v>12.529142139538651</v>
      </c>
      <c r="AW49" s="21">
        <f>EXP(-LN(2)/2)*AW48+(1-EXP(-LN(2)/2))/(LN(2)/2)*AQ49*AT49*VLOOKUP('Données projet'!$B$10,Paramètres!$A$1:$I$89,3,0)*0.475*44/12</f>
        <v>3.5002392933937518E-2</v>
      </c>
      <c r="AX49" s="21">
        <f t="shared" si="6"/>
        <v>14.189383035418544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11.5</v>
      </c>
      <c r="BD49" s="12">
        <f>IF('Données projet'!$A$88&gt;35,BD48+BC49-BL48,IF(A49&lt;'Données projet'!$A$88,$BA$205^A49,IF(A49='Données projet'!$A$88,'Données projet'!$B$88,BD48+BC49-BL48)))</f>
        <v>303.00000000000011</v>
      </c>
      <c r="BE49" s="13">
        <f>BD49*VLOOKUP('Données projet'!$B$11,Paramètres!$A$1:$I$89,3,0)*VLOOKUP('Données projet'!$B$11,Paramètres!$A$1:$I$89,5,0)</f>
        <v>165.43800000000007</v>
      </c>
      <c r="BF49" s="13">
        <f t="shared" si="37"/>
        <v>42.066675415215805</v>
      </c>
      <c r="BG49" s="20">
        <f t="shared" si="7"/>
        <v>361.40397634816759</v>
      </c>
      <c r="BH49" s="59">
        <f t="shared" si="8"/>
        <v>654.73730968150085</v>
      </c>
      <c r="BI49" s="59">
        <f ca="1">AVERAGE(OFFSET($BH$3,0,0,'Données projet'!$E$11+1,1))-AVERAGE(OFFSET($H$3,0,0,'Données projet'!$E$11+1,1))</f>
        <v>210.04871822652808</v>
      </c>
      <c r="BJ49" s="59">
        <f t="shared" si="38"/>
        <v>250.17540614049324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5.3182386137235387</v>
      </c>
      <c r="BQ49" s="21">
        <f>EXP(-LN(2)/25)*BQ48+(1-EXP(-LN(2)/25))/(LN(2)/25)*Calculateur!BL49*Calculateur!BN49*VLOOKUP('Données projet'!$B$11,Paramètres!$A$1:$I$89,3,0)*0.475*44/12</f>
        <v>17.859329280781683</v>
      </c>
      <c r="BR49" s="21">
        <f>EXP(-LN(2)/2)*BR48+(1-EXP(-LN(2)/2))/(LN(2)/2)*BL49*BO49*VLOOKUP('Données projet'!$B$11,Paramètres!$A$1:$I$89,3,0)*0.475*44/12</f>
        <v>8.4194877880279864E-2</v>
      </c>
      <c r="BS49" s="22">
        <f t="shared" si="9"/>
        <v>23.261762772385502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9.9</v>
      </c>
      <c r="BY49" s="12">
        <f>IF('Données projet'!$A$114&gt;35,BY48+BX49-CG48,IF(A49&lt;'Données projet'!$A$114,$BV$205^A49,IF(A49='Données projet'!$A$114,'Données projet'!$B$114,BY48+BX49-CG48)))</f>
        <v>262.39999999999998</v>
      </c>
      <c r="BZ49" s="13">
        <f>BY49*VLOOKUP('Données projet'!$B$12,Paramètres!$A$1:$I$89,3,0)*VLOOKUP('Données projet'!$B$12,Paramètres!$A$1:$I$89,5,0)</f>
        <v>143.2704</v>
      </c>
      <c r="CA49" s="13">
        <f t="shared" si="39"/>
        <v>37.045198377171303</v>
      </c>
      <c r="CB49" s="20">
        <f t="shared" si="10"/>
        <v>314.04966717357325</v>
      </c>
      <c r="CC49" s="59">
        <f t="shared" si="11"/>
        <v>607.38300050690657</v>
      </c>
      <c r="CD49" s="59">
        <f ca="1">AVERAGE(OFFSET($CC$3,0,0,'Données projet'!$E$12+1,1))-AVERAGE(OFFSET($H$3,0,0,'Données projet'!$E$12+1,1))</f>
        <v>168.72306536277267</v>
      </c>
      <c r="CE49" s="59">
        <f t="shared" si="40"/>
        <v>203.35476578922339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2.2159327557181414</v>
      </c>
      <c r="CL49" s="21">
        <f>EXP(-LN(2)/25)*CL48+(1-EXP(-LN(2)/25))/(LN(2)/25)*Calculateur!CG49*Calculateur!CI49*VLOOKUP('Données projet'!$B$12,Paramètres!$A$1:$I$89,3,0)*0.475*44/12</f>
        <v>14.749785954337847</v>
      </c>
      <c r="CM49" s="21">
        <f>EXP(-LN(2)/2)*CM48+(1-EXP(-LN(2)/2))/(LN(2)/2)*CG49*CJ49*VLOOKUP('Données projet'!$B$12,Paramètres!$A$1:$I$89,3,0)*0.475*44/12</f>
        <v>7.8218150867536154E-2</v>
      </c>
      <c r="CN49" s="22">
        <f t="shared" si="12"/>
        <v>17.043936860923523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11.538461538461542</v>
      </c>
      <c r="CT49" s="12">
        <f>IF('Données projet'!$A$140&gt;35,CT48+CS49-DB48,IF(A49&lt;'Données projet'!$A$140,$CQ$205^A49,IF(A49='Données projet'!$A$140,'Données projet'!$B$140,CT48+CS49-DB48)))</f>
        <v>225.38461538461556</v>
      </c>
      <c r="CU49" s="17">
        <f>CT49*VLOOKUP('Données projet'!$B$13,Paramètres!$A$1:$I$89,3,0)*VLOOKUP('Données projet'!$B$13,Paramètres!$A$1:$I$89,5,0)</f>
        <v>108.41000000000008</v>
      </c>
      <c r="CV49" s="13">
        <f t="shared" si="41"/>
        <v>28.956051314998437</v>
      </c>
      <c r="CW49" s="20">
        <f t="shared" si="13"/>
        <v>239.24587270695574</v>
      </c>
      <c r="CX49" s="59">
        <f t="shared" si="14"/>
        <v>532.57920604028902</v>
      </c>
      <c r="CY49" s="59">
        <f ca="1">AVERAGE(OFFSET($CX$3,0,0,'Données projet'!$E$13+1,1))-AVERAGE(OFFSET($H$3,0,0,'Données projet'!$E$13+1,1))</f>
        <v>304.15237106473313</v>
      </c>
      <c r="CZ49" s="59">
        <f t="shared" si="42"/>
        <v>120.85458928724336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>
        <f>EXP(-LN(2)/35)*DF48+(1-EXP(-LN(2)/35))/(LN(2)/35)*DB49*DC49*VLOOKUP('Données projet'!$B$13,Paramètres!$A$1:$I$89,3,0)*0.475*44/12</f>
        <v>0</v>
      </c>
      <c r="DG49" s="21">
        <f>EXP(-LN(2)/25)*DG48+(1-EXP(-LN(2)/25))/(LN(2)/25)*Calculateur!DB49*Calculateur!DD49*VLOOKUP('Données projet'!$B$13,Paramètres!$A$1:$I$89,3,0)*0.475*44/12</f>
        <v>0</v>
      </c>
      <c r="DH49" s="21">
        <f>EXP(-LN(2)/2)*DH48+(1-EXP(-LN(2)/2))/(LN(2)/2)*DB49*DE49*VLOOKUP('Données projet'!$B$13,Paramètres!$A$1:$I$89,3,0)*0.475*44/12</f>
        <v>0</v>
      </c>
      <c r="DI49" s="22">
        <f t="shared" si="15"/>
        <v>0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6.8461538461538449</v>
      </c>
      <c r="DO49" s="12">
        <f>IF('Données projet'!$A$166&gt;35,DO48+DN49-DW48,IF(A49&lt;'Données projet'!$A$166,$DL$205^A49,IF(A49='Données projet'!$A$166,'Données projet'!$B$166,DO48+DN49-DW48)))</f>
        <v>145.69230769230771</v>
      </c>
      <c r="DP49" s="17">
        <f>DO49*VLOOKUP('Données projet'!$B$14,Paramètres!$A$1:$I$89,3,0)*VLOOKUP('Données projet'!$B$14,Paramètres!$A$1:$I$89,5,0)</f>
        <v>70.078000000000003</v>
      </c>
      <c r="DQ49" s="13">
        <f t="shared" si="43"/>
        <v>19.692826464783273</v>
      </c>
      <c r="DR49" s="20">
        <f t="shared" si="16"/>
        <v>156.3508560928309</v>
      </c>
      <c r="DS49" s="59">
        <f t="shared" si="17"/>
        <v>449.68418942616421</v>
      </c>
      <c r="DT49" s="59">
        <f ca="1">AVERAGE(OFFSET($DS$3,0,0,'Données projet'!$E$14+1,1))-AVERAGE(OFFSET($H$3,0,0,'Données projet'!$E$14+1,1))</f>
        <v>91.053246648097399</v>
      </c>
      <c r="DU49" s="59">
        <f t="shared" si="44"/>
        <v>64.716270355703955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>
        <f>EXP(-LN(2)/35)*EA48+(1-EXP(-LN(2)/35))/(LN(2)/35)*DW49*DX49*VLOOKUP('Données projet'!$B$14,Paramètres!$A$1:$I$89,3,0)*0.475*44/12</f>
        <v>0</v>
      </c>
      <c r="EB49" s="21">
        <f>EXP(-LN(2)/25)*EB48+(1-EXP(-LN(2)/25))/(LN(2)/25)*Calculateur!DW49*Calculateur!DY49*VLOOKUP('Données projet'!$B$14,Paramètres!$A$1:$I$89,3,0)*0.475*44/12</f>
        <v>0</v>
      </c>
      <c r="EC49" s="21">
        <f>EXP(-LN(2)/2)*EC48+(1-EXP(-LN(2)/2))/(LN(2)/2)*DW49*DZ49*VLOOKUP('Données projet'!$B$14,Paramètres!$A$1:$I$89,3,0)*0.475*44/12</f>
        <v>0</v>
      </c>
      <c r="ED49" s="22">
        <f t="shared" si="18"/>
        <v>0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18.899999999999999</v>
      </c>
      <c r="EJ49" s="12">
        <f>IF('Données projet'!$A$192&gt;35,EJ48+EI49-ER48,IF(A49&lt;'Données projet'!$A$192,$EG$205^A49,IF(A49='Données projet'!$A$192,'Données projet'!$B$192,EJ48+EI49-ER48)))</f>
        <v>359.39999999999981</v>
      </c>
      <c r="EK49" s="17">
        <f>EJ49*VLOOKUP('Données projet'!$B$15,Paramètres!$A$1:$I$89,3,0)*VLOOKUP('Données projet'!$B$15,Paramètres!$A$1:$I$89,5,0)</f>
        <v>214.92119999999991</v>
      </c>
      <c r="EL49" s="13">
        <f t="shared" si="45"/>
        <v>53.009537628527006</v>
      </c>
      <c r="EM49" s="20">
        <f t="shared" si="19"/>
        <v>466.64603470301768</v>
      </c>
      <c r="EN49" s="59">
        <f t="shared" si="20"/>
        <v>759.97936803635093</v>
      </c>
      <c r="EO49" s="59">
        <f ca="1">AVERAGE(OFFSET($EN$3,0,0,'Données projet'!$E$15+1,1))-AVERAGE(OFFSET($H$3,0,0,'Données projet'!$E$15+1,1))</f>
        <v>316.58509520829671</v>
      </c>
      <c r="EP49" s="59">
        <f t="shared" si="46"/>
        <v>240.71332110643596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>
        <f>EXP(-LN(2)/35)*EV48+(1-EXP(-LN(2)/35))/(LN(2)/35)*ER49*ES49*VLOOKUP('Données projet'!$B$15,Paramètres!$A$1:$I$89,3,0)*0.475*44/12</f>
        <v>1.8462337704529215</v>
      </c>
      <c r="EW49" s="21">
        <f>EXP(-LN(2)/25)*EW48+(1-EXP(-LN(2)/25))/(LN(2)/25)*Calculateur!ER49*Calculateur!ET49*VLOOKUP('Données projet'!$B$15,Paramètres!$A$1:$I$89,3,0)*0.475*44/12</f>
        <v>9.7976262776524852</v>
      </c>
      <c r="EX49" s="21">
        <f>EXP(-LN(2)/2)*EX48+(1-EXP(-LN(2)/2))/(LN(2)/2)*ER49*EU49*VLOOKUP('Données projet'!$B$15,Paramètres!$A$1:$I$89,3,0)*0.475*44/12</f>
        <v>8.5700558867737545E-2</v>
      </c>
      <c r="EY49" s="22">
        <f t="shared" si="21"/>
        <v>11.729560606973143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16.2</v>
      </c>
      <c r="FE49" s="12">
        <f>IF('Données projet'!$A$218&gt;35,FE48+FD49-FM48,IF(A49&lt;'Données projet'!$A$218,$FB$205^A49,IF(A49='Données projet'!$A$218,'Données projet'!$B$218,FE48+FD49-FM48)))</f>
        <v>315.19999999999987</v>
      </c>
      <c r="FF49" s="17">
        <f>FE49*VLOOKUP('Données projet'!$B$16,Paramètres!$A$1:$I$89,3,0)*VLOOKUP('Données projet'!$B$16,Paramètres!$A$1:$I$89,5,0)</f>
        <v>188.48959999999997</v>
      </c>
      <c r="FG49" s="13">
        <f t="shared" si="47"/>
        <v>47.205869902326455</v>
      </c>
      <c r="FH49" s="20">
        <f t="shared" si="22"/>
        <v>410.50294341321847</v>
      </c>
      <c r="FI49" s="59">
        <f t="shared" si="23"/>
        <v>703.83627674655179</v>
      </c>
      <c r="FJ49" s="59">
        <f ca="1">AVERAGE(OFFSET($FI$3,0,0,'Données projet'!$E$16+1,1))-AVERAGE(OFFSET($H$3,0,0,'Données projet'!$E$16+1,1))</f>
        <v>270.30888762640245</v>
      </c>
      <c r="FK49" s="59">
        <f t="shared" si="48"/>
        <v>202.23783851977691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>
        <f>EXP(-LN(2)/35)*FQ48+(1-EXP(-LN(2)/35))/(LN(2)/35)*FM49*FN49*VLOOKUP('Données projet'!$B$16,Paramètres!$A$1:$I$89,3,0)*0.475*44/12</f>
        <v>1.5601975524954259</v>
      </c>
      <c r="FR49" s="21">
        <f>EXP(-LN(2)/25)*FR48+(1-EXP(-LN(2)/25))/(LN(2)/25)*Calculateur!FM49*Calculateur!FO49*VLOOKUP('Données projet'!$B$16,Paramètres!$A$1:$I$89,3,0)*0.475*44/12</f>
        <v>7.8899942920904103</v>
      </c>
      <c r="FS49" s="21">
        <f>EXP(-LN(2)/2)*FS48+(1-EXP(-LN(2)/2))/(LN(2)/2)*FM49*FP49*VLOOKUP('Données projet'!$B$16,Paramètres!$A$1:$I$89,3,0)*0.475*44/12</f>
        <v>7.2236752290869469E-2</v>
      </c>
      <c r="FT49" s="22">
        <f t="shared" si="24"/>
        <v>9.522428596876706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9.1999999999999993</v>
      </c>
      <c r="FZ49" s="12">
        <f>IF('Données projet'!$A$244&gt;35,FZ48+FY49-GH48,IF(A49&lt;'Données projet'!$A$244,$FW$205^A49,IF(A49='Données projet'!$A$244,'Données projet'!$B$244,FZ48+FY49-GH48)))</f>
        <v>248.19999999999987</v>
      </c>
      <c r="GA49" s="17">
        <f>FZ49*VLOOKUP('Données projet'!$B$17,Paramètres!$A$1:$I$89,3,0)*VLOOKUP('Données projet'!$B$17,Paramètres!$A$1:$I$89,5,0)</f>
        <v>197.46791999999991</v>
      </c>
      <c r="GB49" s="13">
        <f t="shared" si="49"/>
        <v>49.187281204902298</v>
      </c>
      <c r="GC49" s="20">
        <f t="shared" si="25"/>
        <v>429.591142098538</v>
      </c>
      <c r="GD49" s="59">
        <f t="shared" si="26"/>
        <v>722.92447543187131</v>
      </c>
      <c r="GE49" s="59">
        <f ca="1">AVERAGE(OFFSET($GD$3,0,0,'Données projet'!$E$17+1,1))-AVERAGE(OFFSET($H$3,0,0,'Données projet'!$E$17+1,1))</f>
        <v>260.20517190557814</v>
      </c>
      <c r="GF49" s="59">
        <f t="shared" si="50"/>
        <v>307.22009971147133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>
        <f>EXP(-LN(2)/35)*GL48+(1-EXP(-LN(2)/35))/(LN(2)/35)*GH49*GI49*VLOOKUP('Données projet'!$B$17,Paramètres!$A$1:$I$89,3,0)*0.475*44/12</f>
        <v>2.3768516820262455</v>
      </c>
      <c r="GM49" s="21">
        <f>EXP(-LN(2)/25)*GM48+(1-EXP(-LN(2)/25))/(LN(2)/25)*Calculateur!GH49*Calculateur!GJ49*VLOOKUP('Données projet'!$B$17,Paramètres!$A$1:$I$89,3,0)*0.475*44/12</f>
        <v>13.167694772353402</v>
      </c>
      <c r="GN49" s="21">
        <f>EXP(-LN(2)/2)*GN48+(1-EXP(-LN(2)/2))/(LN(2)/2)*GH49*GK49*VLOOKUP('Données projet'!$B$17,Paramètres!$A$1:$I$89,3,0)*0.475*44/12</f>
        <v>9.3902477549833149E-2</v>
      </c>
      <c r="GO49" s="21">
        <f t="shared" si="27"/>
        <v>15.63844893192948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7.7</v>
      </c>
      <c r="GU49" s="12">
        <f>IF('Données projet'!$A$270&gt;35,GU48+GT49-HC48,IF(A49&lt;'Données projet'!$A$270,$GR$205^A49,IF(A49='Données projet'!$A$270,'Données projet'!$B$270,GU48+GT49-HC48)))</f>
        <v>210.19999999999979</v>
      </c>
      <c r="GV49" s="17">
        <f>GU49*VLOOKUP('Données projet'!$B$18,Paramètres!$A$1:$I$89,3,0)*VLOOKUP('Données projet'!$B$18,Paramètres!$A$1:$I$89,5,0)</f>
        <v>167.23511999999985</v>
      </c>
      <c r="GW49" s="13">
        <f t="shared" si="51"/>
        <v>42.470192710511569</v>
      </c>
      <c r="GX49" s="20">
        <f t="shared" si="28"/>
        <v>365.23675297080734</v>
      </c>
      <c r="GY49" s="59">
        <f t="shared" si="29"/>
        <v>658.57008630414066</v>
      </c>
      <c r="GZ49" s="59">
        <f ca="1">AVERAGE(OFFSET($GY$3,0,0,'Données projet'!$E$18+1,1))-AVERAGE(OFFSET($H$3,0,0,'Données projet'!$E$18+1,1))</f>
        <v>199.58763537752952</v>
      </c>
      <c r="HA49" s="59">
        <f t="shared" si="52"/>
        <v>242.62852778451929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>
        <f>EXP(-LN(2)/35)*HG48+(1-EXP(-LN(2)/35))/(LN(2)/35)*HC49*HD49*VLOOKUP('Données projet'!$B$18,Paramètres!$A$1:$I$89,3,0)*0.475*44/12</f>
        <v>0</v>
      </c>
      <c r="HH49" s="21">
        <f>EXP(-LN(2)/25)*HH48+(1-EXP(-LN(2)/25))/(LN(2)/25)*Calculateur!HC49*Calculateur!HE49*VLOOKUP('Données projet'!$B$18,Paramètres!$A$1:$I$89,3,0)*0.475*44/12</f>
        <v>6.5987191524365434</v>
      </c>
      <c r="HI49" s="21">
        <f>EXP(-LN(2)/2)*HI48+(1-EXP(-LN(2)/2))/(LN(2)/2)*HC49*HF49*VLOOKUP('Données projet'!$B$18,Paramètres!$A$1:$I$89,3,0)*0.475*44/12</f>
        <v>4.2037337473516477E-2</v>
      </c>
      <c r="HJ49" s="22">
        <f t="shared" si="30"/>
        <v>6.6407564899100597</v>
      </c>
    </row>
    <row r="50" spans="1:218" x14ac:dyDescent="0.2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41.792400000000015</v>
      </c>
      <c r="D50" s="11">
        <f t="shared" si="32"/>
        <v>12.472503937619972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418.88697776408418</v>
      </c>
      <c r="H50" s="67">
        <f t="shared" si="1"/>
        <v>387.84470769135481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21.625641025641027</v>
      </c>
      <c r="N50" s="13">
        <f>IF('Données projet'!$A$36&gt;35,N49+M50-V49,IF(A50&lt;'Données projet'!$A$36,$K$205^A50,IF(A50='Données projet'!$A$36,'Données projet'!$B$36,N49+M50-V49)))</f>
        <v>503.45897435897416</v>
      </c>
      <c r="O50" s="13">
        <f>N50*VLOOKUP('Données projet'!$B$9,Paramètres!$A$1:$I$89,3,0)*VLOOKUP('Données projet'!$B$9,Paramètres!$A$1:$I$89,5,0)</f>
        <v>281.43356666666659</v>
      </c>
      <c r="P50" s="13">
        <f t="shared" si="33"/>
        <v>67.26987262617007</v>
      </c>
      <c r="Q50" s="20">
        <f t="shared" si="53"/>
        <v>607.32515676835726</v>
      </c>
      <c r="R50" s="59">
        <f t="shared" si="0"/>
        <v>900.65849010169063</v>
      </c>
      <c r="S50" s="59">
        <f ca="1">AVERAGE(OFFSET($R$3,0,0,'Données projet'!$E$9+1,1))-AVERAGE(OFFSET($H$3,0,0,'Données projet'!$E$9+1,1))</f>
        <v>255.5374979188561</v>
      </c>
      <c r="T50" s="59">
        <f t="shared" si="34"/>
        <v>343.10418468620901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2.2067322956538082</v>
      </c>
      <c r="AA50" s="21">
        <f>EXP(-LN(2)/25)*AA49+(1-EXP(-LN(2)/25))/(LN(2)/25)*Calculateur!V50*Calculateur!X50*VLOOKUP('Données projet'!$B$9,Paramètres!$A$1:$I$89,3,0)*0.475*44/12</f>
        <v>9.9618395203497148</v>
      </c>
      <c r="AB50" s="21">
        <f>EXP(-LN(2)/2)*AB49+(1-EXP(-LN(2)/2))/(LN(2)/2)*V50*Y50*VLOOKUP('Données projet'!$B$9,Paramètres!$A$1:$I$89,3,0)*0.475*44/12</f>
        <v>4.6753350139510973E-3</v>
      </c>
      <c r="AC50" s="22">
        <f t="shared" si="3"/>
        <v>12.173247151017474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17.519780219780223</v>
      </c>
      <c r="AI50" s="13">
        <f>IF('Données projet'!$A$62&gt;35,AI49+AH50-AQ49,IF(A50&lt;'Données projet'!$A$62,$AF$205^A50,IF(A50='Données projet'!$A$62,'Données projet'!$B$62,AI49+AH50-AQ49)))</f>
        <v>369.52967032967041</v>
      </c>
      <c r="AJ50" s="13">
        <f>AI50*VLOOKUP('Données projet'!$B$10,Paramètres!$A$1:$I$89,3,0)*VLOOKUP('Données projet'!$B$10,Paramètres!$A$1:$I$89,5,0)</f>
        <v>206.56708571428578</v>
      </c>
      <c r="AK50" s="13">
        <f t="shared" si="35"/>
        <v>51.184689450990696</v>
      </c>
      <c r="AL50" s="20">
        <f t="shared" si="4"/>
        <v>448.91767507952318</v>
      </c>
      <c r="AM50" s="59">
        <f t="shared" si="5"/>
        <v>742.25100841285644</v>
      </c>
      <c r="AN50" s="59">
        <f ca="1">AVERAGE(OFFSET($AM$3,0,0,'Données projet'!$E$10+1,1))-AVERAGE(OFFSET($H$3,0,0,'Données projet'!$E$10+1,1))</f>
        <v>224.7049802939942</v>
      </c>
      <c r="AO50" s="59">
        <f t="shared" si="36"/>
        <v>203.48513862195352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1.5933685672007885</v>
      </c>
      <c r="AV50" s="21">
        <f>EXP(-LN(2)/25)*AV49+(1-EXP(-LN(2)/25))/(LN(2)/25)*Calculateur!AQ50*Calculateur!AS50*VLOOKUP('Données projet'!$B$10,Paramètres!$A$1:$I$89,3,0)*0.475*44/12</f>
        <v>12.186532088854017</v>
      </c>
      <c r="AW50" s="21">
        <f>EXP(-LN(2)/2)*AW49+(1-EXP(-LN(2)/2))/(LN(2)/2)*AQ50*AT50*VLOOKUP('Données projet'!$B$10,Paramètres!$A$1:$I$89,3,0)*0.475*44/12</f>
        <v>2.4750429401343314E-2</v>
      </c>
      <c r="AX50" s="21">
        <f t="shared" si="6"/>
        <v>13.80465108545615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11.5</v>
      </c>
      <c r="BD50" s="12">
        <f>IF('Données projet'!$A$88&gt;35,BD49+BC50-BL49,IF(A50&lt;'Données projet'!$A$88,$BA$205^A50,IF(A50='Données projet'!$A$88,'Données projet'!$B$88,BD49+BC50-BL49)))</f>
        <v>314.50000000000011</v>
      </c>
      <c r="BE50" s="13">
        <f>BD50*VLOOKUP('Données projet'!$B$11,Paramètres!$A$1:$I$89,3,0)*VLOOKUP('Données projet'!$B$11,Paramètres!$A$1:$I$89,5,0)</f>
        <v>171.71700000000004</v>
      </c>
      <c r="BF50" s="13">
        <f t="shared" si="37"/>
        <v>43.474349266591211</v>
      </c>
      <c r="BG50" s="20">
        <f t="shared" si="7"/>
        <v>374.79159997264645</v>
      </c>
      <c r="BH50" s="59">
        <f t="shared" si="8"/>
        <v>668.12493330597977</v>
      </c>
      <c r="BI50" s="59">
        <f ca="1">AVERAGE(OFFSET($BH$3,0,0,'Données projet'!$E$11+1,1))-AVERAGE(OFFSET($H$3,0,0,'Données projet'!$E$11+1,1))</f>
        <v>210.04871822652808</v>
      </c>
      <c r="BJ50" s="59">
        <f t="shared" si="38"/>
        <v>250.17540614049324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5.2139511983136755</v>
      </c>
      <c r="BQ50" s="21">
        <f>EXP(-LN(2)/25)*BQ49+(1-EXP(-LN(2)/25))/(LN(2)/25)*Calculateur!BL50*Calculateur!BN50*VLOOKUP('Données projet'!$B$11,Paramètres!$A$1:$I$89,3,0)*0.475*44/12</f>
        <v>17.370964982417398</v>
      </c>
      <c r="BR50" s="21">
        <f>EXP(-LN(2)/2)*BR49+(1-EXP(-LN(2)/2))/(LN(2)/2)*BL50*BO50*VLOOKUP('Données projet'!$B$11,Paramètres!$A$1:$I$89,3,0)*0.475*44/12</f>
        <v>5.9534769090319149E-2</v>
      </c>
      <c r="BS50" s="22">
        <f t="shared" si="9"/>
        <v>22.644450949821394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9.9</v>
      </c>
      <c r="BY50" s="12">
        <f>IF('Données projet'!$A$114&gt;35,BY49+BX50-CG49,IF(A50&lt;'Données projet'!$A$114,$BV$205^A50,IF(A50='Données projet'!$A$114,'Données projet'!$B$114,BY49+BX50-CG49)))</f>
        <v>272.29999999999995</v>
      </c>
      <c r="BZ50" s="13">
        <f>BY50*VLOOKUP('Données projet'!$B$12,Paramètres!$A$1:$I$89,3,0)*VLOOKUP('Données projet'!$B$12,Paramètres!$A$1:$I$89,5,0)</f>
        <v>148.67579999999998</v>
      </c>
      <c r="CA50" s="13">
        <f t="shared" si="39"/>
        <v>38.277501294524541</v>
      </c>
      <c r="CB50" s="20">
        <f t="shared" si="10"/>
        <v>325.61033308796351</v>
      </c>
      <c r="CC50" s="59">
        <f t="shared" si="11"/>
        <v>618.94366642129683</v>
      </c>
      <c r="CD50" s="59">
        <f ca="1">AVERAGE(OFFSET($CC$3,0,0,'Données projet'!$E$12+1,1))-AVERAGE(OFFSET($H$3,0,0,'Données projet'!$E$12+1,1))</f>
        <v>168.72306536277267</v>
      </c>
      <c r="CE50" s="59">
        <f t="shared" si="40"/>
        <v>203.35476578922339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2.1724796659640315</v>
      </c>
      <c r="CL50" s="21">
        <f>EXP(-LN(2)/25)*CL49+(1-EXP(-LN(2)/25))/(LN(2)/25)*Calculateur!CG50*Calculateur!CI50*VLOOKUP('Données projet'!$B$12,Paramètres!$A$1:$I$89,3,0)*0.475*44/12</f>
        <v>14.346452281758946</v>
      </c>
      <c r="CM50" s="21">
        <f>EXP(-LN(2)/2)*CM49+(1-EXP(-LN(2)/2))/(LN(2)/2)*CG50*CJ50*VLOOKUP('Données projet'!$B$12,Paramètres!$A$1:$I$89,3,0)*0.475*44/12</f>
        <v>5.5308584890307252E-2</v>
      </c>
      <c r="CN50" s="22">
        <f t="shared" si="12"/>
        <v>16.574240532613285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11.538461538461542</v>
      </c>
      <c r="CT50" s="12">
        <f>IF('Données projet'!$A$140&gt;35,CT49+CS50-DB49,IF(A50&lt;'Données projet'!$A$140,$CQ$205^A50,IF(A50='Données projet'!$A$140,'Données projet'!$B$140,CT49+CS50-DB49)))</f>
        <v>236.9230769230771</v>
      </c>
      <c r="CU50" s="17">
        <f>CT50*VLOOKUP('Données projet'!$B$13,Paramètres!$A$1:$I$89,3,0)*VLOOKUP('Données projet'!$B$13,Paramètres!$A$1:$I$89,5,0)</f>
        <v>113.96000000000009</v>
      </c>
      <c r="CV50" s="13">
        <f t="shared" si="41"/>
        <v>30.262062324030754</v>
      </c>
      <c r="CW50" s="20">
        <f t="shared" si="13"/>
        <v>251.18675854768705</v>
      </c>
      <c r="CX50" s="59">
        <f t="shared" si="14"/>
        <v>544.52009188102033</v>
      </c>
      <c r="CY50" s="59">
        <f ca="1">AVERAGE(OFFSET($CX$3,0,0,'Données projet'!$E$13+1,1))-AVERAGE(OFFSET($H$3,0,0,'Données projet'!$E$13+1,1))</f>
        <v>304.15237106473313</v>
      </c>
      <c r="CZ50" s="59">
        <f t="shared" si="42"/>
        <v>120.85458928724336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>
        <f>EXP(-LN(2)/35)*DF49+(1-EXP(-LN(2)/35))/(LN(2)/35)*DB50*DC50*VLOOKUP('Données projet'!$B$13,Paramètres!$A$1:$I$89,3,0)*0.475*44/12</f>
        <v>0</v>
      </c>
      <c r="DG50" s="21">
        <f>EXP(-LN(2)/25)*DG49+(1-EXP(-LN(2)/25))/(LN(2)/25)*Calculateur!DB50*Calculateur!DD50*VLOOKUP('Données projet'!$B$13,Paramètres!$A$1:$I$89,3,0)*0.475*44/12</f>
        <v>0</v>
      </c>
      <c r="DH50" s="21">
        <f>EXP(-LN(2)/2)*DH49+(1-EXP(-LN(2)/2))/(LN(2)/2)*DB50*DE50*VLOOKUP('Données projet'!$B$13,Paramètres!$A$1:$I$89,3,0)*0.475*44/12</f>
        <v>0</v>
      </c>
      <c r="DI50" s="22">
        <f t="shared" si="15"/>
        <v>0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6.8461538461538449</v>
      </c>
      <c r="DO50" s="12">
        <f>IF('Données projet'!$A$166&gt;35,DO49+DN50-DW49,IF(A50&lt;'Données projet'!$A$166,$DL$205^A50,IF(A50='Données projet'!$A$166,'Données projet'!$B$166,DO49+DN50-DW49)))</f>
        <v>152.53846153846155</v>
      </c>
      <c r="DP50" s="17">
        <f>DO50*VLOOKUP('Données projet'!$B$14,Paramètres!$A$1:$I$89,3,0)*VLOOKUP('Données projet'!$B$14,Paramètres!$A$1:$I$89,5,0)</f>
        <v>73.371000000000009</v>
      </c>
      <c r="DQ50" s="13">
        <f t="shared" si="43"/>
        <v>20.508290402359236</v>
      </c>
      <c r="DR50" s="20">
        <f t="shared" si="16"/>
        <v>163.506430784109</v>
      </c>
      <c r="DS50" s="59">
        <f t="shared" si="17"/>
        <v>456.83976411744231</v>
      </c>
      <c r="DT50" s="59">
        <f ca="1">AVERAGE(OFFSET($DS$3,0,0,'Données projet'!$E$14+1,1))-AVERAGE(OFFSET($H$3,0,0,'Données projet'!$E$14+1,1))</f>
        <v>91.053246648097399</v>
      </c>
      <c r="DU50" s="59">
        <f t="shared" si="44"/>
        <v>64.716270355703955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>
        <f>EXP(-LN(2)/35)*EA49+(1-EXP(-LN(2)/35))/(LN(2)/35)*DW50*DX50*VLOOKUP('Données projet'!$B$14,Paramètres!$A$1:$I$89,3,0)*0.475*44/12</f>
        <v>0</v>
      </c>
      <c r="EB50" s="21">
        <f>EXP(-LN(2)/25)*EB49+(1-EXP(-LN(2)/25))/(LN(2)/25)*Calculateur!DW50*Calculateur!DY50*VLOOKUP('Données projet'!$B$14,Paramètres!$A$1:$I$89,3,0)*0.475*44/12</f>
        <v>0</v>
      </c>
      <c r="EC50" s="21">
        <f>EXP(-LN(2)/2)*EC49+(1-EXP(-LN(2)/2))/(LN(2)/2)*DW50*DZ50*VLOOKUP('Données projet'!$B$14,Paramètres!$A$1:$I$89,3,0)*0.475*44/12</f>
        <v>0</v>
      </c>
      <c r="ED50" s="22">
        <f t="shared" si="18"/>
        <v>0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18.899999999999999</v>
      </c>
      <c r="EJ50" s="12">
        <f>IF('Données projet'!$A$192&gt;35,EJ49+EI50-ER49,IF(A50&lt;'Données projet'!$A$192,$EG$205^A50,IF(A50='Données projet'!$A$192,'Données projet'!$B$192,EJ49+EI50-ER49)))</f>
        <v>378.29999999999978</v>
      </c>
      <c r="EK50" s="17">
        <f>EJ50*VLOOKUP('Données projet'!$B$15,Paramètres!$A$1:$I$89,3,0)*VLOOKUP('Données projet'!$B$15,Paramètres!$A$1:$I$89,5,0)</f>
        <v>226.22339999999988</v>
      </c>
      <c r="EL50" s="13">
        <f t="shared" si="45"/>
        <v>55.465307135389509</v>
      </c>
      <c r="EM50" s="20">
        <f t="shared" si="19"/>
        <v>490.60783159413654</v>
      </c>
      <c r="EN50" s="59">
        <f t="shared" si="20"/>
        <v>783.9411649274698</v>
      </c>
      <c r="EO50" s="59">
        <f ca="1">AVERAGE(OFFSET($EN$3,0,0,'Données projet'!$E$15+1,1))-AVERAGE(OFFSET($H$3,0,0,'Données projet'!$E$15+1,1))</f>
        <v>316.58509520829671</v>
      </c>
      <c r="EP50" s="59">
        <f t="shared" si="46"/>
        <v>240.71332110643596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>
        <f>EXP(-LN(2)/35)*EV49+(1-EXP(-LN(2)/35))/(LN(2)/35)*ER50*ES50*VLOOKUP('Données projet'!$B$15,Paramètres!$A$1:$I$89,3,0)*0.475*44/12</f>
        <v>1.8100302523057474</v>
      </c>
      <c r="EW50" s="21">
        <f>EXP(-LN(2)/25)*EW49+(1-EXP(-LN(2)/25))/(LN(2)/25)*Calculateur!ER50*Calculateur!ET50*VLOOKUP('Données projet'!$B$15,Paramètres!$A$1:$I$89,3,0)*0.475*44/12</f>
        <v>9.5297096718553043</v>
      </c>
      <c r="EX50" s="21">
        <f>EXP(-LN(2)/2)*EX49+(1-EXP(-LN(2)/2))/(LN(2)/2)*ER50*EU50*VLOOKUP('Données projet'!$B$15,Paramètres!$A$1:$I$89,3,0)*0.475*44/12</f>
        <v>6.0599446326854128E-2</v>
      </c>
      <c r="EY50" s="22">
        <f t="shared" si="21"/>
        <v>11.400339370487906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16.2</v>
      </c>
      <c r="FE50" s="12">
        <f>IF('Données projet'!$A$218&gt;35,FE49+FD50-FM49,IF(A50&lt;'Données projet'!$A$218,$FB$205^A50,IF(A50='Données projet'!$A$218,'Données projet'!$B$218,FE49+FD50-FM49)))</f>
        <v>331.39999999999986</v>
      </c>
      <c r="FF50" s="17">
        <f>FE50*VLOOKUP('Données projet'!$B$16,Paramètres!$A$1:$I$89,3,0)*VLOOKUP('Données projet'!$B$16,Paramètres!$A$1:$I$89,5,0)</f>
        <v>198.17719999999991</v>
      </c>
      <c r="FG50" s="13">
        <f t="shared" si="47"/>
        <v>49.343358241667282</v>
      </c>
      <c r="FH50" s="20">
        <f t="shared" si="22"/>
        <v>431.09830560423705</v>
      </c>
      <c r="FI50" s="59">
        <f t="shared" si="23"/>
        <v>724.43163893757037</v>
      </c>
      <c r="FJ50" s="59">
        <f ca="1">AVERAGE(OFFSET($FI$3,0,0,'Données projet'!$E$16+1,1))-AVERAGE(OFFSET($H$3,0,0,'Données projet'!$E$16+1,1))</f>
        <v>270.30888762640245</v>
      </c>
      <c r="FK50" s="59">
        <f t="shared" si="48"/>
        <v>202.23783851977691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>
        <f>EXP(-LN(2)/35)*FQ49+(1-EXP(-LN(2)/35))/(LN(2)/35)*FM50*FN50*VLOOKUP('Données projet'!$B$16,Paramètres!$A$1:$I$89,3,0)*0.475*44/12</f>
        <v>1.5296030301175323</v>
      </c>
      <c r="FR50" s="21">
        <f>EXP(-LN(2)/25)*FR49+(1-EXP(-LN(2)/25))/(LN(2)/25)*Calculateur!FM50*Calculateur!FO50*VLOOKUP('Données projet'!$B$16,Paramètres!$A$1:$I$89,3,0)*0.475*44/12</f>
        <v>7.6742419832564313</v>
      </c>
      <c r="FS50" s="21">
        <f>EXP(-LN(2)/2)*FS49+(1-EXP(-LN(2)/2))/(LN(2)/2)*FM50*FP50*VLOOKUP('Données projet'!$B$16,Paramètres!$A$1:$I$89,3,0)*0.475*44/12</f>
        <v>5.1079097395766673E-2</v>
      </c>
      <c r="FT50" s="22">
        <f t="shared" si="24"/>
        <v>9.254924110769732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9.1999999999999993</v>
      </c>
      <c r="FZ50" s="12">
        <f>IF('Données projet'!$A$244&gt;35,FZ49+FY50-GH49,IF(A50&lt;'Données projet'!$A$244,$FW$205^A50,IF(A50='Données projet'!$A$244,'Données projet'!$B$244,FZ49+FY50-GH49)))</f>
        <v>257.39999999999986</v>
      </c>
      <c r="GA50" s="17">
        <f>FZ50*VLOOKUP('Données projet'!$B$17,Paramètres!$A$1:$I$89,3,0)*VLOOKUP('Données projet'!$B$17,Paramètres!$A$1:$I$89,5,0)</f>
        <v>204.78743999999992</v>
      </c>
      <c r="GB50" s="13">
        <f t="shared" si="49"/>
        <v>50.794849254094281</v>
      </c>
      <c r="GC50" s="20">
        <f t="shared" si="25"/>
        <v>445.1391537842141</v>
      </c>
      <c r="GD50" s="59">
        <f t="shared" si="26"/>
        <v>738.47248711754742</v>
      </c>
      <c r="GE50" s="59">
        <f ca="1">AVERAGE(OFFSET($GD$3,0,0,'Données projet'!$E$17+1,1))-AVERAGE(OFFSET($H$3,0,0,'Données projet'!$E$17+1,1))</f>
        <v>260.20517190557814</v>
      </c>
      <c r="GF50" s="59">
        <f t="shared" si="50"/>
        <v>307.22009971147133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>
        <f>EXP(-LN(2)/35)*GL49+(1-EXP(-LN(2)/35))/(LN(2)/35)*GH50*GI50*VLOOKUP('Données projet'!$B$17,Paramètres!$A$1:$I$89,3,0)*0.475*44/12</f>
        <v>2.3302430702780872</v>
      </c>
      <c r="GM50" s="21">
        <f>EXP(-LN(2)/25)*GM49+(1-EXP(-LN(2)/25))/(LN(2)/25)*Calculateur!GH50*Calculateur!GJ50*VLOOKUP('Données projet'!$B$17,Paramètres!$A$1:$I$89,3,0)*0.475*44/12</f>
        <v>12.807623466344426</v>
      </c>
      <c r="GN50" s="21">
        <f>EXP(-LN(2)/2)*GN49+(1-EXP(-LN(2)/2))/(LN(2)/2)*GH50*GK50*VLOOKUP('Données projet'!$B$17,Paramètres!$A$1:$I$89,3,0)*0.475*44/12</f>
        <v>6.639907864570456E-2</v>
      </c>
      <c r="GO50" s="21">
        <f t="shared" si="27"/>
        <v>15.204265615268216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7.7</v>
      </c>
      <c r="GU50" s="12">
        <f>IF('Données projet'!$A$270&gt;35,GU49+GT50-HC49,IF(A50&lt;'Données projet'!$A$270,$GR$205^A50,IF(A50='Données projet'!$A$270,'Données projet'!$B$270,GU49+GT50-HC49)))</f>
        <v>217.89999999999978</v>
      </c>
      <c r="GV50" s="17">
        <f>GU50*VLOOKUP('Données projet'!$B$18,Paramètres!$A$1:$I$89,3,0)*VLOOKUP('Données projet'!$B$18,Paramètres!$A$1:$I$89,5,0)</f>
        <v>173.36123999999984</v>
      </c>
      <c r="GW50" s="13">
        <f t="shared" si="51"/>
        <v>43.841969562839758</v>
      </c>
      <c r="GX50" s="20">
        <f t="shared" si="28"/>
        <v>378.29558998861233</v>
      </c>
      <c r="GY50" s="59">
        <f t="shared" si="29"/>
        <v>671.62892332194565</v>
      </c>
      <c r="GZ50" s="59">
        <f ca="1">AVERAGE(OFFSET($GY$3,0,0,'Données projet'!$E$18+1,1))-AVERAGE(OFFSET($H$3,0,0,'Données projet'!$E$18+1,1))</f>
        <v>199.58763537752952</v>
      </c>
      <c r="HA50" s="59">
        <f t="shared" si="52"/>
        <v>242.62852778451929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>
        <f>EXP(-LN(2)/35)*HG49+(1-EXP(-LN(2)/35))/(LN(2)/35)*HC50*HD50*VLOOKUP('Données projet'!$B$18,Paramètres!$A$1:$I$89,3,0)*0.475*44/12</f>
        <v>0</v>
      </c>
      <c r="HH50" s="21">
        <f>EXP(-LN(2)/25)*HH49+(1-EXP(-LN(2)/25))/(LN(2)/25)*Calculateur!HC50*Calculateur!HE50*VLOOKUP('Données projet'!$B$18,Paramètres!$A$1:$I$89,3,0)*0.475*44/12</f>
        <v>6.4182768302016076</v>
      </c>
      <c r="HI50" s="21">
        <f>EXP(-LN(2)/2)*HI49+(1-EXP(-LN(2)/2))/(LN(2)/2)*HC50*HF50*VLOOKUP('Données projet'!$B$18,Paramètres!$A$1:$I$89,3,0)*0.475*44/12</f>
        <v>2.9724886390550872E-2</v>
      </c>
      <c r="HJ50" s="22">
        <f t="shared" si="30"/>
        <v>6.4480017165921586</v>
      </c>
    </row>
    <row r="51" spans="1:218" x14ac:dyDescent="0.2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42.681600000000017</v>
      </c>
      <c r="D51" s="11">
        <f t="shared" si="32"/>
        <v>12.706698925204435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427.55879872087644</v>
      </c>
      <c r="H51" s="67">
        <f t="shared" si="1"/>
        <v>389.80128729473108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>
        <f>VLOOKUP(A51,'Données projet'!$A$35:$I$55,2,0)</f>
        <v>525.0846153846154</v>
      </c>
      <c r="L51" s="12">
        <f>VLOOKUP(A51,'Données projet'!$A$35:$I$55,9,0)</f>
        <v>21.625641025641027</v>
      </c>
      <c r="M51" s="12">
        <f t="array" ref="M51">INDEX(L:L,MIN(IF(ISNUMBER(L51:L247),ROW(L51:L247),"")))</f>
        <v>21.625641025641027</v>
      </c>
      <c r="N51" s="13">
        <f>IF('Données projet'!$A$36&gt;35,N50+M51-V50,IF(A51&lt;'Données projet'!$A$36,$K$205^A51,IF(A51='Données projet'!$A$36,'Données projet'!$B$36,N50+M51-V50)))</f>
        <v>525.08461538461518</v>
      </c>
      <c r="O51" s="13">
        <f>N51*VLOOKUP('Données projet'!$B$9,Paramètres!$A$1:$I$89,3,0)*VLOOKUP('Données projet'!$B$9,Paramètres!$A$1:$I$89,5,0)</f>
        <v>293.52229999999986</v>
      </c>
      <c r="P51" s="13">
        <f t="shared" si="33"/>
        <v>69.816768342057628</v>
      </c>
      <c r="Q51" s="20">
        <f t="shared" si="53"/>
        <v>632.81554402908341</v>
      </c>
      <c r="R51" s="59">
        <f t="shared" si="0"/>
        <v>926.14887736241667</v>
      </c>
      <c r="S51" s="59">
        <f ca="1">AVERAGE(OFFSET($R$3,0,0,'Données projet'!$E$9+1,1))-AVERAGE(OFFSET($H$3,0,0,'Données projet'!$E$9+1,1))</f>
        <v>255.5374979188561</v>
      </c>
      <c r="T51" s="59">
        <f t="shared" si="34"/>
        <v>343.10418468620901</v>
      </c>
      <c r="U51" s="15">
        <f>IF(ISNA(VLOOKUP(A51,'Données projet'!$A$35:$I$55,3,0)),0,VLOOKUP(A51,'Données projet'!$A$35:$I$55,3,0))</f>
        <v>6</v>
      </c>
      <c r="V51" s="15">
        <f>IF(ISNA(VLOOKUP(A51,'Données projet'!$A$35:$I$55,4,0)),0,VLOOKUP(A51,'Données projet'!$A$35:$I$55,4,0))</f>
        <v>81.330769230769235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2.1634596213098334</v>
      </c>
      <c r="AA51" s="21">
        <f>EXP(-LN(2)/25)*AA50+(1-EXP(-LN(2)/25))/(LN(2)/25)*Calculateur!V51*Calculateur!X51*VLOOKUP('Données projet'!$B$9,Paramètres!$A$1:$I$89,3,0)*0.475*44/12</f>
        <v>9.6894324947953798</v>
      </c>
      <c r="AB51" s="21">
        <f>EXP(-LN(2)/2)*AB50+(1-EXP(-LN(2)/2))/(LN(2)/2)*V51*Y51*VLOOKUP('Données projet'!$B$9,Paramètres!$A$1:$I$89,3,0)*0.475*44/12</f>
        <v>3.3059610926837227E-3</v>
      </c>
      <c r="AC51" s="22">
        <f t="shared" si="3"/>
        <v>11.856198077197897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17.519780219780223</v>
      </c>
      <c r="AI51" s="13">
        <f>IF('Données projet'!$A$62&gt;35,AI50+AH51-AQ50,IF(A51&lt;'Données projet'!$A$62,$AF$205^A51,IF(A51='Données projet'!$A$62,'Données projet'!$B$62,AI50+AH51-AQ50)))</f>
        <v>387.04945054945063</v>
      </c>
      <c r="AJ51" s="13">
        <f>AI51*VLOOKUP('Données projet'!$B$10,Paramètres!$A$1:$I$89,3,0)*VLOOKUP('Données projet'!$B$10,Paramètres!$A$1:$I$89,5,0)</f>
        <v>216.36064285714289</v>
      </c>
      <c r="AK51" s="13">
        <f t="shared" si="35"/>
        <v>53.323123145592824</v>
      </c>
      <c r="AL51" s="20">
        <f t="shared" si="4"/>
        <v>469.69922578809798</v>
      </c>
      <c r="AM51" s="59">
        <f t="shared" si="5"/>
        <v>763.03255912143129</v>
      </c>
      <c r="AN51" s="59">
        <f ca="1">AVERAGE(OFFSET($AM$3,0,0,'Données projet'!$E$10+1,1))-AVERAGE(OFFSET($H$3,0,0,'Données projet'!$E$10+1,1))</f>
        <v>224.7049802939942</v>
      </c>
      <c r="AO51" s="59">
        <f t="shared" si="36"/>
        <v>203.48513862195352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1.5621235814568439</v>
      </c>
      <c r="AV51" s="21">
        <f>EXP(-LN(2)/25)*AV50+(1-EXP(-LN(2)/25))/(LN(2)/25)*Calculateur!AQ51*Calculateur!AS51*VLOOKUP('Données projet'!$B$10,Paramètres!$A$1:$I$89,3,0)*0.475*44/12</f>
        <v>11.853290728022435</v>
      </c>
      <c r="AW51" s="21">
        <f>EXP(-LN(2)/2)*AW50+(1-EXP(-LN(2)/2))/(LN(2)/2)*AQ51*AT51*VLOOKUP('Données projet'!$B$10,Paramètres!$A$1:$I$89,3,0)*0.475*44/12</f>
        <v>1.7501196466968759E-2</v>
      </c>
      <c r="AX51" s="21">
        <f t="shared" si="6"/>
        <v>13.432915505946246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11.5</v>
      </c>
      <c r="BD51" s="12">
        <f>IF('Données projet'!$A$88&gt;35,BD50+BC51-BL50,IF(A51&lt;'Données projet'!$A$88,$BA$205^A51,IF(A51='Données projet'!$A$88,'Données projet'!$B$88,BD50+BC51-BL50)))</f>
        <v>326.00000000000011</v>
      </c>
      <c r="BE51" s="13">
        <f>BD51*VLOOKUP('Données projet'!$B$11,Paramètres!$A$1:$I$89,3,0)*VLOOKUP('Données projet'!$B$11,Paramètres!$A$1:$I$89,5,0)</f>
        <v>177.99600000000007</v>
      </c>
      <c r="BF51" s="13">
        <f t="shared" si="37"/>
        <v>44.876042989096391</v>
      </c>
      <c r="BG51" s="20">
        <f t="shared" si="7"/>
        <v>388.1688082060096</v>
      </c>
      <c r="BH51" s="59">
        <f t="shared" si="8"/>
        <v>681.50214153934292</v>
      </c>
      <c r="BI51" s="59">
        <f ca="1">AVERAGE(OFFSET($BH$3,0,0,'Données projet'!$E$11+1,1))-AVERAGE(OFFSET($H$3,0,0,'Données projet'!$E$11+1,1))</f>
        <v>210.04871822652808</v>
      </c>
      <c r="BJ51" s="59">
        <f t="shared" si="38"/>
        <v>250.17540614049324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5.1117087955109568</v>
      </c>
      <c r="BQ51" s="21">
        <f>EXP(-LN(2)/25)*BQ50+(1-EXP(-LN(2)/25))/(LN(2)/25)*Calculateur!BL51*Calculateur!BN51*VLOOKUP('Données projet'!$B$11,Paramètres!$A$1:$I$89,3,0)*0.475*44/12</f>
        <v>16.895955031473846</v>
      </c>
      <c r="BR51" s="21">
        <f>EXP(-LN(2)/2)*BR50+(1-EXP(-LN(2)/2))/(LN(2)/2)*BL51*BO51*VLOOKUP('Données projet'!$B$11,Paramètres!$A$1:$I$89,3,0)*0.475*44/12</f>
        <v>4.2097438940139939E-2</v>
      </c>
      <c r="BS51" s="22">
        <f t="shared" si="9"/>
        <v>22.049761265924943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9.9</v>
      </c>
      <c r="BY51" s="12">
        <f>IF('Données projet'!$A$114&gt;35,BY50+BX51-CG50,IF(A51&lt;'Données projet'!$A$114,$BV$205^A51,IF(A51='Données projet'!$A$114,'Données projet'!$B$114,BY50+BX51-CG50)))</f>
        <v>282.19999999999993</v>
      </c>
      <c r="BZ51" s="13">
        <f>BY51*VLOOKUP('Données projet'!$B$12,Paramètres!$A$1:$I$89,3,0)*VLOOKUP('Données projet'!$B$12,Paramètres!$A$1:$I$89,5,0)</f>
        <v>154.08119999999997</v>
      </c>
      <c r="CA51" s="13">
        <f t="shared" si="39"/>
        <v>39.504598975531827</v>
      </c>
      <c r="CB51" s="20">
        <f t="shared" si="10"/>
        <v>337.16193321571785</v>
      </c>
      <c r="CC51" s="59">
        <f t="shared" si="11"/>
        <v>630.49526654905117</v>
      </c>
      <c r="CD51" s="59">
        <f ca="1">AVERAGE(OFFSET($CC$3,0,0,'Données projet'!$E$12+1,1))-AVERAGE(OFFSET($H$3,0,0,'Données projet'!$E$12+1,1))</f>
        <v>168.72306536277267</v>
      </c>
      <c r="CE51" s="59">
        <f t="shared" si="40"/>
        <v>203.35476578922339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2.129878664796232</v>
      </c>
      <c r="CL51" s="21">
        <f>EXP(-LN(2)/25)*CL50+(1-EXP(-LN(2)/25))/(LN(2)/25)*Calculateur!CG51*Calculateur!CI51*VLOOKUP('Données projet'!$B$12,Paramètres!$A$1:$I$89,3,0)*0.475*44/12</f>
        <v>13.954147789667111</v>
      </c>
      <c r="CM51" s="21">
        <f>EXP(-LN(2)/2)*CM50+(1-EXP(-LN(2)/2))/(LN(2)/2)*CG51*CJ51*VLOOKUP('Données projet'!$B$12,Paramètres!$A$1:$I$89,3,0)*0.475*44/12</f>
        <v>3.9109075433768084E-2</v>
      </c>
      <c r="CN51" s="22">
        <f t="shared" si="12"/>
        <v>16.123135529897109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11.538461538461542</v>
      </c>
      <c r="CT51" s="12">
        <f>IF('Données projet'!$A$140&gt;35,CT50+CS51-DB50,IF(A51&lt;'Données projet'!$A$140,$CQ$205^A51,IF(A51='Données projet'!$A$140,'Données projet'!$B$140,CT50+CS51-DB50)))</f>
        <v>248.46153846153865</v>
      </c>
      <c r="CU51" s="17">
        <f>CT51*VLOOKUP('Données projet'!$B$13,Paramètres!$A$1:$I$89,3,0)*VLOOKUP('Données projet'!$B$13,Paramètres!$A$1:$I$89,5,0)</f>
        <v>119.51000000000009</v>
      </c>
      <c r="CV51" s="13">
        <f t="shared" si="41"/>
        <v>31.560687639776486</v>
      </c>
      <c r="CW51" s="20">
        <f t="shared" si="13"/>
        <v>263.11478097261084</v>
      </c>
      <c r="CX51" s="59">
        <f t="shared" si="14"/>
        <v>556.44811430594416</v>
      </c>
      <c r="CY51" s="59">
        <f ca="1">AVERAGE(OFFSET($CX$3,0,0,'Données projet'!$E$13+1,1))-AVERAGE(OFFSET($H$3,0,0,'Données projet'!$E$13+1,1))</f>
        <v>304.15237106473313</v>
      </c>
      <c r="CZ51" s="59">
        <f t="shared" si="42"/>
        <v>120.85458928724336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>
        <f>EXP(-LN(2)/35)*DF50+(1-EXP(-LN(2)/35))/(LN(2)/35)*DB51*DC51*VLOOKUP('Données projet'!$B$13,Paramètres!$A$1:$I$89,3,0)*0.475*44/12</f>
        <v>0</v>
      </c>
      <c r="DG51" s="21">
        <f>EXP(-LN(2)/25)*DG50+(1-EXP(-LN(2)/25))/(LN(2)/25)*Calculateur!DB51*Calculateur!DD51*VLOOKUP('Données projet'!$B$13,Paramètres!$A$1:$I$89,3,0)*0.475*44/12</f>
        <v>0</v>
      </c>
      <c r="DH51" s="21">
        <f>EXP(-LN(2)/2)*DH50+(1-EXP(-LN(2)/2))/(LN(2)/2)*DB51*DE51*VLOOKUP('Données projet'!$B$13,Paramètres!$A$1:$I$89,3,0)*0.475*44/12</f>
        <v>0</v>
      </c>
      <c r="DI51" s="22">
        <f t="shared" si="15"/>
        <v>0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6.8461538461538449</v>
      </c>
      <c r="DO51" s="12">
        <f>IF('Données projet'!$A$166&gt;35,DO50+DN51-DW50,IF(A51&lt;'Données projet'!$A$166,$DL$205^A51,IF(A51='Données projet'!$A$166,'Données projet'!$B$166,DO50+DN51-DW50)))</f>
        <v>159.38461538461539</v>
      </c>
      <c r="DP51" s="17">
        <f>DO51*VLOOKUP('Données projet'!$B$14,Paramètres!$A$1:$I$89,3,0)*VLOOKUP('Données projet'!$B$14,Paramètres!$A$1:$I$89,5,0)</f>
        <v>76.664000000000001</v>
      </c>
      <c r="DQ51" s="13">
        <f t="shared" si="43"/>
        <v>21.319503790283303</v>
      </c>
      <c r="DR51" s="20">
        <f t="shared" si="16"/>
        <v>170.65460243474342</v>
      </c>
      <c r="DS51" s="59">
        <f t="shared" si="17"/>
        <v>463.98793576807674</v>
      </c>
      <c r="DT51" s="59">
        <f ca="1">AVERAGE(OFFSET($DS$3,0,0,'Données projet'!$E$14+1,1))-AVERAGE(OFFSET($H$3,0,0,'Données projet'!$E$14+1,1))</f>
        <v>91.053246648097399</v>
      </c>
      <c r="DU51" s="59">
        <f t="shared" si="44"/>
        <v>64.716270355703955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>
        <f>EXP(-LN(2)/35)*EA50+(1-EXP(-LN(2)/35))/(LN(2)/35)*DW51*DX51*VLOOKUP('Données projet'!$B$14,Paramètres!$A$1:$I$89,3,0)*0.475*44/12</f>
        <v>0</v>
      </c>
      <c r="EB51" s="21">
        <f>EXP(-LN(2)/25)*EB50+(1-EXP(-LN(2)/25))/(LN(2)/25)*Calculateur!DW51*Calculateur!DY51*VLOOKUP('Données projet'!$B$14,Paramètres!$A$1:$I$89,3,0)*0.475*44/12</f>
        <v>0</v>
      </c>
      <c r="EC51" s="21">
        <f>EXP(-LN(2)/2)*EC50+(1-EXP(-LN(2)/2))/(LN(2)/2)*DW51*DZ51*VLOOKUP('Données projet'!$B$14,Paramètres!$A$1:$I$89,3,0)*0.475*44/12</f>
        <v>0</v>
      </c>
      <c r="ED51" s="22">
        <f t="shared" si="18"/>
        <v>0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18.899999999999999</v>
      </c>
      <c r="EJ51" s="12">
        <f>IF('Données projet'!$A$192&gt;35,EJ50+EI51-ER50,IF(A51&lt;'Données projet'!$A$192,$EG$205^A51,IF(A51='Données projet'!$A$192,'Données projet'!$B$192,EJ50+EI51-ER50)))</f>
        <v>397.19999999999976</v>
      </c>
      <c r="EK51" s="17">
        <f>EJ51*VLOOKUP('Données projet'!$B$15,Paramètres!$A$1:$I$89,3,0)*VLOOKUP('Données projet'!$B$15,Paramètres!$A$1:$I$89,5,0)</f>
        <v>237.52559999999988</v>
      </c>
      <c r="EL51" s="13">
        <f t="shared" si="45"/>
        <v>57.906830586193067</v>
      </c>
      <c r="EM51" s="20">
        <f t="shared" si="19"/>
        <v>514.54481660428598</v>
      </c>
      <c r="EN51" s="59">
        <f t="shared" si="20"/>
        <v>807.87814993761936</v>
      </c>
      <c r="EO51" s="59">
        <f ca="1">AVERAGE(OFFSET($EN$3,0,0,'Données projet'!$E$15+1,1))-AVERAGE(OFFSET($H$3,0,0,'Données projet'!$E$15+1,1))</f>
        <v>316.58509520829671</v>
      </c>
      <c r="EP51" s="59">
        <f t="shared" si="46"/>
        <v>240.71332110643596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>
        <f>EXP(-LN(2)/35)*EV50+(1-EXP(-LN(2)/35))/(LN(2)/35)*ER51*ES51*VLOOKUP('Données projet'!$B$15,Paramètres!$A$1:$I$89,3,0)*0.475*44/12</f>
        <v>1.7745366630674737</v>
      </c>
      <c r="EW51" s="21">
        <f>EXP(-LN(2)/25)*EW50+(1-EXP(-LN(2)/25))/(LN(2)/25)*Calculateur!ER51*Calculateur!ET51*VLOOKUP('Données projet'!$B$15,Paramètres!$A$1:$I$89,3,0)*0.475*44/12</f>
        <v>9.2691192597327703</v>
      </c>
      <c r="EX51" s="21">
        <f>EXP(-LN(2)/2)*EX50+(1-EXP(-LN(2)/2))/(LN(2)/2)*ER51*EU51*VLOOKUP('Données projet'!$B$15,Paramètres!$A$1:$I$89,3,0)*0.475*44/12</f>
        <v>4.2850279433868779E-2</v>
      </c>
      <c r="EY51" s="22">
        <f t="shared" si="21"/>
        <v>11.086506202234114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16.2</v>
      </c>
      <c r="FE51" s="12">
        <f>IF('Données projet'!$A$218&gt;35,FE50+FD51-FM50,IF(A51&lt;'Données projet'!$A$218,$FB$205^A51,IF(A51='Données projet'!$A$218,'Données projet'!$B$218,FE50+FD51-FM50)))</f>
        <v>347.59999999999985</v>
      </c>
      <c r="FF51" s="17">
        <f>FE51*VLOOKUP('Données projet'!$B$16,Paramètres!$A$1:$I$89,3,0)*VLOOKUP('Données projet'!$B$16,Paramètres!$A$1:$I$89,5,0)</f>
        <v>207.86479999999992</v>
      </c>
      <c r="FG51" s="13">
        <f t="shared" si="47"/>
        <v>51.468713616997725</v>
      </c>
      <c r="FH51" s="20">
        <f t="shared" si="22"/>
        <v>451.67253621627088</v>
      </c>
      <c r="FI51" s="59">
        <f t="shared" si="23"/>
        <v>745.0058695496042</v>
      </c>
      <c r="FJ51" s="59">
        <f ca="1">AVERAGE(OFFSET($FI$3,0,0,'Données projet'!$E$16+1,1))-AVERAGE(OFFSET($H$3,0,0,'Données projet'!$E$16+1,1))</f>
        <v>270.30888762640245</v>
      </c>
      <c r="FK51" s="59">
        <f t="shared" si="48"/>
        <v>202.23783851977691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>
        <f>EXP(-LN(2)/35)*FQ50+(1-EXP(-LN(2)/35))/(LN(2)/35)*FM51*FN51*VLOOKUP('Données projet'!$B$16,Paramètres!$A$1:$I$89,3,0)*0.475*44/12</f>
        <v>1.4996084476626532</v>
      </c>
      <c r="FR51" s="21">
        <f>EXP(-LN(2)/25)*FR50+(1-EXP(-LN(2)/25))/(LN(2)/25)*Calculateur!FM51*Calculateur!FO51*VLOOKUP('Données projet'!$B$16,Paramètres!$A$1:$I$89,3,0)*0.475*44/12</f>
        <v>7.4643894326534381</v>
      </c>
      <c r="FS51" s="21">
        <f>EXP(-LN(2)/2)*FS50+(1-EXP(-LN(2)/2))/(LN(2)/2)*FM51*FP51*VLOOKUP('Données projet'!$B$16,Paramètres!$A$1:$I$89,3,0)*0.475*44/12</f>
        <v>3.6118376145434734E-2</v>
      </c>
      <c r="FT51" s="22">
        <f t="shared" si="24"/>
        <v>9.000116256461526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9.1999999999999993</v>
      </c>
      <c r="FZ51" s="12">
        <f>IF('Données projet'!$A$244&gt;35,FZ50+FY51-GH50,IF(A51&lt;'Données projet'!$A$244,$FW$205^A51,IF(A51='Données projet'!$A$244,'Données projet'!$B$244,FZ50+FY51-GH50)))</f>
        <v>266.59999999999985</v>
      </c>
      <c r="GA51" s="17">
        <f>FZ51*VLOOKUP('Données projet'!$B$17,Paramètres!$A$1:$I$89,3,0)*VLOOKUP('Données projet'!$B$17,Paramètres!$A$1:$I$89,5,0)</f>
        <v>212.10695999999987</v>
      </c>
      <c r="GB51" s="13">
        <f t="shared" si="49"/>
        <v>52.395741612408194</v>
      </c>
      <c r="GC51" s="20">
        <f t="shared" si="25"/>
        <v>460.67553864161073</v>
      </c>
      <c r="GD51" s="59">
        <f t="shared" si="26"/>
        <v>754.00887197494399</v>
      </c>
      <c r="GE51" s="59">
        <f ca="1">AVERAGE(OFFSET($GD$3,0,0,'Données projet'!$E$17+1,1))-AVERAGE(OFFSET($H$3,0,0,'Données projet'!$E$17+1,1))</f>
        <v>260.20517190557814</v>
      </c>
      <c r="GF51" s="59">
        <f t="shared" si="50"/>
        <v>307.22009971147133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>
        <f>EXP(-LN(2)/35)*GL50+(1-EXP(-LN(2)/35))/(LN(2)/35)*GH51*GI51*VLOOKUP('Données projet'!$B$17,Paramètres!$A$1:$I$89,3,0)*0.475*44/12</f>
        <v>2.2845484249778645</v>
      </c>
      <c r="GM51" s="21">
        <f>EXP(-LN(2)/25)*GM50+(1-EXP(-LN(2)/25))/(LN(2)/25)*Calculateur!GH51*Calculateur!GJ51*VLOOKUP('Données projet'!$B$17,Paramètres!$A$1:$I$89,3,0)*0.475*44/12</f>
        <v>12.457398329133591</v>
      </c>
      <c r="GN51" s="21">
        <f>EXP(-LN(2)/2)*GN50+(1-EXP(-LN(2)/2))/(LN(2)/2)*GH51*GK51*VLOOKUP('Données projet'!$B$17,Paramètres!$A$1:$I$89,3,0)*0.475*44/12</f>
        <v>4.6951238774916575E-2</v>
      </c>
      <c r="GO51" s="21">
        <f t="shared" si="27"/>
        <v>14.788897992886373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7.7</v>
      </c>
      <c r="GU51" s="12">
        <f>IF('Données projet'!$A$270&gt;35,GU50+GT51-HC50,IF(A51&lt;'Données projet'!$A$270,$GR$205^A51,IF(A51='Données projet'!$A$270,'Données projet'!$B$270,GU50+GT51-HC50)))</f>
        <v>225.59999999999977</v>
      </c>
      <c r="GV51" s="17">
        <f>GU51*VLOOKUP('Données projet'!$B$18,Paramètres!$A$1:$I$89,3,0)*VLOOKUP('Données projet'!$B$18,Paramètres!$A$1:$I$89,5,0)</f>
        <v>179.48735999999982</v>
      </c>
      <c r="GW51" s="13">
        <f t="shared" si="51"/>
        <v>45.208114286641525</v>
      </c>
      <c r="GX51" s="20">
        <f t="shared" si="28"/>
        <v>391.34461771590031</v>
      </c>
      <c r="GY51" s="59">
        <f t="shared" si="29"/>
        <v>684.67795104923357</v>
      </c>
      <c r="GZ51" s="59">
        <f ca="1">AVERAGE(OFFSET($GY$3,0,0,'Données projet'!$E$18+1,1))-AVERAGE(OFFSET($H$3,0,0,'Données projet'!$E$18+1,1))</f>
        <v>199.58763537752952</v>
      </c>
      <c r="HA51" s="59">
        <f t="shared" si="52"/>
        <v>242.62852778451929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>
        <f>EXP(-LN(2)/35)*HG50+(1-EXP(-LN(2)/35))/(LN(2)/35)*HC51*HD51*VLOOKUP('Données projet'!$B$18,Paramètres!$A$1:$I$89,3,0)*0.475*44/12</f>
        <v>0</v>
      </c>
      <c r="HH51" s="21">
        <f>EXP(-LN(2)/25)*HH50+(1-EXP(-LN(2)/25))/(LN(2)/25)*Calculateur!HC51*Calculateur!HE51*VLOOKUP('Données projet'!$B$18,Paramètres!$A$1:$I$89,3,0)*0.475*44/12</f>
        <v>6.2427687127572353</v>
      </c>
      <c r="HI51" s="21">
        <f>EXP(-LN(2)/2)*HI50+(1-EXP(-LN(2)/2))/(LN(2)/2)*HC51*HF51*VLOOKUP('Données projet'!$B$18,Paramètres!$A$1:$I$89,3,0)*0.475*44/12</f>
        <v>2.1018668736758242E-2</v>
      </c>
      <c r="HJ51" s="22">
        <f t="shared" si="30"/>
        <v>6.2637873814939935</v>
      </c>
    </row>
    <row r="52" spans="1:218" x14ac:dyDescent="0.2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43.57080000000002</v>
      </c>
      <c r="D52" s="11">
        <f t="shared" si="32"/>
        <v>12.940326634618209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436.22624068828105</v>
      </c>
      <c r="H52" s="67">
        <f t="shared" si="1"/>
        <v>391.75687888862672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20.507692307692299</v>
      </c>
      <c r="N52" s="13">
        <f>IF('Données projet'!$A$36&gt;35,N51+M52-V51,IF(A52&lt;'Données projet'!$A$36,$K$205^A52,IF(A52='Données projet'!$A$36,'Données projet'!$B$36,N51+M52-V51)))</f>
        <v>464.26153846153824</v>
      </c>
      <c r="O52" s="13">
        <f>N52*VLOOKUP('Données projet'!$B$9,Paramètres!$A$1:$I$89,3,0)*VLOOKUP('Données projet'!$B$9,Paramètres!$A$1:$I$89,5,0)</f>
        <v>259.52219999999988</v>
      </c>
      <c r="P52" s="13">
        <f t="shared" si="33"/>
        <v>62.620519404058868</v>
      </c>
      <c r="Q52" s="20">
        <f t="shared" si="53"/>
        <v>561.06523629540231</v>
      </c>
      <c r="R52" s="59">
        <f t="shared" si="0"/>
        <v>854.39856962873569</v>
      </c>
      <c r="S52" s="59">
        <f ca="1">AVERAGE(OFFSET($R$3,0,0,'Données projet'!$E$9+1,1))-AVERAGE(OFFSET($H$3,0,0,'Données projet'!$E$9+1,1))</f>
        <v>255.5374979188561</v>
      </c>
      <c r="T52" s="59">
        <f t="shared" si="34"/>
        <v>343.10418468620901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2.1210354977160186</v>
      </c>
      <c r="AA52" s="21">
        <f>EXP(-LN(2)/25)*AA51+(1-EXP(-LN(2)/25))/(LN(2)/25)*Calculateur!V52*Calculateur!X52*VLOOKUP('Données projet'!$B$9,Paramètres!$A$1:$I$89,3,0)*0.475*44/12</f>
        <v>9.4244744536800908</v>
      </c>
      <c r="AB52" s="21">
        <f>EXP(-LN(2)/2)*AB51+(1-EXP(-LN(2)/2))/(LN(2)/2)*V52*Y52*VLOOKUP('Données projet'!$B$9,Paramètres!$A$1:$I$89,3,0)*0.475*44/12</f>
        <v>2.3376675069755487E-3</v>
      </c>
      <c r="AC52" s="22">
        <f t="shared" si="3"/>
        <v>11.547847618903084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>
        <f>VLOOKUP(A52,'Données projet'!$A$61:$I$81,2,0)</f>
        <v>404.56923076923078</v>
      </c>
      <c r="AG52" s="12">
        <f>VLOOKUP(A52,'Données projet'!$A$61:$I$81,9,0)</f>
        <v>17.519780219780223</v>
      </c>
      <c r="AH52" s="12">
        <f t="array" ref="AH52">INDEX(AG:AG,MIN(IF(ISNUMBER(AG52:AG248),ROW(AG52:AG248),"")))</f>
        <v>17.519780219780223</v>
      </c>
      <c r="AI52" s="13">
        <f>IF('Données projet'!$A$62&gt;35,AI51+AH52-AQ51,IF(A52&lt;'Données projet'!$A$62,$AF$205^A52,IF(A52='Données projet'!$A$62,'Données projet'!$B$62,AI51+AH52-AQ51)))</f>
        <v>404.56923076923084</v>
      </c>
      <c r="AJ52" s="13">
        <f>AI52*VLOOKUP('Données projet'!$B$10,Paramètres!$A$1:$I$89,3,0)*VLOOKUP('Données projet'!$B$10,Paramètres!$A$1:$I$89,5,0)</f>
        <v>226.15420000000006</v>
      </c>
      <c r="AK52" s="13">
        <f t="shared" si="35"/>
        <v>55.450315347427065</v>
      </c>
      <c r="AL52" s="20">
        <f t="shared" si="4"/>
        <v>490.46119756343563</v>
      </c>
      <c r="AM52" s="59">
        <f t="shared" si="5"/>
        <v>783.79453089676895</v>
      </c>
      <c r="AN52" s="59">
        <f ca="1">AVERAGE(OFFSET($AM$3,0,0,'Données projet'!$E$10+1,1))-AVERAGE(OFFSET($H$3,0,0,'Données projet'!$E$10+1,1))</f>
        <v>224.7049802939942</v>
      </c>
      <c r="AO52" s="59">
        <f t="shared" si="36"/>
        <v>203.48513862195352</v>
      </c>
      <c r="AP52" s="15">
        <f>IF(ISNA(VLOOKUP(A52,'Données projet'!$A$61:$I$81,3,0)),0,VLOOKUP(A52,'Données projet'!$A$61:$I$81,3,0))</f>
        <v>5</v>
      </c>
      <c r="AQ52" s="15">
        <f>IF(ISNA(VLOOKUP(A52,'Données projet'!$A$61:$I$81,4,0)),0,VLOOKUP(A52,'Données projet'!$A$61:$I$81,4,0))</f>
        <v>90.453846153846158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1.5314912908257785</v>
      </c>
      <c r="AV52" s="21">
        <f>EXP(-LN(2)/25)*AV51+(1-EXP(-LN(2)/25))/(LN(2)/25)*Calculateur!AQ52*Calculateur!AS52*VLOOKUP('Données projet'!$B$10,Paramètres!$A$1:$I$89,3,0)*0.475*44/12</f>
        <v>11.529161869727194</v>
      </c>
      <c r="AW52" s="21">
        <f>EXP(-LN(2)/2)*AW51+(1-EXP(-LN(2)/2))/(LN(2)/2)*AQ52*AT52*VLOOKUP('Données projet'!$B$10,Paramètres!$A$1:$I$89,3,0)*0.475*44/12</f>
        <v>1.2375214700671657E-2</v>
      </c>
      <c r="AX52" s="21">
        <f t="shared" si="6"/>
        <v>13.073028375253644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11.5</v>
      </c>
      <c r="BD52" s="12">
        <f>IF('Données projet'!$A$88&gt;35,BD51+BC52-BL51,IF(A52&lt;'Données projet'!$A$88,$BA$205^A52,IF(A52='Données projet'!$A$88,'Données projet'!$B$88,BD51+BC52-BL51)))</f>
        <v>337.50000000000011</v>
      </c>
      <c r="BE52" s="13">
        <f>BD52*VLOOKUP('Données projet'!$B$11,Paramètres!$A$1:$I$89,3,0)*VLOOKUP('Données projet'!$B$11,Paramètres!$A$1:$I$89,5,0)</f>
        <v>184.27500000000003</v>
      </c>
      <c r="BF52" s="13">
        <f t="shared" si="37"/>
        <v>46.27199170970021</v>
      </c>
      <c r="BG52" s="20">
        <f t="shared" si="7"/>
        <v>401.53601056106123</v>
      </c>
      <c r="BH52" s="59">
        <f t="shared" si="8"/>
        <v>694.86934389439455</v>
      </c>
      <c r="BI52" s="59">
        <f ca="1">AVERAGE(OFFSET($BH$3,0,0,'Données projet'!$E$11+1,1))-AVERAGE(OFFSET($H$3,0,0,'Données projet'!$E$11+1,1))</f>
        <v>210.04871822652808</v>
      </c>
      <c r="BJ52" s="59">
        <f t="shared" si="38"/>
        <v>250.17540614049324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5.0114713038654912</v>
      </c>
      <c r="BQ52" s="21">
        <f>EXP(-LN(2)/25)*BQ51+(1-EXP(-LN(2)/25))/(LN(2)/25)*Calculateur!BL52*Calculateur!BN52*VLOOKUP('Données projet'!$B$11,Paramètres!$A$1:$I$89,3,0)*0.475*44/12</f>
        <v>16.433934252618535</v>
      </c>
      <c r="BR52" s="21">
        <f>EXP(-LN(2)/2)*BR51+(1-EXP(-LN(2)/2))/(LN(2)/2)*BL52*BO52*VLOOKUP('Données projet'!$B$11,Paramètres!$A$1:$I$89,3,0)*0.475*44/12</f>
        <v>2.9767384545159578E-2</v>
      </c>
      <c r="BS52" s="22">
        <f t="shared" si="9"/>
        <v>21.475172941029186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9.9</v>
      </c>
      <c r="BY52" s="12">
        <f>IF('Données projet'!$A$114&gt;35,BY51+BX52-CG51,IF(A52&lt;'Données projet'!$A$114,$BV$205^A52,IF(A52='Données projet'!$A$114,'Données projet'!$B$114,BY51+BX52-CG51)))</f>
        <v>292.09999999999991</v>
      </c>
      <c r="BZ52" s="13">
        <f>BY52*VLOOKUP('Données projet'!$B$12,Paramètres!$A$1:$I$89,3,0)*VLOOKUP('Données projet'!$B$12,Paramètres!$A$1:$I$89,5,0)</f>
        <v>159.48659999999995</v>
      </c>
      <c r="CA52" s="13">
        <f t="shared" si="39"/>
        <v>40.72669495241923</v>
      </c>
      <c r="CB52" s="20">
        <f t="shared" si="10"/>
        <v>348.70482204213005</v>
      </c>
      <c r="CC52" s="59">
        <f t="shared" si="11"/>
        <v>642.03815537546336</v>
      </c>
      <c r="CD52" s="59">
        <f ca="1">AVERAGE(OFFSET($CC$3,0,0,'Données projet'!$E$12+1,1))-AVERAGE(OFFSET($H$3,0,0,'Données projet'!$E$12+1,1))</f>
        <v>168.72306536277267</v>
      </c>
      <c r="CE52" s="59">
        <f t="shared" si="40"/>
        <v>203.35476578922339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2.0881130432772883</v>
      </c>
      <c r="CL52" s="21">
        <f>EXP(-LN(2)/25)*CL51+(1-EXP(-LN(2)/25))/(LN(2)/25)*Calculateur!CG52*Calculateur!CI52*VLOOKUP('Données projet'!$B$12,Paramètres!$A$1:$I$89,3,0)*0.475*44/12</f>
        <v>13.572570884541925</v>
      </c>
      <c r="CM52" s="21">
        <f>EXP(-LN(2)/2)*CM51+(1-EXP(-LN(2)/2))/(LN(2)/2)*CG52*CJ52*VLOOKUP('Données projet'!$B$12,Paramètres!$A$1:$I$89,3,0)*0.475*44/12</f>
        <v>2.7654292445153633E-2</v>
      </c>
      <c r="CN52" s="22">
        <f t="shared" si="12"/>
        <v>15.688338220264368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11.538461538461542</v>
      </c>
      <c r="CT52" s="12">
        <f>IF('Données projet'!$A$140&gt;35,CT51+CS52-DB51,IF(A52&lt;'Données projet'!$A$140,$CQ$205^A52,IF(A52='Données projet'!$A$140,'Données projet'!$B$140,CT51+CS52-DB51)))</f>
        <v>260.00000000000017</v>
      </c>
      <c r="CU52" s="17">
        <f>CT52*VLOOKUP('Données projet'!$B$13,Paramètres!$A$1:$I$89,3,0)*VLOOKUP('Données projet'!$B$13,Paramètres!$A$1:$I$89,5,0)</f>
        <v>125.06000000000009</v>
      </c>
      <c r="CV52" s="13">
        <f t="shared" si="41"/>
        <v>32.852309422756733</v>
      </c>
      <c r="CW52" s="20">
        <f t="shared" si="13"/>
        <v>275.03060557796812</v>
      </c>
      <c r="CX52" s="59">
        <f t="shared" si="14"/>
        <v>568.36393891130137</v>
      </c>
      <c r="CY52" s="59">
        <f ca="1">AVERAGE(OFFSET($CX$3,0,0,'Données projet'!$E$13+1,1))-AVERAGE(OFFSET($H$3,0,0,'Données projet'!$E$13+1,1))</f>
        <v>304.15237106473313</v>
      </c>
      <c r="CZ52" s="59">
        <f t="shared" si="42"/>
        <v>120.85458928724336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>
        <f>EXP(-LN(2)/35)*DF51+(1-EXP(-LN(2)/35))/(LN(2)/35)*DB52*DC52*VLOOKUP('Données projet'!$B$13,Paramètres!$A$1:$I$89,3,0)*0.475*44/12</f>
        <v>0</v>
      </c>
      <c r="DG52" s="21">
        <f>EXP(-LN(2)/25)*DG51+(1-EXP(-LN(2)/25))/(LN(2)/25)*Calculateur!DB52*Calculateur!DD52*VLOOKUP('Données projet'!$B$13,Paramètres!$A$1:$I$89,3,0)*0.475*44/12</f>
        <v>0</v>
      </c>
      <c r="DH52" s="21">
        <f>EXP(-LN(2)/2)*DH51+(1-EXP(-LN(2)/2))/(LN(2)/2)*DB52*DE52*VLOOKUP('Données projet'!$B$13,Paramètres!$A$1:$I$89,3,0)*0.475*44/12</f>
        <v>0</v>
      </c>
      <c r="DI52" s="22">
        <f t="shared" si="15"/>
        <v>0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6.8461538461538449</v>
      </c>
      <c r="DO52" s="12">
        <f>IF('Données projet'!$A$166&gt;35,DO51+DN52-DW51,IF(A52&lt;'Données projet'!$A$166,$DL$205^A52,IF(A52='Données projet'!$A$166,'Données projet'!$B$166,DO51+DN52-DW51)))</f>
        <v>166.23076923076923</v>
      </c>
      <c r="DP52" s="17">
        <f>DO52*VLOOKUP('Données projet'!$B$14,Paramètres!$A$1:$I$89,3,0)*VLOOKUP('Données projet'!$B$14,Paramètres!$A$1:$I$89,5,0)</f>
        <v>79.956999999999994</v>
      </c>
      <c r="DQ52" s="13">
        <f t="shared" si="43"/>
        <v>22.126670076155843</v>
      </c>
      <c r="DR52" s="20">
        <f t="shared" si="16"/>
        <v>177.7957253826381</v>
      </c>
      <c r="DS52" s="59">
        <f t="shared" si="17"/>
        <v>471.12905871597138</v>
      </c>
      <c r="DT52" s="59">
        <f ca="1">AVERAGE(OFFSET($DS$3,0,0,'Données projet'!$E$14+1,1))-AVERAGE(OFFSET($H$3,0,0,'Données projet'!$E$14+1,1))</f>
        <v>91.053246648097399</v>
      </c>
      <c r="DU52" s="59">
        <f t="shared" si="44"/>
        <v>64.716270355703955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>
        <f>EXP(-LN(2)/35)*EA51+(1-EXP(-LN(2)/35))/(LN(2)/35)*DW52*DX52*VLOOKUP('Données projet'!$B$14,Paramètres!$A$1:$I$89,3,0)*0.475*44/12</f>
        <v>0</v>
      </c>
      <c r="EB52" s="21">
        <f>EXP(-LN(2)/25)*EB51+(1-EXP(-LN(2)/25))/(LN(2)/25)*Calculateur!DW52*Calculateur!DY52*VLOOKUP('Données projet'!$B$14,Paramètres!$A$1:$I$89,3,0)*0.475*44/12</f>
        <v>0</v>
      </c>
      <c r="EC52" s="21">
        <f>EXP(-LN(2)/2)*EC51+(1-EXP(-LN(2)/2))/(LN(2)/2)*DW52*DZ52*VLOOKUP('Données projet'!$B$14,Paramètres!$A$1:$I$89,3,0)*0.475*44/12</f>
        <v>0</v>
      </c>
      <c r="ED52" s="22">
        <f t="shared" si="18"/>
        <v>0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18.899999999999999</v>
      </c>
      <c r="EJ52" s="12">
        <f>IF('Données projet'!$A$192&gt;35,EJ51+EI52-ER51,IF(A52&lt;'Données projet'!$A$192,$EG$205^A52,IF(A52='Données projet'!$A$192,'Données projet'!$B$192,EJ51+EI52-ER51)))</f>
        <v>416.09999999999974</v>
      </c>
      <c r="EK52" s="17">
        <f>EJ52*VLOOKUP('Données projet'!$B$15,Paramètres!$A$1:$I$89,3,0)*VLOOKUP('Données projet'!$B$15,Paramètres!$A$1:$I$89,5,0)</f>
        <v>248.82779999999985</v>
      </c>
      <c r="EL52" s="13">
        <f t="shared" si="45"/>
        <v>60.334863247522001</v>
      </c>
      <c r="EM52" s="20">
        <f t="shared" si="19"/>
        <v>538.45830515610044</v>
      </c>
      <c r="EN52" s="59">
        <f t="shared" si="20"/>
        <v>831.79163848943381</v>
      </c>
      <c r="EO52" s="59">
        <f ca="1">AVERAGE(OFFSET($EN$3,0,0,'Données projet'!$E$15+1,1))-AVERAGE(OFFSET($H$3,0,0,'Données projet'!$E$15+1,1))</f>
        <v>316.58509520829671</v>
      </c>
      <c r="EP52" s="59">
        <f t="shared" si="46"/>
        <v>240.71332110643596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>
        <f>EXP(-LN(2)/35)*EV51+(1-EXP(-LN(2)/35))/(LN(2)/35)*ER52*ES52*VLOOKUP('Données projet'!$B$15,Paramètres!$A$1:$I$89,3,0)*0.475*44/12</f>
        <v>1.7397390814652107</v>
      </c>
      <c r="EW52" s="21">
        <f>EXP(-LN(2)/25)*EW51+(1-EXP(-LN(2)/25))/(LN(2)/25)*Calculateur!ER52*Calculateur!ET52*VLOOKUP('Données projet'!$B$15,Paramètres!$A$1:$I$89,3,0)*0.475*44/12</f>
        <v>9.0156547061335814</v>
      </c>
      <c r="EX52" s="21">
        <f>EXP(-LN(2)/2)*EX51+(1-EXP(-LN(2)/2))/(LN(2)/2)*ER52*EU52*VLOOKUP('Données projet'!$B$15,Paramètres!$A$1:$I$89,3,0)*0.475*44/12</f>
        <v>3.0299723163427071E-2</v>
      </c>
      <c r="EY52" s="22">
        <f t="shared" si="21"/>
        <v>10.785693510762218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16.2</v>
      </c>
      <c r="FE52" s="12">
        <f>IF('Données projet'!$A$218&gt;35,FE51+FD52-FM51,IF(A52&lt;'Données projet'!$A$218,$FB$205^A52,IF(A52='Données projet'!$A$218,'Données projet'!$B$218,FE51+FD52-FM51)))</f>
        <v>363.79999999999984</v>
      </c>
      <c r="FF52" s="17">
        <f>FE52*VLOOKUP('Données projet'!$B$16,Paramètres!$A$1:$I$89,3,0)*VLOOKUP('Données projet'!$B$16,Paramètres!$A$1:$I$89,5,0)</f>
        <v>217.55239999999992</v>
      </c>
      <c r="FG52" s="13">
        <f t="shared" si="47"/>
        <v>53.58256606537995</v>
      </c>
      <c r="FH52" s="20">
        <f t="shared" si="22"/>
        <v>472.22673256386997</v>
      </c>
      <c r="FI52" s="59">
        <f t="shared" si="23"/>
        <v>765.56006589720323</v>
      </c>
      <c r="FJ52" s="59">
        <f ca="1">AVERAGE(OFFSET($FI$3,0,0,'Données projet'!$E$16+1,1))-AVERAGE(OFFSET($H$3,0,0,'Données projet'!$E$16+1,1))</f>
        <v>270.30888762640245</v>
      </c>
      <c r="FK52" s="59">
        <f t="shared" si="48"/>
        <v>202.23783851977691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>
        <f>EXP(-LN(2)/35)*FQ51+(1-EXP(-LN(2)/35))/(LN(2)/35)*FM52*FN52*VLOOKUP('Données projet'!$B$16,Paramètres!$A$1:$I$89,3,0)*0.475*44/12</f>
        <v>1.4702020406748255</v>
      </c>
      <c r="FR52" s="21">
        <f>EXP(-LN(2)/25)*FR51+(1-EXP(-LN(2)/25))/(LN(2)/25)*Calculateur!FM52*Calculateur!FO52*VLOOKUP('Données projet'!$B$16,Paramètres!$A$1:$I$89,3,0)*0.475*44/12</f>
        <v>7.2602753110823501</v>
      </c>
      <c r="FS52" s="21">
        <f>EXP(-LN(2)/2)*FS51+(1-EXP(-LN(2)/2))/(LN(2)/2)*FM52*FP52*VLOOKUP('Données projet'!$B$16,Paramètres!$A$1:$I$89,3,0)*0.475*44/12</f>
        <v>2.5539548697883337E-2</v>
      </c>
      <c r="FT52" s="22">
        <f t="shared" si="24"/>
        <v>8.7560169004550588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9.1999999999999993</v>
      </c>
      <c r="FZ52" s="12">
        <f>IF('Données projet'!$A$244&gt;35,FZ51+FY52-GH51,IF(A52&lt;'Données projet'!$A$244,$FW$205^A52,IF(A52='Données projet'!$A$244,'Données projet'!$B$244,FZ51+FY52-GH51)))</f>
        <v>275.79999999999984</v>
      </c>
      <c r="GA52" s="17">
        <f>FZ52*VLOOKUP('Données projet'!$B$17,Paramètres!$A$1:$I$89,3,0)*VLOOKUP('Données projet'!$B$17,Paramètres!$A$1:$I$89,5,0)</f>
        <v>219.42647999999991</v>
      </c>
      <c r="GB52" s="13">
        <f t="shared" si="49"/>
        <v>53.990215051449674</v>
      </c>
      <c r="GC52" s="20">
        <f t="shared" si="25"/>
        <v>476.20074388127472</v>
      </c>
      <c r="GD52" s="59">
        <f t="shared" si="26"/>
        <v>769.53407721460803</v>
      </c>
      <c r="GE52" s="59">
        <f ca="1">AVERAGE(OFFSET($GD$3,0,0,'Données projet'!$E$17+1,1))-AVERAGE(OFFSET($H$3,0,0,'Données projet'!$E$17+1,1))</f>
        <v>260.20517190557814</v>
      </c>
      <c r="GF52" s="59">
        <f t="shared" si="50"/>
        <v>307.22009971147133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>
        <f>EXP(-LN(2)/35)*GL51+(1-EXP(-LN(2)/35))/(LN(2)/35)*GH52*GI52*VLOOKUP('Données projet'!$B$17,Paramètres!$A$1:$I$89,3,0)*0.475*44/12</f>
        <v>2.2397498238009974</v>
      </c>
      <c r="GM52" s="21">
        <f>EXP(-LN(2)/25)*GM51+(1-EXP(-LN(2)/25))/(LN(2)/25)*Calculateur!GH52*Calculateur!GJ52*VLOOKUP('Données projet'!$B$17,Paramètres!$A$1:$I$89,3,0)*0.475*44/12</f>
        <v>12.116750116717327</v>
      </c>
      <c r="GN52" s="21">
        <f>EXP(-LN(2)/2)*GN51+(1-EXP(-LN(2)/2))/(LN(2)/2)*GH52*GK52*VLOOKUP('Données projet'!$B$17,Paramètres!$A$1:$I$89,3,0)*0.475*44/12</f>
        <v>3.319953932285228E-2</v>
      </c>
      <c r="GO52" s="21">
        <f t="shared" si="27"/>
        <v>14.389699479841177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7.7</v>
      </c>
      <c r="GU52" s="12">
        <f>IF('Données projet'!$A$270&gt;35,GU51+GT52-HC51,IF(A52&lt;'Données projet'!$A$270,$GR$205^A52,IF(A52='Données projet'!$A$270,'Données projet'!$B$270,GU51+GT52-HC51)))</f>
        <v>233.29999999999976</v>
      </c>
      <c r="GV52" s="17">
        <f>GU52*VLOOKUP('Données projet'!$B$18,Paramètres!$A$1:$I$89,3,0)*VLOOKUP('Données projet'!$B$18,Paramètres!$A$1:$I$89,5,0)</f>
        <v>185.61347999999981</v>
      </c>
      <c r="GW52" s="13">
        <f t="shared" si="51"/>
        <v>46.568841147773846</v>
      </c>
      <c r="GX52" s="20">
        <f t="shared" si="28"/>
        <v>404.38420933237239</v>
      </c>
      <c r="GY52" s="59">
        <f t="shared" si="29"/>
        <v>697.71754266570565</v>
      </c>
      <c r="GZ52" s="59">
        <f ca="1">AVERAGE(OFFSET($GY$3,0,0,'Données projet'!$E$18+1,1))-AVERAGE(OFFSET($H$3,0,0,'Données projet'!$E$18+1,1))</f>
        <v>199.58763537752952</v>
      </c>
      <c r="HA52" s="59">
        <f t="shared" si="52"/>
        <v>242.62852778451929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>
        <f>EXP(-LN(2)/35)*HG51+(1-EXP(-LN(2)/35))/(LN(2)/35)*HC52*HD52*VLOOKUP('Données projet'!$B$18,Paramètres!$A$1:$I$89,3,0)*0.475*44/12</f>
        <v>0</v>
      </c>
      <c r="HH52" s="21">
        <f>EXP(-LN(2)/25)*HH51+(1-EXP(-LN(2)/25))/(LN(2)/25)*Calculateur!HC52*Calculateur!HE52*VLOOKUP('Données projet'!$B$18,Paramètres!$A$1:$I$89,3,0)*0.475*44/12</f>
        <v>6.0720598740139504</v>
      </c>
      <c r="HI52" s="21">
        <f>EXP(-LN(2)/2)*HI51+(1-EXP(-LN(2)/2))/(LN(2)/2)*HC52*HF52*VLOOKUP('Données projet'!$B$18,Paramètres!$A$1:$I$89,3,0)*0.475*44/12</f>
        <v>1.4862443195275438E-2</v>
      </c>
      <c r="HJ52" s="22">
        <f t="shared" si="30"/>
        <v>6.0869223172092255</v>
      </c>
    </row>
    <row r="53" spans="1:218" x14ac:dyDescent="0.2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44.460000000000022</v>
      </c>
      <c r="D53" s="11">
        <f t="shared" si="32"/>
        <v>13.17339997701186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444.88940333131978</v>
      </c>
      <c r="H53" s="67">
        <f t="shared" si="1"/>
        <v>393.71150495996233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20.507692307692299</v>
      </c>
      <c r="N53" s="13">
        <f>IF('Données projet'!$A$36&gt;35,N52+M53-V52,IF(A53&lt;'Données projet'!$A$36,$K$205^A53,IF(A53='Données projet'!$A$36,'Données projet'!$B$36,N52+M53-V52)))</f>
        <v>484.76923076923055</v>
      </c>
      <c r="O53" s="13">
        <f>N53*VLOOKUP('Données projet'!$B$9,Paramètres!$A$1:$I$89,3,0)*VLOOKUP('Données projet'!$B$9,Paramètres!$A$1:$I$89,5,0)</f>
        <v>270.98599999999988</v>
      </c>
      <c r="P53" s="13">
        <f t="shared" si="33"/>
        <v>65.058478958733772</v>
      </c>
      <c r="Q53" s="20">
        <f t="shared" si="53"/>
        <v>585.27746751979441</v>
      </c>
      <c r="R53" s="59">
        <f t="shared" si="0"/>
        <v>878.61080085312778</v>
      </c>
      <c r="S53" s="59">
        <f ca="1">AVERAGE(OFFSET($R$3,0,0,'Données projet'!$E$9+1,1))-AVERAGE(OFFSET($H$3,0,0,'Données projet'!$E$9+1,1))</f>
        <v>255.5374979188561</v>
      </c>
      <c r="T53" s="59">
        <f t="shared" si="34"/>
        <v>343.10418468620901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2.0794432853097184</v>
      </c>
      <c r="AA53" s="21">
        <f>EXP(-LN(2)/25)*AA52+(1-EXP(-LN(2)/25))/(LN(2)/25)*Calculateur!V53*Calculateur!X53*VLOOKUP('Données projet'!$B$9,Paramètres!$A$1:$I$89,3,0)*0.475*44/12</f>
        <v>9.1667617041326377</v>
      </c>
      <c r="AB53" s="21">
        <f>EXP(-LN(2)/2)*AB52+(1-EXP(-LN(2)/2))/(LN(2)/2)*V53*Y53*VLOOKUP('Données projet'!$B$9,Paramètres!$A$1:$I$89,3,0)*0.475*44/12</f>
        <v>1.6529805463418614E-3</v>
      </c>
      <c r="AC53" s="22">
        <f t="shared" si="3"/>
        <v>11.247857969988697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16.227472527472521</v>
      </c>
      <c r="AI53" s="13">
        <f>IF('Données projet'!$A$62&gt;35,AI52+AH53-AQ52,IF(A53&lt;'Données projet'!$A$62,$AF$205^A53,IF(A53='Données projet'!$A$62,'Données projet'!$B$62,AI52+AH53-AQ52)))</f>
        <v>330.34285714285721</v>
      </c>
      <c r="AJ53" s="13">
        <f>AI53*VLOOKUP('Données projet'!$B$10,Paramètres!$A$1:$I$89,3,0)*VLOOKUP('Données projet'!$B$10,Paramètres!$A$1:$I$89,5,0)</f>
        <v>184.66165714285719</v>
      </c>
      <c r="AK53" s="13">
        <f t="shared" si="35"/>
        <v>46.357770619215231</v>
      </c>
      <c r="AL53" s="20">
        <f t="shared" si="4"/>
        <v>402.3588366856095</v>
      </c>
      <c r="AM53" s="59">
        <f t="shared" si="5"/>
        <v>695.69217001894276</v>
      </c>
      <c r="AN53" s="59">
        <f ca="1">AVERAGE(OFFSET($AM$3,0,0,'Données projet'!$E$10+1,1))-AVERAGE(OFFSET($H$3,0,0,'Données projet'!$E$10+1,1))</f>
        <v>224.7049802939942</v>
      </c>
      <c r="AO53" s="59">
        <f t="shared" si="36"/>
        <v>203.48513862195352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1.5014596807301359</v>
      </c>
      <c r="AV53" s="21">
        <f>EXP(-LN(2)/25)*AV52+(1-EXP(-LN(2)/25))/(LN(2)/25)*Calculateur!AQ53*Calculateur!AS53*VLOOKUP('Données projet'!$B$10,Paramètres!$A$1:$I$89,3,0)*0.475*44/12</f>
        <v>11.213896332107231</v>
      </c>
      <c r="AW53" s="21">
        <f>EXP(-LN(2)/2)*AW52+(1-EXP(-LN(2)/2))/(LN(2)/2)*AQ53*AT53*VLOOKUP('Données projet'!$B$10,Paramètres!$A$1:$I$89,3,0)*0.475*44/12</f>
        <v>8.7505982334843795E-3</v>
      </c>
      <c r="AX53" s="21">
        <f t="shared" si="6"/>
        <v>12.724106611070852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349</v>
      </c>
      <c r="BB53" s="12">
        <f>VLOOKUP(A53,'Données projet'!$A$87:$I$107,9,0)</f>
        <v>11.5</v>
      </c>
      <c r="BC53" s="12">
        <f t="array" ref="BC53">INDEX(BB:BB,MIN(IF(ISNUMBER(BB53:BB249),ROW(BB53:BB249),"")))</f>
        <v>11.5</v>
      </c>
      <c r="BD53" s="12">
        <f>IF('Données projet'!$A$88&gt;35,BD52+BC53-BL52,IF(A53&lt;'Données projet'!$A$88,$BA$205^A53,IF(A53='Données projet'!$A$88,'Données projet'!$B$88,BD52+BC53-BL52)))</f>
        <v>349.00000000000011</v>
      </c>
      <c r="BE53" s="13">
        <f>BD53*VLOOKUP('Données projet'!$B$11,Paramètres!$A$1:$I$89,3,0)*VLOOKUP('Données projet'!$B$11,Paramètres!$A$1:$I$89,5,0)</f>
        <v>190.55400000000006</v>
      </c>
      <c r="BF53" s="13">
        <f t="shared" si="37"/>
        <v>47.662413622948378</v>
      </c>
      <c r="BG53" s="20">
        <f t="shared" si="7"/>
        <v>414.89358705996847</v>
      </c>
      <c r="BH53" s="59">
        <f t="shared" si="8"/>
        <v>708.22692039330173</v>
      </c>
      <c r="BI53" s="59">
        <f ca="1">AVERAGE(OFFSET($BH$3,0,0,'Données projet'!$E$11+1,1))-AVERAGE(OFFSET($H$3,0,0,'Données projet'!$E$11+1,1))</f>
        <v>210.04871822652808</v>
      </c>
      <c r="BJ53" s="59">
        <f t="shared" si="38"/>
        <v>250.17540614049324</v>
      </c>
      <c r="BK53" s="15">
        <f>IF(ISNA(VLOOKUP(A53,'Données projet'!$A$87:$I$107,3,0)),0,VLOOKUP(A53,'Données projet'!$A$87:$I$107,3,0))</f>
        <v>4</v>
      </c>
      <c r="BL53" s="15">
        <f>IF(ISNA(VLOOKUP(A53,'Données projet'!$A$87:$I$107,4,0)),0,VLOOKUP(A53,'Données projet'!$A$87:$I$107,4,0))</f>
        <v>65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4.9131994082923605</v>
      </c>
      <c r="BQ53" s="21">
        <f>EXP(-LN(2)/25)*BQ52+(1-EXP(-LN(2)/25))/(LN(2)/25)*Calculateur!BL53*Calculateur!BN53*VLOOKUP('Données projet'!$B$11,Paramètres!$A$1:$I$89,3,0)*0.475*44/12</f>
        <v>15.984547456257639</v>
      </c>
      <c r="BR53" s="21">
        <f>EXP(-LN(2)/2)*BR52+(1-EXP(-LN(2)/2))/(LN(2)/2)*BL53*BO53*VLOOKUP('Données projet'!$B$11,Paramètres!$A$1:$I$89,3,0)*0.475*44/12</f>
        <v>2.1048719470069973E-2</v>
      </c>
      <c r="BS53" s="22">
        <f t="shared" si="9"/>
        <v>20.918795584020071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>
        <f>VLOOKUP(A53,'Données projet'!$A$113:$I$133,2,0)</f>
        <v>302</v>
      </c>
      <c r="BW53" s="12">
        <f>VLOOKUP(A53,'Données projet'!$A$113:$I$133,9,0)</f>
        <v>9.9</v>
      </c>
      <c r="BX53" s="12">
        <f t="array" ref="BX53">INDEX(BW:BW,MIN(IF(ISNUMBER(BW53:BW249),ROW(BW53:BW249),"")))</f>
        <v>9.9</v>
      </c>
      <c r="BY53" s="12">
        <f>IF('Données projet'!$A$114&gt;35,BY52+BX53-CG52,IF(A53&lt;'Données projet'!$A$114,$BV$205^A53,IF(A53='Données projet'!$A$114,'Données projet'!$B$114,BY52+BX53-CG52)))</f>
        <v>301.99999999999989</v>
      </c>
      <c r="BZ53" s="13">
        <f>BY53*VLOOKUP('Données projet'!$B$12,Paramètres!$A$1:$I$89,3,0)*VLOOKUP('Données projet'!$B$12,Paramètres!$A$1:$I$89,5,0)</f>
        <v>164.89199999999994</v>
      </c>
      <c r="CA53" s="13">
        <f t="shared" si="39"/>
        <v>41.943978178295076</v>
      </c>
      <c r="CB53" s="20">
        <f t="shared" si="10"/>
        <v>360.23932866053048</v>
      </c>
      <c r="CC53" s="59">
        <f t="shared" si="11"/>
        <v>653.57266199386379</v>
      </c>
      <c r="CD53" s="59">
        <f ca="1">AVERAGE(OFFSET($CC$3,0,0,'Données projet'!$E$12+1,1))-AVERAGE(OFFSET($H$3,0,0,'Données projet'!$E$12+1,1))</f>
        <v>168.72306536277267</v>
      </c>
      <c r="CE53" s="59">
        <f t="shared" si="40"/>
        <v>203.35476578922339</v>
      </c>
      <c r="CF53" s="15">
        <f>IF(ISNA(VLOOKUP(A53,'Données projet'!$A$113:$I$133,3,0)),0,VLOOKUP(A53,'Données projet'!$A$113:$I$133,3,0))</f>
        <v>4</v>
      </c>
      <c r="CG53" s="15">
        <f>IF(ISNA(VLOOKUP(A53,'Données projet'!$A$113:$I$133,4,0)),0,VLOOKUP(A53,'Données projet'!$A$113:$I$133,4,0))</f>
        <v>55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2.0471664201218172</v>
      </c>
      <c r="CL53" s="21">
        <f>EXP(-LN(2)/25)*CL52+(1-EXP(-LN(2)/25))/(LN(2)/25)*Calculateur!CG53*Calculateur!CI53*VLOOKUP('Données projet'!$B$12,Paramètres!$A$1:$I$89,3,0)*0.475*44/12</f>
        <v>13.201428219953643</v>
      </c>
      <c r="CM53" s="21">
        <f>EXP(-LN(2)/2)*CM52+(1-EXP(-LN(2)/2))/(LN(2)/2)*CG53*CJ53*VLOOKUP('Données projet'!$B$12,Paramètres!$A$1:$I$89,3,0)*0.475*44/12</f>
        <v>1.9554537716884045E-2</v>
      </c>
      <c r="CN53" s="22">
        <f t="shared" si="12"/>
        <v>15.268149177792344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>
        <f>VLOOKUP(A53,'Données projet'!$A$139:$I$159,2,0)</f>
        <v>271.53846153846155</v>
      </c>
      <c r="CR53" s="12">
        <f>VLOOKUP(A53,'Données projet'!$A$139:$I$159,9,0)</f>
        <v>11.538461538461542</v>
      </c>
      <c r="CS53" s="12">
        <f t="array" ref="CS53">INDEX(CR:CR,MIN(IF(ISNUMBER(CR53:CR249),ROW(CR53:CR249),"")))</f>
        <v>11.538461538461542</v>
      </c>
      <c r="CT53" s="12">
        <f>IF('Données projet'!$A$140&gt;35,CT52+CS53-DB52,IF(A53&lt;'Données projet'!$A$140,$CQ$205^A53,IF(A53='Données projet'!$A$140,'Données projet'!$B$140,CT52+CS53-DB52)))</f>
        <v>271.53846153846172</v>
      </c>
      <c r="CU53" s="17">
        <f>CT53*VLOOKUP('Données projet'!$B$13,Paramètres!$A$1:$I$89,3,0)*VLOOKUP('Données projet'!$B$13,Paramètres!$A$1:$I$89,5,0)</f>
        <v>130.6100000000001</v>
      </c>
      <c r="CV53" s="13">
        <f t="shared" si="41"/>
        <v>34.137273996153461</v>
      </c>
      <c r="CW53" s="20">
        <f t="shared" si="13"/>
        <v>286.93483554330078</v>
      </c>
      <c r="CX53" s="59">
        <f t="shared" si="14"/>
        <v>580.26816887663404</v>
      </c>
      <c r="CY53" s="59">
        <f ca="1">AVERAGE(OFFSET($CX$3,0,0,'Données projet'!$E$13+1,1))-AVERAGE(OFFSET($H$3,0,0,'Données projet'!$E$13+1,1))</f>
        <v>304.15237106473313</v>
      </c>
      <c r="CZ53" s="59">
        <f t="shared" si="42"/>
        <v>120.85458928724336</v>
      </c>
      <c r="DA53" s="15">
        <f>IF(ISNA(VLOOKUP(A53,'Données projet'!$A$139:$I$159,3,0)),0,VLOOKUP(A53,'Données projet'!$A$139:$I$159,3,0))</f>
        <v>2</v>
      </c>
      <c r="DB53" s="15">
        <f>IF(ISNA(VLOOKUP(A53,'Données projet'!$A$139:$I$159,4,0)),0,VLOOKUP(A53,'Données projet'!$A$139:$I$159,4,0))</f>
        <v>60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>
        <f>EXP(-LN(2)/35)*DF52+(1-EXP(-LN(2)/35))/(LN(2)/35)*DB53*DC53*VLOOKUP('Données projet'!$B$13,Paramètres!$A$1:$I$89,3,0)*0.475*44/12</f>
        <v>0</v>
      </c>
      <c r="DG53" s="21">
        <f>EXP(-LN(2)/25)*DG52+(1-EXP(-LN(2)/25))/(LN(2)/25)*Calculateur!DB53*Calculateur!DD53*VLOOKUP('Données projet'!$B$13,Paramètres!$A$1:$I$89,3,0)*0.475*44/12</f>
        <v>0</v>
      </c>
      <c r="DH53" s="21">
        <f>EXP(-LN(2)/2)*DH52+(1-EXP(-LN(2)/2))/(LN(2)/2)*DB53*DE53*VLOOKUP('Données projet'!$B$13,Paramètres!$A$1:$I$89,3,0)*0.475*44/12</f>
        <v>0</v>
      </c>
      <c r="DI53" s="22">
        <f t="shared" si="15"/>
        <v>0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>
        <f>VLOOKUP(A53,'Données projet'!$A$165:$I$185,2,0)</f>
        <v>173.07692307692307</v>
      </c>
      <c r="DM53" s="12">
        <f>VLOOKUP(A53,'Données projet'!$A$165:$I$185,9,0)</f>
        <v>6.8461538461538449</v>
      </c>
      <c r="DN53" s="12">
        <f t="array" ref="DN53">INDEX(DM:DM,MIN(IF(ISNUMBER(DM53:DM249),ROW(DM53:DM249),"")))</f>
        <v>6.8461538461538449</v>
      </c>
      <c r="DO53" s="12">
        <f>IF('Données projet'!$A$166&gt;35,DO52+DN53-DW52,IF(A53&lt;'Données projet'!$A$166,$DL$205^A53,IF(A53='Données projet'!$A$166,'Données projet'!$B$166,DO52+DN53-DW52)))</f>
        <v>173.07692307692307</v>
      </c>
      <c r="DP53" s="17">
        <f>DO53*VLOOKUP('Données projet'!$B$14,Paramètres!$A$1:$I$89,3,0)*VLOOKUP('Données projet'!$B$14,Paramètres!$A$1:$I$89,5,0)</f>
        <v>83.25</v>
      </c>
      <c r="DQ53" s="13">
        <f t="shared" si="43"/>
        <v>22.929975001529776</v>
      </c>
      <c r="DR53" s="20">
        <f t="shared" si="16"/>
        <v>184.93012312766436</v>
      </c>
      <c r="DS53" s="59">
        <f t="shared" si="17"/>
        <v>478.26345646099765</v>
      </c>
      <c r="DT53" s="59">
        <f ca="1">AVERAGE(OFFSET($DS$3,0,0,'Données projet'!$E$14+1,1))-AVERAGE(OFFSET($H$3,0,0,'Données projet'!$E$14+1,1))</f>
        <v>91.053246648097399</v>
      </c>
      <c r="DU53" s="59">
        <f t="shared" si="44"/>
        <v>64.716270355703955</v>
      </c>
      <c r="DV53" s="15">
        <f>IF(ISNA(VLOOKUP(A53,'Données projet'!$A$165:$I$185,3,0)),0,VLOOKUP(A53,'Données projet'!$A$165:$I$185,3,0))</f>
        <v>2</v>
      </c>
      <c r="DW53" s="15">
        <f>IF(ISNA(VLOOKUP(A53,'Données projet'!$A$165:$I$185,4,0)),0,VLOOKUP(A53,'Données projet'!$A$165:$I$185,4,0))</f>
        <v>44.615384615384613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>
        <f>EXP(-LN(2)/35)*EA52+(1-EXP(-LN(2)/35))/(LN(2)/35)*DW53*DX53*VLOOKUP('Données projet'!$B$14,Paramètres!$A$1:$I$89,3,0)*0.475*44/12</f>
        <v>0</v>
      </c>
      <c r="EB53" s="21">
        <f>EXP(-LN(2)/25)*EB52+(1-EXP(-LN(2)/25))/(LN(2)/25)*Calculateur!DW53*Calculateur!DY53*VLOOKUP('Données projet'!$B$14,Paramètres!$A$1:$I$89,3,0)*0.475*44/12</f>
        <v>0</v>
      </c>
      <c r="EC53" s="21">
        <f>EXP(-LN(2)/2)*EC52+(1-EXP(-LN(2)/2))/(LN(2)/2)*DW53*DZ53*VLOOKUP('Données projet'!$B$14,Paramètres!$A$1:$I$89,3,0)*0.475*44/12</f>
        <v>0</v>
      </c>
      <c r="ED53" s="22">
        <f t="shared" si="18"/>
        <v>0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>
        <f>VLOOKUP(A53,'Données projet'!$A$191:$I$211,2,0)</f>
        <v>435</v>
      </c>
      <c r="EH53" s="12">
        <f>VLOOKUP(A53,'Données projet'!$A$191:$I$211,9,0)</f>
        <v>18.899999999999999</v>
      </c>
      <c r="EI53" s="12">
        <f t="array" ref="EI53">INDEX(EH:EH,MIN(IF(ISNUMBER(EH53:EH249),ROW(EH53:EH249),"")))</f>
        <v>18.899999999999999</v>
      </c>
      <c r="EJ53" s="12">
        <f>IF('Données projet'!$A$192&gt;35,EJ52+EI53-ER52,IF(A53&lt;'Données projet'!$A$192,$EG$205^A53,IF(A53='Données projet'!$A$192,'Données projet'!$B$192,EJ52+EI53-ER52)))</f>
        <v>434.99999999999972</v>
      </c>
      <c r="EK53" s="17">
        <f>EJ53*VLOOKUP('Données projet'!$B$15,Paramètres!$A$1:$I$89,3,0)*VLOOKUP('Données projet'!$B$15,Paramètres!$A$1:$I$89,5,0)</f>
        <v>260.12999999999988</v>
      </c>
      <c r="EL53" s="13">
        <f t="shared" si="45"/>
        <v>62.750087896510983</v>
      </c>
      <c r="EM53" s="20">
        <f t="shared" si="19"/>
        <v>562.34948641975632</v>
      </c>
      <c r="EN53" s="59">
        <f t="shared" si="20"/>
        <v>855.68281975308969</v>
      </c>
      <c r="EO53" s="59">
        <f ca="1">AVERAGE(OFFSET($EN$3,0,0,'Données projet'!$E$15+1,1))-AVERAGE(OFFSET($H$3,0,0,'Données projet'!$E$15+1,1))</f>
        <v>316.58509520829671</v>
      </c>
      <c r="EP53" s="59">
        <f t="shared" si="46"/>
        <v>240.71332110643596</v>
      </c>
      <c r="EQ53" s="15">
        <f>IF(ISNA(VLOOKUP(A53,'Données projet'!$A$191:$I$211,3,0)),0,VLOOKUP(A53,'Données projet'!$A$191:$I$211,3,0))</f>
        <v>4</v>
      </c>
      <c r="ER53" s="15">
        <f>IF(ISNA(VLOOKUP(A53,'Données projet'!$A$191:$I$211,4,0)),0,VLOOKUP(A53,'Données projet'!$A$191:$I$211,4,0))</f>
        <v>107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>
        <f>EXP(-LN(2)/35)*EV52+(1-EXP(-LN(2)/35))/(LN(2)/35)*ER53*ES53*VLOOKUP('Données projet'!$B$15,Paramètres!$A$1:$I$89,3,0)*0.475*44/12</f>
        <v>1.7056238592137392</v>
      </c>
      <c r="EW53" s="21">
        <f>EXP(-LN(2)/25)*EW52+(1-EXP(-LN(2)/25))/(LN(2)/25)*Calculateur!ER53*Calculateur!ET53*VLOOKUP('Données projet'!$B$15,Paramètres!$A$1:$I$89,3,0)*0.475*44/12</f>
        <v>8.7691211540816827</v>
      </c>
      <c r="EX53" s="21">
        <f>EXP(-LN(2)/2)*EX52+(1-EXP(-LN(2)/2))/(LN(2)/2)*ER53*EU53*VLOOKUP('Données projet'!$B$15,Paramètres!$A$1:$I$89,3,0)*0.475*44/12</f>
        <v>2.1425139716934393E-2</v>
      </c>
      <c r="EY53" s="22">
        <f t="shared" si="21"/>
        <v>10.496170153012356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>
        <f>VLOOKUP(A53,'Données projet'!$A$217:$I$237,2,0)</f>
        <v>380</v>
      </c>
      <c r="FC53" s="12">
        <f>VLOOKUP(A53,'Données projet'!$A$217:$I$237,9,0)</f>
        <v>16.2</v>
      </c>
      <c r="FD53" s="12">
        <f t="array" ref="FD53">INDEX(FC:FC,MIN(IF(ISNUMBER(FC53:FC249),ROW(FC53:FC249),"")))</f>
        <v>16.2</v>
      </c>
      <c r="FE53" s="12">
        <f>IF('Données projet'!$A$218&gt;35,FE52+FD53-FM52,IF(A53&lt;'Données projet'!$A$218,$FB$205^A53,IF(A53='Données projet'!$A$218,'Données projet'!$B$218,FE52+FD53-FM52)))</f>
        <v>379.99999999999983</v>
      </c>
      <c r="FF53" s="17">
        <f>FE53*VLOOKUP('Données projet'!$B$16,Paramètres!$A$1:$I$89,3,0)*VLOOKUP('Données projet'!$B$16,Paramètres!$A$1:$I$89,5,0)</f>
        <v>227.23999999999992</v>
      </c>
      <c r="FG53" s="13">
        <f t="shared" si="47"/>
        <v>55.685486340484204</v>
      </c>
      <c r="FH53" s="20">
        <f t="shared" si="22"/>
        <v>492.76188870967644</v>
      </c>
      <c r="FI53" s="59">
        <f t="shared" si="23"/>
        <v>786.0952220430097</v>
      </c>
      <c r="FJ53" s="59">
        <f ca="1">AVERAGE(OFFSET($FI$3,0,0,'Données projet'!$E$16+1,1))-AVERAGE(OFFSET($H$3,0,0,'Données projet'!$E$16+1,1))</f>
        <v>270.30888762640245</v>
      </c>
      <c r="FK53" s="59">
        <f t="shared" si="48"/>
        <v>202.23783851977691</v>
      </c>
      <c r="FL53" s="15">
        <f>IF(ISNA(VLOOKUP(A53,'Données projet'!$A$217:$I$237,3,0)),0,VLOOKUP(A53,'Données projet'!$A$217:$I$237,3,0))</f>
        <v>4</v>
      </c>
      <c r="FM53" s="15">
        <f>IF(ISNA(VLOOKUP(A53,'Données projet'!$A$217:$I$237,4,0)),0,VLOOKUP(A53,'Données projet'!$A$217:$I$237,4,0))</f>
        <v>89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>
        <f>EXP(-LN(2)/35)*FQ52+(1-EXP(-LN(2)/35))/(LN(2)/35)*FM53*FN53*VLOOKUP('Données projet'!$B$16,Paramètres!$A$1:$I$89,3,0)*0.475*44/12</f>
        <v>1.4413722753918918</v>
      </c>
      <c r="FR53" s="21">
        <f>EXP(-LN(2)/25)*FR52+(1-EXP(-LN(2)/25))/(LN(2)/25)*Calculateur!FM53*Calculateur!FO53*VLOOKUP('Données projet'!$B$16,Paramètres!$A$1:$I$89,3,0)*0.475*44/12</f>
        <v>7.0617427008995186</v>
      </c>
      <c r="FS53" s="21">
        <f>EXP(-LN(2)/2)*FS52+(1-EXP(-LN(2)/2))/(LN(2)/2)*FM53*FP53*VLOOKUP('Données projet'!$B$16,Paramètres!$A$1:$I$89,3,0)*0.475*44/12</f>
        <v>1.8059188072717367E-2</v>
      </c>
      <c r="FT53" s="22">
        <f t="shared" si="24"/>
        <v>8.5211741643641279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>
        <f>VLOOKUP(A53,'Données projet'!$A$243:$I$263,2,0)</f>
        <v>285</v>
      </c>
      <c r="FX53" s="12">
        <f>VLOOKUP(A53,'Données projet'!$A$243:$I$263,9,0)</f>
        <v>9.1999999999999993</v>
      </c>
      <c r="FY53" s="12">
        <f t="array" ref="FY53">INDEX(FX:FX,MIN(IF(ISNUMBER(FX53:FX249),ROW(FX53:FX249),"")))</f>
        <v>9.1999999999999993</v>
      </c>
      <c r="FZ53" s="12">
        <f>IF('Données projet'!$A$244&gt;35,FZ52+FY53-GH52,IF(A53&lt;'Données projet'!$A$244,$FW$205^A53,IF(A53='Données projet'!$A$244,'Données projet'!$B$244,FZ52+FY53-GH52)))</f>
        <v>284.99999999999983</v>
      </c>
      <c r="GA53" s="17">
        <f>FZ53*VLOOKUP('Données projet'!$B$17,Paramètres!$A$1:$I$89,3,0)*VLOOKUP('Données projet'!$B$17,Paramètres!$A$1:$I$89,5,0)</f>
        <v>226.74599999999987</v>
      </c>
      <c r="GB53" s="13">
        <f t="shared" si="49"/>
        <v>55.578508240245917</v>
      </c>
      <c r="GC53" s="20">
        <f t="shared" si="25"/>
        <v>491.71518518509475</v>
      </c>
      <c r="GD53" s="59">
        <f t="shared" si="26"/>
        <v>785.04851851842807</v>
      </c>
      <c r="GE53" s="59">
        <f ca="1">AVERAGE(OFFSET($GD$3,0,0,'Données projet'!$E$17+1,1))-AVERAGE(OFFSET($H$3,0,0,'Données projet'!$E$17+1,1))</f>
        <v>260.20517190557814</v>
      </c>
      <c r="GF53" s="59">
        <f t="shared" si="50"/>
        <v>307.22009971147133</v>
      </c>
      <c r="GG53" s="15">
        <f>IF(ISNA(VLOOKUP(A53,'Données projet'!$A$243:$I$263,3,0)),0,VLOOKUP(A53,'Données projet'!$A$243:$I$263,3,0))</f>
        <v>4</v>
      </c>
      <c r="GH53" s="15">
        <f>IF(ISNA(VLOOKUP(A53,'Données projet'!$A$243:$I$263,4,0)),0,VLOOKUP(A53,'Données projet'!$A$243:$I$263,4,0))</f>
        <v>43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>
        <f>EXP(-LN(2)/35)*GL52+(1-EXP(-LN(2)/35))/(LN(2)/35)*GH53*GI53*VLOOKUP('Données projet'!$B$17,Paramètres!$A$1:$I$89,3,0)*0.475*44/12</f>
        <v>2.1958296958687598</v>
      </c>
      <c r="GM53" s="21">
        <f>EXP(-LN(2)/25)*GM52+(1-EXP(-LN(2)/25))/(LN(2)/25)*Calculateur!GH53*Calculateur!GJ53*VLOOKUP('Données projet'!$B$17,Paramètres!$A$1:$I$89,3,0)*0.475*44/12</f>
        <v>11.785416947583496</v>
      </c>
      <c r="GN53" s="21">
        <f>EXP(-LN(2)/2)*GN52+(1-EXP(-LN(2)/2))/(LN(2)/2)*GH53*GK53*VLOOKUP('Données projet'!$B$17,Paramètres!$A$1:$I$89,3,0)*0.475*44/12</f>
        <v>2.3475619387458287E-2</v>
      </c>
      <c r="GO53" s="21">
        <f t="shared" si="27"/>
        <v>14.004722262839714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>
        <f>VLOOKUP(A53,'Données projet'!$A$269:$I$289,2,0)</f>
        <v>241</v>
      </c>
      <c r="GS53" s="12">
        <f>VLOOKUP(A53,'Données projet'!$A$269:$I$289,9,0)</f>
        <v>7.7</v>
      </c>
      <c r="GT53" s="12">
        <f t="array" ref="GT53">INDEX(GS:GS,MIN(IF(ISNUMBER(GS53:GS249),ROW(GS53:GS249),"")))</f>
        <v>7.7</v>
      </c>
      <c r="GU53" s="12">
        <f>IF('Données projet'!$A$270&gt;35,GU52+GT53-HC52,IF(A53&lt;'Données projet'!$A$270,$GR$205^A53,IF(A53='Données projet'!$A$270,'Données projet'!$B$270,GU52+GT53-HC52)))</f>
        <v>240.99999999999974</v>
      </c>
      <c r="GV53" s="17">
        <f>GU53*VLOOKUP('Données projet'!$B$18,Paramètres!$A$1:$I$89,3,0)*VLOOKUP('Données projet'!$B$18,Paramètres!$A$1:$I$89,5,0)</f>
        <v>191.7395999999998</v>
      </c>
      <c r="GW53" s="13">
        <f t="shared" si="51"/>
        <v>47.924349465834901</v>
      </c>
      <c r="GX53" s="20">
        <f t="shared" si="28"/>
        <v>417.41471198632871</v>
      </c>
      <c r="GY53" s="59">
        <f t="shared" si="29"/>
        <v>710.74804531966197</v>
      </c>
      <c r="GZ53" s="59">
        <f ca="1">AVERAGE(OFFSET($GY$3,0,0,'Données projet'!$E$18+1,1))-AVERAGE(OFFSET($H$3,0,0,'Données projet'!$E$18+1,1))</f>
        <v>199.58763537752952</v>
      </c>
      <c r="HA53" s="59">
        <f t="shared" si="52"/>
        <v>242.62852778451929</v>
      </c>
      <c r="HB53" s="15">
        <f>IF(ISNA(VLOOKUP(A53,'Données projet'!$A$269:$I$289,3,0)),0,VLOOKUP(A53,'Données projet'!$A$269:$I$289,3,0))</f>
        <v>4</v>
      </c>
      <c r="HC53" s="15">
        <f>IF(ISNA(VLOOKUP(A53,'Données projet'!$A$269:$I$289,4,0)),0,VLOOKUP(A53,'Données projet'!$A$269:$I$289,4,0))</f>
        <v>39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>
        <f>EXP(-LN(2)/35)*HG52+(1-EXP(-LN(2)/35))/(LN(2)/35)*HC53*HD53*VLOOKUP('Données projet'!$B$18,Paramètres!$A$1:$I$89,3,0)*0.475*44/12</f>
        <v>0</v>
      </c>
      <c r="HH53" s="21">
        <f>EXP(-LN(2)/25)*HH52+(1-EXP(-LN(2)/25))/(LN(2)/25)*Calculateur!HC53*Calculateur!HE53*VLOOKUP('Données projet'!$B$18,Paramètres!$A$1:$I$89,3,0)*0.475*44/12</f>
        <v>5.9060190774432879</v>
      </c>
      <c r="HI53" s="21">
        <f>EXP(-LN(2)/2)*HI52+(1-EXP(-LN(2)/2))/(LN(2)/2)*HC53*HF53*VLOOKUP('Données projet'!$B$18,Paramètres!$A$1:$I$89,3,0)*0.475*44/12</f>
        <v>1.0509334368379121E-2</v>
      </c>
      <c r="HJ53" s="22">
        <f t="shared" si="30"/>
        <v>5.916528411811667</v>
      </c>
    </row>
    <row r="54" spans="1:218" x14ac:dyDescent="0.2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45.349200000000025</v>
      </c>
      <c r="D54" s="11">
        <f t="shared" si="32"/>
        <v>13.405931317559242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453.54838210045756</v>
      </c>
      <c r="H54" s="67">
        <f t="shared" si="1"/>
        <v>395.66518704474902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20.507692307692299</v>
      </c>
      <c r="N54" s="13">
        <f>IF('Données projet'!$A$36&gt;35,N53+M54-V53,IF(A54&lt;'Données projet'!$A$36,$K$205^A54,IF(A54='Données projet'!$A$36,'Données projet'!$B$36,N53+M54-V53)))</f>
        <v>505.27692307692286</v>
      </c>
      <c r="O54" s="13">
        <f>N54*VLOOKUP('Données projet'!$B$9,Paramètres!$A$1:$I$89,3,0)*VLOOKUP('Données projet'!$B$9,Paramètres!$A$1:$I$89,5,0)</f>
        <v>282.44979999999987</v>
      </c>
      <c r="P54" s="13">
        <f t="shared" si="33"/>
        <v>67.484459274997945</v>
      </c>
      <c r="Q54" s="20">
        <f t="shared" si="53"/>
        <v>609.46883490395442</v>
      </c>
      <c r="R54" s="59">
        <f t="shared" si="0"/>
        <v>902.80216823728779</v>
      </c>
      <c r="S54" s="59">
        <f ca="1">AVERAGE(OFFSET($R$3,0,0,'Données projet'!$E$9+1,1))-AVERAGE(OFFSET($H$3,0,0,'Données projet'!$E$9+1,1))</f>
        <v>255.5374979188561</v>
      </c>
      <c r="T54" s="59">
        <f t="shared" si="34"/>
        <v>343.10418468620901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2.038666670819961</v>
      </c>
      <c r="AA54" s="21">
        <f>EXP(-LN(2)/25)*AA53+(1-EXP(-LN(2)/25))/(LN(2)/25)*Calculateur!V54*Calculateur!X54*VLOOKUP('Données projet'!$B$9,Paramètres!$A$1:$I$89,3,0)*0.475*44/12</f>
        <v>8.9160961232740839</v>
      </c>
      <c r="AB54" s="21">
        <f>EXP(-LN(2)/2)*AB53+(1-EXP(-LN(2)/2))/(LN(2)/2)*V54*Y54*VLOOKUP('Données projet'!$B$9,Paramètres!$A$1:$I$89,3,0)*0.475*44/12</f>
        <v>1.1688337534877743E-3</v>
      </c>
      <c r="AC54" s="22">
        <f t="shared" si="3"/>
        <v>10.955931627847532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16.227472527472521</v>
      </c>
      <c r="AI54" s="13">
        <f>IF('Données projet'!$A$62&gt;35,AI53+AH54-AQ53,IF(A54&lt;'Données projet'!$A$62,$AF$205^A54,IF(A54='Données projet'!$A$62,'Données projet'!$B$62,AI53+AH54-AQ53)))</f>
        <v>346.57032967032973</v>
      </c>
      <c r="AJ54" s="13">
        <f>AI54*VLOOKUP('Données projet'!$B$10,Paramètres!$A$1:$I$89,3,0)*VLOOKUP('Données projet'!$B$10,Paramètres!$A$1:$I$89,5,0)</f>
        <v>193.73281428571431</v>
      </c>
      <c r="AK54" s="13">
        <f t="shared" si="35"/>
        <v>48.364288285880889</v>
      </c>
      <c r="AL54" s="20">
        <f t="shared" si="4"/>
        <v>421.65245364552828</v>
      </c>
      <c r="AM54" s="59">
        <f t="shared" si="5"/>
        <v>714.9857869788616</v>
      </c>
      <c r="AN54" s="59">
        <f ca="1">AVERAGE(OFFSET($AM$3,0,0,'Données projet'!$E$10+1,1))-AVERAGE(OFFSET($H$3,0,0,'Données projet'!$E$10+1,1))</f>
        <v>224.7049802939942</v>
      </c>
      <c r="AO54" s="59">
        <f t="shared" si="36"/>
        <v>203.48513862195352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1.4720169721909955</v>
      </c>
      <c r="AV54" s="21">
        <f>EXP(-LN(2)/25)*AV53+(1-EXP(-LN(2)/25))/(LN(2)/25)*Calculateur!AQ54*Calculateur!AS54*VLOOKUP('Données projet'!$B$10,Paramètres!$A$1:$I$89,3,0)*0.475*44/12</f>
        <v>10.90725174719258</v>
      </c>
      <c r="AW54" s="21">
        <f>EXP(-LN(2)/2)*AW53+(1-EXP(-LN(2)/2))/(LN(2)/2)*AQ54*AT54*VLOOKUP('Données projet'!$B$10,Paramètres!$A$1:$I$89,3,0)*0.475*44/12</f>
        <v>6.1876073503358284E-3</v>
      </c>
      <c r="AX54" s="21">
        <f t="shared" si="6"/>
        <v>12.385456326733912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9.8000000000000007</v>
      </c>
      <c r="BD54" s="12">
        <f>IF('Données projet'!$A$88&gt;35,BD53+BC54-BL53,IF(A54&lt;'Données projet'!$A$88,$BA$205^A54,IF(A54='Données projet'!$A$88,'Données projet'!$B$88,BD53+BC54-BL53)))</f>
        <v>293.80000000000013</v>
      </c>
      <c r="BE54" s="13">
        <f>BD54*VLOOKUP('Données projet'!$B$11,Paramètres!$A$1:$I$89,3,0)*VLOOKUP('Données projet'!$B$11,Paramètres!$A$1:$I$89,5,0)</f>
        <v>160.41480000000007</v>
      </c>
      <c r="BF54" s="13">
        <f t="shared" si="37"/>
        <v>40.936060601587023</v>
      </c>
      <c r="BG54" s="20">
        <f t="shared" si="7"/>
        <v>350.68608221443083</v>
      </c>
      <c r="BH54" s="59">
        <f t="shared" si="8"/>
        <v>644.01941554776408</v>
      </c>
      <c r="BI54" s="59">
        <f ca="1">AVERAGE(OFFSET($BH$3,0,0,'Données projet'!$E$11+1,1))-AVERAGE(OFFSET($H$3,0,0,'Données projet'!$E$11+1,1))</f>
        <v>210.04871822652808</v>
      </c>
      <c r="BJ54" s="59">
        <f t="shared" si="38"/>
        <v>250.17540614049324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4.8168545646514813</v>
      </c>
      <c r="BQ54" s="21">
        <f>EXP(-LN(2)/25)*BQ53+(1-EXP(-LN(2)/25))/(LN(2)/25)*Calculateur!BL54*Calculateur!BN54*VLOOKUP('Données projet'!$B$11,Paramètres!$A$1:$I$89,3,0)*0.475*44/12</f>
        <v>15.547449165475456</v>
      </c>
      <c r="BR54" s="21">
        <f>EXP(-LN(2)/2)*BR53+(1-EXP(-LN(2)/2))/(LN(2)/2)*BL54*BO54*VLOOKUP('Données projet'!$B$11,Paramètres!$A$1:$I$89,3,0)*0.475*44/12</f>
        <v>1.4883692272579793E-2</v>
      </c>
      <c r="BS54" s="22">
        <f t="shared" si="9"/>
        <v>20.379187422399518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8.1999999999999993</v>
      </c>
      <c r="BY54" s="12">
        <f>IF('Données projet'!$A$114&gt;35,BY53+BX54-CG53,IF(A54&lt;'Données projet'!$A$114,$BV$205^A54,IF(A54='Données projet'!$A$114,'Données projet'!$B$114,BY53+BX54-CG53)))</f>
        <v>255.19999999999987</v>
      </c>
      <c r="BZ54" s="13">
        <f>BY54*VLOOKUP('Données projet'!$B$12,Paramètres!$A$1:$I$89,3,0)*VLOOKUP('Données projet'!$B$12,Paramètres!$A$1:$I$89,5,0)</f>
        <v>139.33919999999992</v>
      </c>
      <c r="CA54" s="13">
        <f t="shared" si="39"/>
        <v>36.145583836349623</v>
      </c>
      <c r="CB54" s="20">
        <f t="shared" si="10"/>
        <v>305.63599851497548</v>
      </c>
      <c r="CC54" s="59">
        <f t="shared" si="11"/>
        <v>598.9693318483088</v>
      </c>
      <c r="CD54" s="59">
        <f ca="1">AVERAGE(OFFSET($CC$3,0,0,'Données projet'!$E$12+1,1))-AVERAGE(OFFSET($H$3,0,0,'Données projet'!$E$12+1,1))</f>
        <v>168.72306536277267</v>
      </c>
      <c r="CE54" s="59">
        <f t="shared" si="40"/>
        <v>203.35476578922339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2.0070227352714509</v>
      </c>
      <c r="CL54" s="21">
        <f>EXP(-LN(2)/25)*CL53+(1-EXP(-LN(2)/25))/(LN(2)/25)*Calculateur!CG54*Calculateur!CI54*VLOOKUP('Données projet'!$B$12,Paramètres!$A$1:$I$89,3,0)*0.475*44/12</f>
        <v>12.840434471046073</v>
      </c>
      <c r="CM54" s="21">
        <f>EXP(-LN(2)/2)*CM53+(1-EXP(-LN(2)/2))/(LN(2)/2)*CG54*CJ54*VLOOKUP('Données projet'!$B$12,Paramètres!$A$1:$I$89,3,0)*0.475*44/12</f>
        <v>1.3827146222576818E-2</v>
      </c>
      <c r="CN54" s="22">
        <f t="shared" si="12"/>
        <v>14.861284352540101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12.384615384615381</v>
      </c>
      <c r="CT54" s="12">
        <f>IF('Données projet'!$A$140&gt;35,CT53+CS54-DB53,IF(A54&lt;'Données projet'!$A$140,$CQ$205^A54,IF(A54='Données projet'!$A$140,'Données projet'!$B$140,CT53+CS54-DB53)))</f>
        <v>223.92307692307708</v>
      </c>
      <c r="CU54" s="17">
        <f>CT54*VLOOKUP('Données projet'!$B$13,Paramètres!$A$1:$I$89,3,0)*VLOOKUP('Données projet'!$B$13,Paramètres!$A$1:$I$89,5,0)</f>
        <v>107.70700000000006</v>
      </c>
      <c r="CV54" s="13">
        <f t="shared" si="41"/>
        <v>28.790075313971812</v>
      </c>
      <c r="CW54" s="20">
        <f t="shared" si="13"/>
        <v>237.73240617183436</v>
      </c>
      <c r="CX54" s="59">
        <f t="shared" si="14"/>
        <v>531.0657395051677</v>
      </c>
      <c r="CY54" s="59">
        <f ca="1">AVERAGE(OFFSET($CX$3,0,0,'Données projet'!$E$13+1,1))-AVERAGE(OFFSET($H$3,0,0,'Données projet'!$E$13+1,1))</f>
        <v>304.15237106473313</v>
      </c>
      <c r="CZ54" s="59">
        <f t="shared" si="42"/>
        <v>120.85458928724336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>
        <f>EXP(-LN(2)/35)*DF53+(1-EXP(-LN(2)/35))/(LN(2)/35)*DB54*DC54*VLOOKUP('Données projet'!$B$13,Paramètres!$A$1:$I$89,3,0)*0.475*44/12</f>
        <v>0</v>
      </c>
      <c r="DG54" s="21">
        <f>EXP(-LN(2)/25)*DG53+(1-EXP(-LN(2)/25))/(LN(2)/25)*Calculateur!DB54*Calculateur!DD54*VLOOKUP('Données projet'!$B$13,Paramètres!$A$1:$I$89,3,0)*0.475*44/12</f>
        <v>0</v>
      </c>
      <c r="DH54" s="21">
        <f>EXP(-LN(2)/2)*DH53+(1-EXP(-LN(2)/2))/(LN(2)/2)*DB54*DE54*VLOOKUP('Données projet'!$B$13,Paramètres!$A$1:$I$89,3,0)*0.475*44/12</f>
        <v>0</v>
      </c>
      <c r="DI54" s="22">
        <f t="shared" si="15"/>
        <v>0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7.2307692307692317</v>
      </c>
      <c r="DO54" s="12">
        <f>IF('Données projet'!$A$166&gt;35,DO53+DN54-DW53,IF(A54&lt;'Données projet'!$A$166,$DL$205^A54,IF(A54='Données projet'!$A$166,'Données projet'!$B$166,DO53+DN54-DW53)))</f>
        <v>135.69230769230768</v>
      </c>
      <c r="DP54" s="17">
        <f>DO54*VLOOKUP('Données projet'!$B$14,Paramètres!$A$1:$I$89,3,0)*VLOOKUP('Données projet'!$B$14,Paramètres!$A$1:$I$89,5,0)</f>
        <v>65.267999999999986</v>
      </c>
      <c r="DQ54" s="13">
        <f t="shared" si="43"/>
        <v>18.493591238639816</v>
      </c>
      <c r="DR54" s="20">
        <f t="shared" si="16"/>
        <v>145.88477140729762</v>
      </c>
      <c r="DS54" s="59">
        <f t="shared" si="17"/>
        <v>439.21810474063091</v>
      </c>
      <c r="DT54" s="59">
        <f ca="1">AVERAGE(OFFSET($DS$3,0,0,'Données projet'!$E$14+1,1))-AVERAGE(OFFSET($H$3,0,0,'Données projet'!$E$14+1,1))</f>
        <v>91.053246648097399</v>
      </c>
      <c r="DU54" s="59">
        <f t="shared" si="44"/>
        <v>64.716270355703955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>
        <f>EXP(-LN(2)/35)*EA53+(1-EXP(-LN(2)/35))/(LN(2)/35)*DW54*DX54*VLOOKUP('Données projet'!$B$14,Paramètres!$A$1:$I$89,3,0)*0.475*44/12</f>
        <v>0</v>
      </c>
      <c r="EB54" s="21">
        <f>EXP(-LN(2)/25)*EB53+(1-EXP(-LN(2)/25))/(LN(2)/25)*Calculateur!DW54*Calculateur!DY54*VLOOKUP('Données projet'!$B$14,Paramètres!$A$1:$I$89,3,0)*0.475*44/12</f>
        <v>0</v>
      </c>
      <c r="EC54" s="21">
        <f>EXP(-LN(2)/2)*EC53+(1-EXP(-LN(2)/2))/(LN(2)/2)*DW54*DZ54*VLOOKUP('Données projet'!$B$14,Paramètres!$A$1:$I$89,3,0)*0.475*44/12</f>
        <v>0</v>
      </c>
      <c r="ED54" s="22">
        <f t="shared" si="18"/>
        <v>0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18</v>
      </c>
      <c r="EJ54" s="12">
        <f>IF('Données projet'!$A$192&gt;35,EJ53+EI54-ER53,IF(A54&lt;'Données projet'!$A$192,$EG$205^A54,IF(A54='Données projet'!$A$192,'Données projet'!$B$192,EJ53+EI54-ER53)))</f>
        <v>345.99999999999972</v>
      </c>
      <c r="EK54" s="17">
        <f>EJ54*VLOOKUP('Données projet'!$B$15,Paramètres!$A$1:$I$89,3,0)*VLOOKUP('Données projet'!$B$15,Paramètres!$A$1:$I$89,5,0)</f>
        <v>206.90799999999984</v>
      </c>
      <c r="EL54" s="13">
        <f t="shared" si="45"/>
        <v>51.25932369987143</v>
      </c>
      <c r="EM54" s="20">
        <f t="shared" si="19"/>
        <v>449.6414221106092</v>
      </c>
      <c r="EN54" s="59">
        <f t="shared" si="20"/>
        <v>742.97475544394251</v>
      </c>
      <c r="EO54" s="59">
        <f ca="1">AVERAGE(OFFSET($EN$3,0,0,'Données projet'!$E$15+1,1))-AVERAGE(OFFSET($H$3,0,0,'Données projet'!$E$15+1,1))</f>
        <v>316.58509520829671</v>
      </c>
      <c r="EP54" s="59">
        <f t="shared" si="46"/>
        <v>240.71332110643596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>
        <f>EXP(-LN(2)/35)*EV53+(1-EXP(-LN(2)/35))/(LN(2)/35)*ER54*ES54*VLOOKUP('Données projet'!$B$15,Paramètres!$A$1:$I$89,3,0)*0.475*44/12</f>
        <v>1.672177615662388</v>
      </c>
      <c r="EW54" s="21">
        <f>EXP(-LN(2)/25)*EW53+(1-EXP(-LN(2)/25))/(LN(2)/25)*Calculateur!ER54*Calculateur!ET54*VLOOKUP('Données projet'!$B$15,Paramètres!$A$1:$I$89,3,0)*0.475*44/12</f>
        <v>8.5293290749752799</v>
      </c>
      <c r="EX54" s="21">
        <f>EXP(-LN(2)/2)*EX53+(1-EXP(-LN(2)/2))/(LN(2)/2)*ER54*EU54*VLOOKUP('Données projet'!$B$15,Paramètres!$A$1:$I$89,3,0)*0.475*44/12</f>
        <v>1.5149861581713537E-2</v>
      </c>
      <c r="EY54" s="22">
        <f t="shared" si="21"/>
        <v>10.216656552219382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15.6</v>
      </c>
      <c r="FE54" s="12">
        <f>IF('Données projet'!$A$218&gt;35,FE53+FD54-FM53,IF(A54&lt;'Données projet'!$A$218,$FB$205^A54,IF(A54='Données projet'!$A$218,'Données projet'!$B$218,FE53+FD54-FM53)))</f>
        <v>306.59999999999985</v>
      </c>
      <c r="FF54" s="17">
        <f>FE54*VLOOKUP('Données projet'!$B$16,Paramètres!$A$1:$I$89,3,0)*VLOOKUP('Données projet'!$B$16,Paramètres!$A$1:$I$89,5,0)</f>
        <v>183.34679999999994</v>
      </c>
      <c r="FG54" s="13">
        <f t="shared" si="47"/>
        <v>46.06598726946973</v>
      </c>
      <c r="FH54" s="20">
        <f t="shared" si="22"/>
        <v>399.56060449432636</v>
      </c>
      <c r="FI54" s="59">
        <f t="shared" si="23"/>
        <v>692.89393782765967</v>
      </c>
      <c r="FJ54" s="59">
        <f ca="1">AVERAGE(OFFSET($FI$3,0,0,'Données projet'!$E$16+1,1))-AVERAGE(OFFSET($H$3,0,0,'Données projet'!$E$16+1,1))</f>
        <v>270.30888762640245</v>
      </c>
      <c r="FK54" s="59">
        <f t="shared" si="48"/>
        <v>202.23783851977691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>
        <f>EXP(-LN(2)/35)*FQ53+(1-EXP(-LN(2)/35))/(LN(2)/35)*FM54*FN54*VLOOKUP('Données projet'!$B$16,Paramètres!$A$1:$I$89,3,0)*0.475*44/12</f>
        <v>1.413107844221736</v>
      </c>
      <c r="FR54" s="21">
        <f>EXP(-LN(2)/25)*FR53+(1-EXP(-LN(2)/25))/(LN(2)/25)*Calculateur!FM54*Calculateur!FO54*VLOOKUP('Données projet'!$B$16,Paramètres!$A$1:$I$89,3,0)*0.475*44/12</f>
        <v>6.8686389753825123</v>
      </c>
      <c r="FS54" s="21">
        <f>EXP(-LN(2)/2)*FS53+(1-EXP(-LN(2)/2))/(LN(2)/2)*FM54*FP54*VLOOKUP('Données projet'!$B$16,Paramètres!$A$1:$I$89,3,0)*0.475*44/12</f>
        <v>1.2769774348941668E-2</v>
      </c>
      <c r="FT54" s="22">
        <f t="shared" si="24"/>
        <v>8.2945165939531886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6.8</v>
      </c>
      <c r="FZ54" s="12">
        <f>IF('Données projet'!$A$244&gt;35,FZ53+FY54-GH53,IF(A54&lt;'Données projet'!$A$244,$FW$205^A54,IF(A54='Données projet'!$A$244,'Données projet'!$B$244,FZ53+FY54-GH53)))</f>
        <v>248.79999999999984</v>
      </c>
      <c r="GA54" s="17">
        <f>FZ54*VLOOKUP('Données projet'!$B$17,Paramètres!$A$1:$I$89,3,0)*VLOOKUP('Données projet'!$B$17,Paramètres!$A$1:$I$89,5,0)</f>
        <v>197.94527999999988</v>
      </c>
      <c r="GB54" s="13">
        <f t="shared" si="49"/>
        <v>49.29233142017484</v>
      </c>
      <c r="GC54" s="20">
        <f t="shared" si="25"/>
        <v>430.6055065568043</v>
      </c>
      <c r="GD54" s="59">
        <f t="shared" si="26"/>
        <v>723.93883989013761</v>
      </c>
      <c r="GE54" s="59">
        <f ca="1">AVERAGE(OFFSET($GD$3,0,0,'Données projet'!$E$17+1,1))-AVERAGE(OFFSET($H$3,0,0,'Données projet'!$E$17+1,1))</f>
        <v>260.20517190557814</v>
      </c>
      <c r="GF54" s="59">
        <f t="shared" si="50"/>
        <v>307.22009971147133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>
        <f>EXP(-LN(2)/35)*GL53+(1-EXP(-LN(2)/35))/(LN(2)/35)*GH54*GI54*VLOOKUP('Données projet'!$B$17,Paramètres!$A$1:$I$89,3,0)*0.475*44/12</f>
        <v>2.1527708148566407</v>
      </c>
      <c r="GM54" s="21">
        <f>EXP(-LN(2)/25)*GM53+(1-EXP(-LN(2)/25))/(LN(2)/25)*Calculateur!GH54*Calculateur!GJ54*VLOOKUP('Données projet'!$B$17,Paramètres!$A$1:$I$89,3,0)*0.475*44/12</f>
        <v>11.463144101383683</v>
      </c>
      <c r="GN54" s="21">
        <f>EXP(-LN(2)/2)*GN53+(1-EXP(-LN(2)/2))/(LN(2)/2)*GH54*GK54*VLOOKUP('Données projet'!$B$17,Paramètres!$A$1:$I$89,3,0)*0.475*44/12</f>
        <v>1.659976966142614E-2</v>
      </c>
      <c r="GO54" s="21">
        <f t="shared" si="27"/>
        <v>13.63251468590175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5.6</v>
      </c>
      <c r="GU54" s="12">
        <f>IF('Données projet'!$A$270&gt;35,GU53+GT54-HC53,IF(A54&lt;'Données projet'!$A$270,$GR$205^A54,IF(A54='Données projet'!$A$270,'Données projet'!$B$270,GU53+GT54-HC53)))</f>
        <v>207.59999999999974</v>
      </c>
      <c r="GV54" s="17">
        <f>GU54*VLOOKUP('Données projet'!$B$18,Paramètres!$A$1:$I$89,3,0)*VLOOKUP('Données projet'!$B$18,Paramètres!$A$1:$I$89,5,0)</f>
        <v>165.16655999999981</v>
      </c>
      <c r="GW54" s="13">
        <f t="shared" si="51"/>
        <v>42.005683261714502</v>
      </c>
      <c r="GX54" s="20">
        <f t="shared" si="28"/>
        <v>360.82499034748571</v>
      </c>
      <c r="GY54" s="59">
        <f t="shared" si="29"/>
        <v>654.15832368081897</v>
      </c>
      <c r="GZ54" s="59">
        <f ca="1">AVERAGE(OFFSET($GY$3,0,0,'Données projet'!$E$18+1,1))-AVERAGE(OFFSET($H$3,0,0,'Données projet'!$E$18+1,1))</f>
        <v>199.58763537752952</v>
      </c>
      <c r="HA54" s="59">
        <f t="shared" si="52"/>
        <v>242.62852778451929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>
        <f>EXP(-LN(2)/35)*HG53+(1-EXP(-LN(2)/35))/(LN(2)/35)*HC54*HD54*VLOOKUP('Données projet'!$B$18,Paramètres!$A$1:$I$89,3,0)*0.475*44/12</f>
        <v>0</v>
      </c>
      <c r="HH54" s="21">
        <f>EXP(-LN(2)/25)*HH53+(1-EXP(-LN(2)/25))/(LN(2)/25)*Calculateur!HC54*Calculateur!HE54*VLOOKUP('Données projet'!$B$18,Paramètres!$A$1:$I$89,3,0)*0.475*44/12</f>
        <v>5.7445186751865567</v>
      </c>
      <c r="HI54" s="21">
        <f>EXP(-LN(2)/2)*HI53+(1-EXP(-LN(2)/2))/(LN(2)/2)*HC54*HF54*VLOOKUP('Données projet'!$B$18,Paramètres!$A$1:$I$89,3,0)*0.475*44/12</f>
        <v>7.4312215976377188E-3</v>
      </c>
      <c r="HJ54" s="22">
        <f t="shared" si="30"/>
        <v>5.7519498967841942</v>
      </c>
    </row>
    <row r="55" spans="1:218" x14ac:dyDescent="0.2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46.238400000000027</v>
      </c>
      <c r="D55" s="11">
        <f t="shared" si="32"/>
        <v>13.637932508790366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462.20326848890824</v>
      </c>
      <c r="H55" s="67">
        <f t="shared" si="1"/>
        <v>397.61794578614325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20.507692307692299</v>
      </c>
      <c r="N55" s="13">
        <f>IF('Données projet'!$A$36&gt;35,N54+M55-V54,IF(A55&lt;'Données projet'!$A$36,$K$205^A55,IF(A55='Données projet'!$A$36,'Données projet'!$B$36,N54+M55-V54)))</f>
        <v>525.78461538461511</v>
      </c>
      <c r="O55" s="13">
        <f>N55*VLOOKUP('Données projet'!$B$9,Paramètres!$A$1:$I$89,3,0)*VLOOKUP('Données projet'!$B$9,Paramètres!$A$1:$I$89,5,0)</f>
        <v>293.91359999999986</v>
      </c>
      <c r="P55" s="13">
        <f t="shared" si="33"/>
        <v>69.899002171586702</v>
      </c>
      <c r="Q55" s="20">
        <f t="shared" si="53"/>
        <v>633.64028211551329</v>
      </c>
      <c r="R55" s="59">
        <f t="shared" si="0"/>
        <v>926.97361544884666</v>
      </c>
      <c r="S55" s="59">
        <f ca="1">AVERAGE(OFFSET($R$3,0,0,'Données projet'!$E$9+1,1))-AVERAGE(OFFSET($H$3,0,0,'Données projet'!$E$9+1,1))</f>
        <v>255.5374979188561</v>
      </c>
      <c r="T55" s="59">
        <f t="shared" si="34"/>
        <v>343.10418468620901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1.998689660869069</v>
      </c>
      <c r="AA55" s="21">
        <f>EXP(-LN(2)/25)*AA54+(1-EXP(-LN(2)/25))/(LN(2)/25)*Calculateur!V55*Calculateur!X55*VLOOKUP('Données projet'!$B$9,Paramètres!$A$1:$I$89,3,0)*0.475*44/12</f>
        <v>8.672285005906037</v>
      </c>
      <c r="AB55" s="21">
        <f>EXP(-LN(2)/2)*AB54+(1-EXP(-LN(2)/2))/(LN(2)/2)*V55*Y55*VLOOKUP('Données projet'!$B$9,Paramètres!$A$1:$I$89,3,0)*0.475*44/12</f>
        <v>8.2649027317093068E-4</v>
      </c>
      <c r="AC55" s="22">
        <f t="shared" si="3"/>
        <v>10.671801157048277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16.227472527472521</v>
      </c>
      <c r="AI55" s="13">
        <f>IF('Données projet'!$A$62&gt;35,AI54+AH55-AQ54,IF(A55&lt;'Données projet'!$A$62,$AF$205^A55,IF(A55='Données projet'!$A$62,'Données projet'!$B$62,AI54+AH55-AQ54)))</f>
        <v>362.79780219780224</v>
      </c>
      <c r="AJ55" s="13">
        <f>AI55*VLOOKUP('Données projet'!$B$10,Paramètres!$A$1:$I$89,3,0)*VLOOKUP('Données projet'!$B$10,Paramètres!$A$1:$I$89,5,0)</f>
        <v>202.80397142857146</v>
      </c>
      <c r="AK55" s="13">
        <f t="shared" si="35"/>
        <v>50.359895566849652</v>
      </c>
      <c r="AL55" s="20">
        <f t="shared" si="4"/>
        <v>440.92706835035841</v>
      </c>
      <c r="AM55" s="59">
        <f t="shared" si="5"/>
        <v>734.26040168369173</v>
      </c>
      <c r="AN55" s="59">
        <f ca="1">AVERAGE(OFFSET($AM$3,0,0,'Données projet'!$E$10+1,1))-AVERAGE(OFFSET($H$3,0,0,'Données projet'!$E$10+1,1))</f>
        <v>224.7049802939942</v>
      </c>
      <c r="AO55" s="59">
        <f t="shared" si="36"/>
        <v>203.48513862195352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1.4431516172080285</v>
      </c>
      <c r="AV55" s="21">
        <f>EXP(-LN(2)/25)*AV54+(1-EXP(-LN(2)/25))/(LN(2)/25)*Calculateur!AQ55*Calculateur!AS55*VLOOKUP('Données projet'!$B$10,Paramètres!$A$1:$I$89,3,0)*0.475*44/12</f>
        <v>10.608992374578159</v>
      </c>
      <c r="AW55" s="21">
        <f>EXP(-LN(2)/2)*AW54+(1-EXP(-LN(2)/2))/(LN(2)/2)*AQ55*AT55*VLOOKUP('Données projet'!$B$10,Paramètres!$A$1:$I$89,3,0)*0.475*44/12</f>
        <v>4.3752991167421897E-3</v>
      </c>
      <c r="AX55" s="21">
        <f t="shared" si="6"/>
        <v>12.05651929090293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9.8000000000000007</v>
      </c>
      <c r="BD55" s="12">
        <f>IF('Données projet'!$A$88&gt;35,BD54+BC55-BL54,IF(A55&lt;'Données projet'!$A$88,$BA$205^A55,IF(A55='Données projet'!$A$88,'Données projet'!$B$88,BD54+BC55-BL54)))</f>
        <v>303.60000000000014</v>
      </c>
      <c r="BE55" s="13">
        <f>BD55*VLOOKUP('Données projet'!$B$11,Paramètres!$A$1:$I$89,3,0)*VLOOKUP('Données projet'!$B$11,Paramètres!$A$1:$I$89,5,0)</f>
        <v>165.76560000000009</v>
      </c>
      <c r="BF55" s="13">
        <f t="shared" si="37"/>
        <v>42.140271125684301</v>
      </c>
      <c r="BG55" s="20">
        <f t="shared" si="7"/>
        <v>362.10272554390031</v>
      </c>
      <c r="BH55" s="59">
        <f t="shared" si="8"/>
        <v>655.43605887723356</v>
      </c>
      <c r="BI55" s="59">
        <f ca="1">AVERAGE(OFFSET($BH$3,0,0,'Données projet'!$E$11+1,1))-AVERAGE(OFFSET($H$3,0,0,'Données projet'!$E$11+1,1))</f>
        <v>210.04871822652808</v>
      </c>
      <c r="BJ55" s="59">
        <f t="shared" si="38"/>
        <v>250.17540614049324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4.722398984629848</v>
      </c>
      <c r="BQ55" s="21">
        <f>EXP(-LN(2)/25)*BQ54+(1-EXP(-LN(2)/25))/(LN(2)/25)*Calculateur!BL55*Calculateur!BN55*VLOOKUP('Données projet'!$B$11,Paramètres!$A$1:$I$89,3,0)*0.475*44/12</f>
        <v>15.122303350440712</v>
      </c>
      <c r="BR55" s="21">
        <f>EXP(-LN(2)/2)*BR54+(1-EXP(-LN(2)/2))/(LN(2)/2)*BL55*BO55*VLOOKUP('Données projet'!$B$11,Paramètres!$A$1:$I$89,3,0)*0.475*44/12</f>
        <v>1.0524359735034988E-2</v>
      </c>
      <c r="BS55" s="22">
        <f t="shared" si="9"/>
        <v>19.855226694805594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8.1999999999999993</v>
      </c>
      <c r="BY55" s="12">
        <f>IF('Données projet'!$A$114&gt;35,BY54+BX55-CG54,IF(A55&lt;'Données projet'!$A$114,$BV$205^A55,IF(A55='Données projet'!$A$114,'Données projet'!$B$114,BY54+BX55-CG54)))</f>
        <v>263.39999999999986</v>
      </c>
      <c r="BZ55" s="13">
        <f>BY55*VLOOKUP('Données projet'!$B$12,Paramètres!$A$1:$I$89,3,0)*VLOOKUP('Données projet'!$B$12,Paramètres!$A$1:$I$89,5,0)</f>
        <v>143.81639999999993</v>
      </c>
      <c r="CA55" s="13">
        <f t="shared" si="39"/>
        <v>37.169915935828818</v>
      </c>
      <c r="CB55" s="20">
        <f t="shared" si="10"/>
        <v>315.21783358823507</v>
      </c>
      <c r="CC55" s="59">
        <f t="shared" si="11"/>
        <v>608.55116692156844</v>
      </c>
      <c r="CD55" s="59">
        <f ca="1">AVERAGE(OFFSET($CC$3,0,0,'Données projet'!$E$12+1,1))-AVERAGE(OFFSET($H$3,0,0,'Données projet'!$E$12+1,1))</f>
        <v>168.72306536277267</v>
      </c>
      <c r="CE55" s="59">
        <f t="shared" si="40"/>
        <v>203.35476578922339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1.9676662435957701</v>
      </c>
      <c r="CL55" s="21">
        <f>EXP(-LN(2)/25)*CL54+(1-EXP(-LN(2)/25))/(LN(2)/25)*Calculateur!CG55*Calculateur!CI55*VLOOKUP('Données projet'!$B$12,Paramètres!$A$1:$I$89,3,0)*0.475*44/12</f>
        <v>12.489312115186216</v>
      </c>
      <c r="CM55" s="21">
        <f>EXP(-LN(2)/2)*CM54+(1-EXP(-LN(2)/2))/(LN(2)/2)*CG55*CJ55*VLOOKUP('Données projet'!$B$12,Paramètres!$A$1:$I$89,3,0)*0.475*44/12</f>
        <v>9.7772688584420245E-3</v>
      </c>
      <c r="CN55" s="22">
        <f t="shared" si="12"/>
        <v>14.466755627640429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12.384615384615381</v>
      </c>
      <c r="CT55" s="12">
        <f>IF('Données projet'!$A$140&gt;35,CT54+CS55-DB54,IF(A55&lt;'Données projet'!$A$140,$CQ$205^A55,IF(A55='Données projet'!$A$140,'Données projet'!$B$140,CT54+CS55-DB54)))</f>
        <v>236.30769230769246</v>
      </c>
      <c r="CU55" s="17">
        <f>CT55*VLOOKUP('Données projet'!$B$13,Paramètres!$A$1:$I$89,3,0)*VLOOKUP('Données projet'!$B$13,Paramètres!$A$1:$I$89,5,0)</f>
        <v>113.66400000000007</v>
      </c>
      <c r="CV55" s="13">
        <f t="shared" si="41"/>
        <v>30.1925984165768</v>
      </c>
      <c r="CW55" s="20">
        <f t="shared" si="13"/>
        <v>250.55024224220472</v>
      </c>
      <c r="CX55" s="59">
        <f t="shared" si="14"/>
        <v>543.88357557553809</v>
      </c>
      <c r="CY55" s="59">
        <f ca="1">AVERAGE(OFFSET($CX$3,0,0,'Données projet'!$E$13+1,1))-AVERAGE(OFFSET($H$3,0,0,'Données projet'!$E$13+1,1))</f>
        <v>304.15237106473313</v>
      </c>
      <c r="CZ55" s="59">
        <f t="shared" si="42"/>
        <v>120.85458928724336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>
        <f>EXP(-LN(2)/35)*DF54+(1-EXP(-LN(2)/35))/(LN(2)/35)*DB55*DC55*VLOOKUP('Données projet'!$B$13,Paramètres!$A$1:$I$89,3,0)*0.475*44/12</f>
        <v>0</v>
      </c>
      <c r="DG55" s="21">
        <f>EXP(-LN(2)/25)*DG54+(1-EXP(-LN(2)/25))/(LN(2)/25)*Calculateur!DB55*Calculateur!DD55*VLOOKUP('Données projet'!$B$13,Paramètres!$A$1:$I$89,3,0)*0.475*44/12</f>
        <v>0</v>
      </c>
      <c r="DH55" s="21">
        <f>EXP(-LN(2)/2)*DH54+(1-EXP(-LN(2)/2))/(LN(2)/2)*DB55*DE55*VLOOKUP('Données projet'!$B$13,Paramètres!$A$1:$I$89,3,0)*0.475*44/12</f>
        <v>0</v>
      </c>
      <c r="DI55" s="22">
        <f t="shared" si="15"/>
        <v>0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7.2307692307692317</v>
      </c>
      <c r="DO55" s="12">
        <f>IF('Données projet'!$A$166&gt;35,DO54+DN55-DW54,IF(A55&lt;'Données projet'!$A$166,$DL$205^A55,IF(A55='Données projet'!$A$166,'Données projet'!$B$166,DO54+DN55-DW54)))</f>
        <v>142.92307692307691</v>
      </c>
      <c r="DP55" s="17">
        <f>DO55*VLOOKUP('Données projet'!$B$14,Paramètres!$A$1:$I$89,3,0)*VLOOKUP('Données projet'!$B$14,Paramètres!$A$1:$I$89,5,0)</f>
        <v>68.745999999999995</v>
      </c>
      <c r="DQ55" s="13">
        <f t="shared" si="43"/>
        <v>19.361718307498457</v>
      </c>
      <c r="DR55" s="20">
        <f t="shared" si="16"/>
        <v>153.4542760522265</v>
      </c>
      <c r="DS55" s="59">
        <f t="shared" si="17"/>
        <v>446.78760938555979</v>
      </c>
      <c r="DT55" s="59">
        <f ca="1">AVERAGE(OFFSET($DS$3,0,0,'Données projet'!$E$14+1,1))-AVERAGE(OFFSET($H$3,0,0,'Données projet'!$E$14+1,1))</f>
        <v>91.053246648097399</v>
      </c>
      <c r="DU55" s="59">
        <f t="shared" si="44"/>
        <v>64.716270355703955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>
        <f>EXP(-LN(2)/35)*EA54+(1-EXP(-LN(2)/35))/(LN(2)/35)*DW55*DX55*VLOOKUP('Données projet'!$B$14,Paramètres!$A$1:$I$89,3,0)*0.475*44/12</f>
        <v>0</v>
      </c>
      <c r="EB55" s="21">
        <f>EXP(-LN(2)/25)*EB54+(1-EXP(-LN(2)/25))/(LN(2)/25)*Calculateur!DW55*Calculateur!DY55*VLOOKUP('Données projet'!$B$14,Paramètres!$A$1:$I$89,3,0)*0.475*44/12</f>
        <v>0</v>
      </c>
      <c r="EC55" s="21">
        <f>EXP(-LN(2)/2)*EC54+(1-EXP(-LN(2)/2))/(LN(2)/2)*DW55*DZ55*VLOOKUP('Données projet'!$B$14,Paramètres!$A$1:$I$89,3,0)*0.475*44/12</f>
        <v>0</v>
      </c>
      <c r="ED55" s="22">
        <f t="shared" si="18"/>
        <v>0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18</v>
      </c>
      <c r="EJ55" s="12">
        <f>IF('Données projet'!$A$192&gt;35,EJ54+EI55-ER54,IF(A55&lt;'Données projet'!$A$192,$EG$205^A55,IF(A55='Données projet'!$A$192,'Données projet'!$B$192,EJ54+EI55-ER54)))</f>
        <v>363.99999999999972</v>
      </c>
      <c r="EK55" s="17">
        <f>EJ55*VLOOKUP('Données projet'!$B$15,Paramètres!$A$1:$I$89,3,0)*VLOOKUP('Données projet'!$B$15,Paramètres!$A$1:$I$89,5,0)</f>
        <v>217.67199999999985</v>
      </c>
      <c r="EL55" s="13">
        <f t="shared" si="45"/>
        <v>53.60859357546002</v>
      </c>
      <c r="EM55" s="20">
        <f t="shared" si="19"/>
        <v>472.48036714392589</v>
      </c>
      <c r="EN55" s="59">
        <f t="shared" si="20"/>
        <v>765.8137004772592</v>
      </c>
      <c r="EO55" s="59">
        <f ca="1">AVERAGE(OFFSET($EN$3,0,0,'Données projet'!$E$15+1,1))-AVERAGE(OFFSET($H$3,0,0,'Données projet'!$E$15+1,1))</f>
        <v>316.58509520829671</v>
      </c>
      <c r="EP55" s="59">
        <f t="shared" si="46"/>
        <v>240.71332110643596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>
        <f>EXP(-LN(2)/35)*EV54+(1-EXP(-LN(2)/35))/(LN(2)/35)*ER55*ES55*VLOOKUP('Données projet'!$B$15,Paramètres!$A$1:$I$89,3,0)*0.475*44/12</f>
        <v>1.6393872325468846</v>
      </c>
      <c r="EW55" s="21">
        <f>EXP(-LN(2)/25)*EW54+(1-EXP(-LN(2)/25))/(LN(2)/25)*Calculateur!ER55*Calculateur!ET55*VLOOKUP('Données projet'!$B$15,Paramètres!$A$1:$I$89,3,0)*0.475*44/12</f>
        <v>8.2960941228821596</v>
      </c>
      <c r="EX55" s="21">
        <f>EXP(-LN(2)/2)*EX54+(1-EXP(-LN(2)/2))/(LN(2)/2)*ER55*EU55*VLOOKUP('Données projet'!$B$15,Paramètres!$A$1:$I$89,3,0)*0.475*44/12</f>
        <v>1.0712569858467198E-2</v>
      </c>
      <c r="EY55" s="22">
        <f t="shared" si="21"/>
        <v>9.9461939252875116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15.6</v>
      </c>
      <c r="FE55" s="12">
        <f>IF('Données projet'!$A$218&gt;35,FE54+FD55-FM54,IF(A55&lt;'Données projet'!$A$218,$FB$205^A55,IF(A55='Données projet'!$A$218,'Données projet'!$B$218,FE54+FD55-FM54)))</f>
        <v>322.19999999999987</v>
      </c>
      <c r="FF55" s="17">
        <f>FE55*VLOOKUP('Données projet'!$B$16,Paramètres!$A$1:$I$89,3,0)*VLOOKUP('Données projet'!$B$16,Paramètres!$A$1:$I$89,5,0)</f>
        <v>192.67559999999995</v>
      </c>
      <c r="FG55" s="13">
        <f t="shared" si="47"/>
        <v>48.131007733172943</v>
      </c>
      <c r="FH55" s="20">
        <f t="shared" si="22"/>
        <v>419.40484180194272</v>
      </c>
      <c r="FI55" s="59">
        <f t="shared" si="23"/>
        <v>712.73817513527604</v>
      </c>
      <c r="FJ55" s="59">
        <f ca="1">AVERAGE(OFFSET($FI$3,0,0,'Données projet'!$E$16+1,1))-AVERAGE(OFFSET($H$3,0,0,'Données projet'!$E$16+1,1))</f>
        <v>270.30888762640245</v>
      </c>
      <c r="FK55" s="59">
        <f t="shared" si="48"/>
        <v>202.23783851977691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>
        <f>EXP(-LN(2)/35)*FQ54+(1-EXP(-LN(2)/35))/(LN(2)/35)*FM55*FN55*VLOOKUP('Données projet'!$B$16,Paramètres!$A$1:$I$89,3,0)*0.475*44/12</f>
        <v>1.3853976613072261</v>
      </c>
      <c r="FR55" s="21">
        <f>EXP(-LN(2)/25)*FR54+(1-EXP(-LN(2)/25))/(LN(2)/25)*Calculateur!FM55*Calculateur!FO55*VLOOKUP('Données projet'!$B$16,Paramètres!$A$1:$I$89,3,0)*0.475*44/12</f>
        <v>6.6808156813946526</v>
      </c>
      <c r="FS55" s="21">
        <f>EXP(-LN(2)/2)*FS54+(1-EXP(-LN(2)/2))/(LN(2)/2)*FM55*FP55*VLOOKUP('Données projet'!$B$16,Paramètres!$A$1:$I$89,3,0)*0.475*44/12</f>
        <v>9.0295940363586836E-3</v>
      </c>
      <c r="FT55" s="22">
        <f t="shared" si="24"/>
        <v>8.0752429367382366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6.8</v>
      </c>
      <c r="FZ55" s="12">
        <f>IF('Données projet'!$A$244&gt;35,FZ54+FY55-GH54,IF(A55&lt;'Données projet'!$A$244,$FW$205^A55,IF(A55='Données projet'!$A$244,'Données projet'!$B$244,FZ54+FY55-GH54)))</f>
        <v>255.59999999999985</v>
      </c>
      <c r="GA55" s="17">
        <f>FZ55*VLOOKUP('Données projet'!$B$17,Paramètres!$A$1:$I$89,3,0)*VLOOKUP('Données projet'!$B$17,Paramètres!$A$1:$I$89,5,0)</f>
        <v>203.35535999999991</v>
      </c>
      <c r="GB55" s="13">
        <f t="shared" si="49"/>
        <v>50.480858741452501</v>
      </c>
      <c r="GC55" s="20">
        <f t="shared" si="25"/>
        <v>442.09808097469619</v>
      </c>
      <c r="GD55" s="59">
        <f t="shared" si="26"/>
        <v>735.4314143080295</v>
      </c>
      <c r="GE55" s="59">
        <f ca="1">AVERAGE(OFFSET($GD$3,0,0,'Données projet'!$E$17+1,1))-AVERAGE(OFFSET($H$3,0,0,'Données projet'!$E$17+1,1))</f>
        <v>260.20517190557814</v>
      </c>
      <c r="GF55" s="59">
        <f t="shared" si="50"/>
        <v>307.22009971147133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>
        <f>EXP(-LN(2)/35)*GL54+(1-EXP(-LN(2)/35))/(LN(2)/35)*GH55*GI55*VLOOKUP('Données projet'!$B$17,Paramètres!$A$1:$I$89,3,0)*0.475*44/12</f>
        <v>2.1105562922378449</v>
      </c>
      <c r="GM55" s="21">
        <f>EXP(-LN(2)/25)*GM54+(1-EXP(-LN(2)/25))/(LN(2)/25)*Calculateur!GH55*Calculateur!GJ55*VLOOKUP('Données projet'!$B$17,Paramètres!$A$1:$I$89,3,0)*0.475*44/12</f>
        <v>11.149683823110797</v>
      </c>
      <c r="GN55" s="21">
        <f>EXP(-LN(2)/2)*GN54+(1-EXP(-LN(2)/2))/(LN(2)/2)*GH55*GK55*VLOOKUP('Données projet'!$B$17,Paramètres!$A$1:$I$89,3,0)*0.475*44/12</f>
        <v>1.1737809693729144E-2</v>
      </c>
      <c r="GO55" s="21">
        <f t="shared" si="27"/>
        <v>13.271977925042371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5.6</v>
      </c>
      <c r="GU55" s="12">
        <f>IF('Données projet'!$A$270&gt;35,GU54+GT55-HC54,IF(A55&lt;'Données projet'!$A$270,$GR$205^A55,IF(A55='Données projet'!$A$270,'Données projet'!$B$270,GU54+GT55-HC54)))</f>
        <v>213.19999999999973</v>
      </c>
      <c r="GV55" s="17">
        <f>GU55*VLOOKUP('Données projet'!$B$18,Paramètres!$A$1:$I$89,3,0)*VLOOKUP('Données projet'!$B$18,Paramètres!$A$1:$I$89,5,0)</f>
        <v>169.62191999999982</v>
      </c>
      <c r="GW55" s="13">
        <f t="shared" si="51"/>
        <v>43.005335272941906</v>
      </c>
      <c r="GX55" s="20">
        <f t="shared" si="28"/>
        <v>370.32580293370683</v>
      </c>
      <c r="GY55" s="59">
        <f t="shared" si="29"/>
        <v>663.65913626704014</v>
      </c>
      <c r="GZ55" s="59">
        <f ca="1">AVERAGE(OFFSET($GY$3,0,0,'Données projet'!$E$18+1,1))-AVERAGE(OFFSET($H$3,0,0,'Données projet'!$E$18+1,1))</f>
        <v>199.58763537752952</v>
      </c>
      <c r="HA55" s="59">
        <f t="shared" si="52"/>
        <v>242.62852778451929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>
        <f>EXP(-LN(2)/35)*HG54+(1-EXP(-LN(2)/35))/(LN(2)/35)*HC55*HD55*VLOOKUP('Données projet'!$B$18,Paramètres!$A$1:$I$89,3,0)*0.475*44/12</f>
        <v>0</v>
      </c>
      <c r="HH55" s="21">
        <f>EXP(-LN(2)/25)*HH54+(1-EXP(-LN(2)/25))/(LN(2)/25)*Calculateur!HC55*Calculateur!HE55*VLOOKUP('Données projet'!$B$18,Paramètres!$A$1:$I$89,3,0)*0.475*44/12</f>
        <v>5.5874345099224723</v>
      </c>
      <c r="HI55" s="21">
        <f>EXP(-LN(2)/2)*HI54+(1-EXP(-LN(2)/2))/(LN(2)/2)*HC55*HF55*VLOOKUP('Données projet'!$B$18,Paramètres!$A$1:$I$89,3,0)*0.475*44/12</f>
        <v>5.2546671841895605E-3</v>
      </c>
      <c r="HJ55" s="22">
        <f t="shared" si="30"/>
        <v>5.5926891771066618</v>
      </c>
    </row>
    <row r="56" spans="1:218" x14ac:dyDescent="0.2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47.127600000000029</v>
      </c>
      <c r="D56" s="11">
        <f t="shared" si="32"/>
        <v>13.869414921287754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470.85415026958998</v>
      </c>
      <c r="H56" s="67">
        <f t="shared" si="1"/>
        <v>399.56980098790956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20.507692307692299</v>
      </c>
      <c r="N56" s="13">
        <f>IF('Données projet'!$A$36&gt;35,N55+M56-V55,IF(A56&lt;'Données projet'!$A$36,$K$205^A56,IF(A56='Données projet'!$A$36,'Données projet'!$B$36,N55+M56-V55)))</f>
        <v>546.29230769230742</v>
      </c>
      <c r="O56" s="13">
        <f>N56*VLOOKUP('Données projet'!$B$9,Paramètres!$A$1:$I$89,3,0)*VLOOKUP('Données projet'!$B$9,Paramètres!$A$1:$I$89,5,0)</f>
        <v>305.37739999999985</v>
      </c>
      <c r="P56" s="13">
        <f t="shared" si="33"/>
        <v>72.302604807906476</v>
      </c>
      <c r="Q56" s="20">
        <f t="shared" si="53"/>
        <v>657.79267504043685</v>
      </c>
      <c r="R56" s="59">
        <f t="shared" si="0"/>
        <v>951.12600837377022</v>
      </c>
      <c r="S56" s="59">
        <f ca="1">AVERAGE(OFFSET($R$3,0,0,'Données projet'!$E$9+1,1))-AVERAGE(OFFSET($H$3,0,0,'Données projet'!$E$9+1,1))</f>
        <v>255.5374979188561</v>
      </c>
      <c r="T56" s="59">
        <f t="shared" si="34"/>
        <v>343.10418468620901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1.9594965756997456</v>
      </c>
      <c r="AA56" s="21">
        <f>EXP(-LN(2)/25)*AA55+(1-EXP(-LN(2)/25))/(LN(2)/25)*Calculateur!V56*Calculateur!X56*VLOOKUP('Données projet'!$B$9,Paramètres!$A$1:$I$89,3,0)*0.475*44/12</f>
        <v>8.4351409163638884</v>
      </c>
      <c r="AB56" s="21">
        <f>EXP(-LN(2)/2)*AB55+(1-EXP(-LN(2)/2))/(LN(2)/2)*V56*Y56*VLOOKUP('Données projet'!$B$9,Paramètres!$A$1:$I$89,3,0)*0.475*44/12</f>
        <v>5.8441687674388716E-4</v>
      </c>
      <c r="AC56" s="22">
        <f t="shared" si="3"/>
        <v>10.395221908940378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16.227472527472521</v>
      </c>
      <c r="AI56" s="13">
        <f>IF('Données projet'!$A$62&gt;35,AI55+AH56-AQ55,IF(A56&lt;'Données projet'!$A$62,$AF$205^A56,IF(A56='Données projet'!$A$62,'Données projet'!$B$62,AI55+AH56-AQ55)))</f>
        <v>379.02527472527476</v>
      </c>
      <c r="AJ56" s="13">
        <f>AI56*VLOOKUP('Données projet'!$B$10,Paramètres!$A$1:$I$89,3,0)*VLOOKUP('Données projet'!$B$10,Paramètres!$A$1:$I$89,5,0)</f>
        <v>211.87512857142858</v>
      </c>
      <c r="AK56" s="13">
        <f t="shared" si="35"/>
        <v>52.345136228066735</v>
      </c>
      <c r="AL56" s="20">
        <f t="shared" si="4"/>
        <v>460.18362785912103</v>
      </c>
      <c r="AM56" s="59">
        <f t="shared" si="5"/>
        <v>753.51696119245435</v>
      </c>
      <c r="AN56" s="59">
        <f ca="1">AVERAGE(OFFSET($AM$3,0,0,'Données projet'!$E$10+1,1))-AVERAGE(OFFSET($H$3,0,0,'Données projet'!$E$10+1,1))</f>
        <v>224.7049802939942</v>
      </c>
      <c r="AO56" s="59">
        <f t="shared" si="36"/>
        <v>203.48513862195352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1.4148522942301496</v>
      </c>
      <c r="AV56" s="21">
        <f>EXP(-LN(2)/25)*AV55+(1-EXP(-LN(2)/25))/(LN(2)/25)*Calculateur!AQ56*Calculateur!AS56*VLOOKUP('Données projet'!$B$10,Paramètres!$A$1:$I$89,3,0)*0.475*44/12</f>
        <v>10.318888920192657</v>
      </c>
      <c r="AW56" s="21">
        <f>EXP(-LN(2)/2)*AW55+(1-EXP(-LN(2)/2))/(LN(2)/2)*AQ56*AT56*VLOOKUP('Données projet'!$B$10,Paramètres!$A$1:$I$89,3,0)*0.475*44/12</f>
        <v>3.0938036751679142E-3</v>
      </c>
      <c r="AX56" s="21">
        <f t="shared" si="6"/>
        <v>11.736835018097974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9.8000000000000007</v>
      </c>
      <c r="BD56" s="12">
        <f>IF('Données projet'!$A$88&gt;35,BD55+BC56-BL55,IF(A56&lt;'Données projet'!$A$88,$BA$205^A56,IF(A56='Données projet'!$A$88,'Données projet'!$B$88,BD55+BC56-BL55)))</f>
        <v>313.40000000000015</v>
      </c>
      <c r="BE56" s="13">
        <f>BD56*VLOOKUP('Données projet'!$B$11,Paramètres!$A$1:$I$89,3,0)*VLOOKUP('Données projet'!$B$11,Paramètres!$A$1:$I$89,5,0)</f>
        <v>171.11640000000011</v>
      </c>
      <c r="BF56" s="13">
        <f t="shared" si="37"/>
        <v>43.339964715636555</v>
      </c>
      <c r="BG56" s="20">
        <f t="shared" si="7"/>
        <v>373.51150187973388</v>
      </c>
      <c r="BH56" s="59">
        <f t="shared" si="8"/>
        <v>666.8448352130672</v>
      </c>
      <c r="BI56" s="59">
        <f ca="1">AVERAGE(OFFSET($BH$3,0,0,'Données projet'!$E$11+1,1))-AVERAGE(OFFSET($H$3,0,0,'Données projet'!$E$11+1,1))</f>
        <v>210.04871822652808</v>
      </c>
      <c r="BJ56" s="59">
        <f t="shared" si="38"/>
        <v>250.17540614049324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4.6297956209202233</v>
      </c>
      <c r="BQ56" s="21">
        <f>EXP(-LN(2)/25)*BQ55+(1-EXP(-LN(2)/25))/(LN(2)/25)*Calculateur!BL56*Calculateur!BN56*VLOOKUP('Données projet'!$B$11,Paramètres!$A$1:$I$89,3,0)*0.475*44/12</f>
        <v>14.70878317007554</v>
      </c>
      <c r="BR56" s="21">
        <f>EXP(-LN(2)/2)*BR55+(1-EXP(-LN(2)/2))/(LN(2)/2)*BL56*BO56*VLOOKUP('Données projet'!$B$11,Paramètres!$A$1:$I$89,3,0)*0.475*44/12</f>
        <v>7.4418461362898971E-3</v>
      </c>
      <c r="BS56" s="22">
        <f t="shared" si="9"/>
        <v>19.34602063713205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8.1999999999999993</v>
      </c>
      <c r="BY56" s="12">
        <f>IF('Données projet'!$A$114&gt;35,BY55+BX56-CG55,IF(A56&lt;'Données projet'!$A$114,$BV$205^A56,IF(A56='Données projet'!$A$114,'Données projet'!$B$114,BY55+BX56-CG55)))</f>
        <v>271.59999999999985</v>
      </c>
      <c r="BZ56" s="13">
        <f>BY56*VLOOKUP('Données projet'!$B$12,Paramètres!$A$1:$I$89,3,0)*VLOOKUP('Données projet'!$B$12,Paramètres!$A$1:$I$89,5,0)</f>
        <v>148.29359999999991</v>
      </c>
      <c r="CA56" s="13">
        <f t="shared" si="39"/>
        <v>38.190542257893661</v>
      </c>
      <c r="CB56" s="20">
        <f t="shared" si="10"/>
        <v>324.79321443249796</v>
      </c>
      <c r="CC56" s="59">
        <f t="shared" si="11"/>
        <v>618.12654776583122</v>
      </c>
      <c r="CD56" s="59">
        <f ca="1">AVERAGE(OFFSET($CC$3,0,0,'Données projet'!$E$12+1,1))-AVERAGE(OFFSET($H$3,0,0,'Données projet'!$E$12+1,1))</f>
        <v>168.72306536277267</v>
      </c>
      <c r="CE56" s="59">
        <f t="shared" si="40"/>
        <v>203.35476578922339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1.9290815087167599</v>
      </c>
      <c r="CL56" s="21">
        <f>EXP(-LN(2)/25)*CL55+(1-EXP(-LN(2)/25))/(LN(2)/25)*Calculateur!CG56*Calculateur!CI56*VLOOKUP('Données projet'!$B$12,Paramètres!$A$1:$I$89,3,0)*0.475*44/12</f>
        <v>12.14779121861207</v>
      </c>
      <c r="CM56" s="21">
        <f>EXP(-LN(2)/2)*CM55+(1-EXP(-LN(2)/2))/(LN(2)/2)*CG56*CJ56*VLOOKUP('Données projet'!$B$12,Paramètres!$A$1:$I$89,3,0)*0.475*44/12</f>
        <v>6.91357311128841E-3</v>
      </c>
      <c r="CN56" s="22">
        <f t="shared" si="12"/>
        <v>14.083786300440119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12.384615384615381</v>
      </c>
      <c r="CT56" s="12">
        <f>IF('Données projet'!$A$140&gt;35,CT55+CS56-DB55,IF(A56&lt;'Données projet'!$A$140,$CQ$205^A56,IF(A56='Données projet'!$A$140,'Données projet'!$B$140,CT55+CS56-DB55)))</f>
        <v>248.69230769230785</v>
      </c>
      <c r="CU56" s="17">
        <f>CT56*VLOOKUP('Données projet'!$B$13,Paramètres!$A$1:$I$89,3,0)*VLOOKUP('Données projet'!$B$13,Paramètres!$A$1:$I$89,5,0)</f>
        <v>119.62100000000007</v>
      </c>
      <c r="CV56" s="13">
        <f t="shared" si="41"/>
        <v>31.586587500456886</v>
      </c>
      <c r="CW56" s="20">
        <f t="shared" si="13"/>
        <v>263.3532148966292</v>
      </c>
      <c r="CX56" s="59">
        <f t="shared" si="14"/>
        <v>556.68654822996245</v>
      </c>
      <c r="CY56" s="59">
        <f ca="1">AVERAGE(OFFSET($CX$3,0,0,'Données projet'!$E$13+1,1))-AVERAGE(OFFSET($H$3,0,0,'Données projet'!$E$13+1,1))</f>
        <v>304.15237106473313</v>
      </c>
      <c r="CZ56" s="59">
        <f t="shared" si="42"/>
        <v>120.85458928724336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>
        <f>EXP(-LN(2)/35)*DF55+(1-EXP(-LN(2)/35))/(LN(2)/35)*DB56*DC56*VLOOKUP('Données projet'!$B$13,Paramètres!$A$1:$I$89,3,0)*0.475*44/12</f>
        <v>0</v>
      </c>
      <c r="DG56" s="21">
        <f>EXP(-LN(2)/25)*DG55+(1-EXP(-LN(2)/25))/(LN(2)/25)*Calculateur!DB56*Calculateur!DD56*VLOOKUP('Données projet'!$B$13,Paramètres!$A$1:$I$89,3,0)*0.475*44/12</f>
        <v>0</v>
      </c>
      <c r="DH56" s="21">
        <f>EXP(-LN(2)/2)*DH55+(1-EXP(-LN(2)/2))/(LN(2)/2)*DB56*DE56*VLOOKUP('Données projet'!$B$13,Paramètres!$A$1:$I$89,3,0)*0.475*44/12</f>
        <v>0</v>
      </c>
      <c r="DI56" s="22">
        <f t="shared" si="15"/>
        <v>0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7.2307692307692317</v>
      </c>
      <c r="DO56" s="12">
        <f>IF('Données projet'!$A$166&gt;35,DO55+DN56-DW55,IF(A56&lt;'Données projet'!$A$166,$DL$205^A56,IF(A56='Données projet'!$A$166,'Données projet'!$B$166,DO55+DN56-DW55)))</f>
        <v>150.15384615384613</v>
      </c>
      <c r="DP56" s="17">
        <f>DO56*VLOOKUP('Données projet'!$B$14,Paramètres!$A$1:$I$89,3,0)*VLOOKUP('Données projet'!$B$14,Paramètres!$A$1:$I$89,5,0)</f>
        <v>72.22399999999999</v>
      </c>
      <c r="DQ56" s="13">
        <f t="shared" si="43"/>
        <v>20.224745778538328</v>
      </c>
      <c r="DR56" s="20">
        <f t="shared" si="16"/>
        <v>161.0148988976209</v>
      </c>
      <c r="DS56" s="59">
        <f t="shared" si="17"/>
        <v>454.34823223095418</v>
      </c>
      <c r="DT56" s="59">
        <f ca="1">AVERAGE(OFFSET($DS$3,0,0,'Données projet'!$E$14+1,1))-AVERAGE(OFFSET($H$3,0,0,'Données projet'!$E$14+1,1))</f>
        <v>91.053246648097399</v>
      </c>
      <c r="DU56" s="59">
        <f t="shared" si="44"/>
        <v>64.716270355703955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>
        <f>EXP(-LN(2)/35)*EA55+(1-EXP(-LN(2)/35))/(LN(2)/35)*DW56*DX56*VLOOKUP('Données projet'!$B$14,Paramètres!$A$1:$I$89,3,0)*0.475*44/12</f>
        <v>0</v>
      </c>
      <c r="EB56" s="21">
        <f>EXP(-LN(2)/25)*EB55+(1-EXP(-LN(2)/25))/(LN(2)/25)*Calculateur!DW56*Calculateur!DY56*VLOOKUP('Données projet'!$B$14,Paramètres!$A$1:$I$89,3,0)*0.475*44/12</f>
        <v>0</v>
      </c>
      <c r="EC56" s="21">
        <f>EXP(-LN(2)/2)*EC55+(1-EXP(-LN(2)/2))/(LN(2)/2)*DW56*DZ56*VLOOKUP('Données projet'!$B$14,Paramètres!$A$1:$I$89,3,0)*0.475*44/12</f>
        <v>0</v>
      </c>
      <c r="ED56" s="22">
        <f t="shared" si="18"/>
        <v>0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18</v>
      </c>
      <c r="EJ56" s="12">
        <f>IF('Données projet'!$A$192&gt;35,EJ55+EI56-ER55,IF(A56&lt;'Données projet'!$A$192,$EG$205^A56,IF(A56='Données projet'!$A$192,'Données projet'!$B$192,EJ55+EI56-ER55)))</f>
        <v>381.99999999999972</v>
      </c>
      <c r="EK56" s="17">
        <f>EJ56*VLOOKUP('Données projet'!$B$15,Paramètres!$A$1:$I$89,3,0)*VLOOKUP('Données projet'!$B$15,Paramètres!$A$1:$I$89,5,0)</f>
        <v>228.43599999999986</v>
      </c>
      <c r="EL56" s="13">
        <f t="shared" si="45"/>
        <v>55.944373989427987</v>
      </c>
      <c r="EM56" s="20">
        <f t="shared" si="19"/>
        <v>495.29581803158686</v>
      </c>
      <c r="EN56" s="59">
        <f t="shared" si="20"/>
        <v>788.62915136492018</v>
      </c>
      <c r="EO56" s="59">
        <f ca="1">AVERAGE(OFFSET($EN$3,0,0,'Données projet'!$E$15+1,1))-AVERAGE(OFFSET($H$3,0,0,'Données projet'!$E$15+1,1))</f>
        <v>316.58509520829671</v>
      </c>
      <c r="EP56" s="59">
        <f t="shared" si="46"/>
        <v>240.71332110643596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>
        <f>EXP(-LN(2)/35)*EV55+(1-EXP(-LN(2)/35))/(LN(2)/35)*ER56*ES56*VLOOKUP('Données projet'!$B$15,Paramètres!$A$1:$I$89,3,0)*0.475*44/12</f>
        <v>1.6072398488441173</v>
      </c>
      <c r="EW56" s="21">
        <f>EXP(-LN(2)/25)*EW55+(1-EXP(-LN(2)/25))/(LN(2)/25)*Calculateur!ER56*Calculateur!ET56*VLOOKUP('Données projet'!$B$15,Paramètres!$A$1:$I$89,3,0)*0.475*44/12</f>
        <v>8.0692369928193184</v>
      </c>
      <c r="EX56" s="21">
        <f>EXP(-LN(2)/2)*EX55+(1-EXP(-LN(2)/2))/(LN(2)/2)*ER56*EU56*VLOOKUP('Données projet'!$B$15,Paramètres!$A$1:$I$89,3,0)*0.475*44/12</f>
        <v>7.5749307908567704E-3</v>
      </c>
      <c r="EY56" s="22">
        <f t="shared" si="21"/>
        <v>9.6840517724542909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15.6</v>
      </c>
      <c r="FE56" s="12">
        <f>IF('Données projet'!$A$218&gt;35,FE55+FD56-FM55,IF(A56&lt;'Données projet'!$A$218,$FB$205^A56,IF(A56='Données projet'!$A$218,'Données projet'!$B$218,FE55+FD56-FM55)))</f>
        <v>337.7999999999999</v>
      </c>
      <c r="FF56" s="17">
        <f>FE56*VLOOKUP('Données projet'!$B$16,Paramètres!$A$1:$I$89,3,0)*VLOOKUP('Données projet'!$B$16,Paramètres!$A$1:$I$89,5,0)</f>
        <v>202.00439999999995</v>
      </c>
      <c r="FG56" s="13">
        <f t="shared" si="47"/>
        <v>50.184418192658491</v>
      </c>
      <c r="FH56" s="20">
        <f t="shared" si="22"/>
        <v>439.22885835221342</v>
      </c>
      <c r="FI56" s="59">
        <f t="shared" si="23"/>
        <v>732.56219168554674</v>
      </c>
      <c r="FJ56" s="59">
        <f ca="1">AVERAGE(OFFSET($FI$3,0,0,'Données projet'!$E$16+1,1))-AVERAGE(OFFSET($H$3,0,0,'Données projet'!$E$16+1,1))</f>
        <v>270.30888762640245</v>
      </c>
      <c r="FK56" s="59">
        <f t="shared" si="48"/>
        <v>202.23783851977691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>
        <f>EXP(-LN(2)/35)*FQ55+(1-EXP(-LN(2)/35))/(LN(2)/35)*FM56*FN56*VLOOKUP('Données projet'!$B$16,Paramètres!$A$1:$I$89,3,0)*0.475*44/12</f>
        <v>1.3582308581781271</v>
      </c>
      <c r="FR56" s="21">
        <f>EXP(-LN(2)/25)*FR55+(1-EXP(-LN(2)/25))/(LN(2)/25)*Calculateur!FM56*Calculateur!FO56*VLOOKUP('Données projet'!$B$16,Paramètres!$A$1:$I$89,3,0)*0.475*44/12</f>
        <v>6.4981284252580886</v>
      </c>
      <c r="FS56" s="21">
        <f>EXP(-LN(2)/2)*FS55+(1-EXP(-LN(2)/2))/(LN(2)/2)*FM56*FP56*VLOOKUP('Données projet'!$B$16,Paramètres!$A$1:$I$89,3,0)*0.475*44/12</f>
        <v>6.3848871744708342E-3</v>
      </c>
      <c r="FT56" s="22">
        <f t="shared" si="24"/>
        <v>7.8627441706106866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6.8</v>
      </c>
      <c r="FZ56" s="12">
        <f>IF('Données projet'!$A$244&gt;35,FZ55+FY56-GH55,IF(A56&lt;'Données projet'!$A$244,$FW$205^A56,IF(A56='Données projet'!$A$244,'Données projet'!$B$244,FZ55+FY56-GH55)))</f>
        <v>262.39999999999986</v>
      </c>
      <c r="GA56" s="17">
        <f>FZ56*VLOOKUP('Données projet'!$B$17,Paramètres!$A$1:$I$89,3,0)*VLOOKUP('Données projet'!$B$17,Paramètres!$A$1:$I$89,5,0)</f>
        <v>208.7654399999999</v>
      </c>
      <c r="GB56" s="13">
        <f t="shared" si="49"/>
        <v>51.665710768737398</v>
      </c>
      <c r="GC56" s="20">
        <f t="shared" si="25"/>
        <v>453.58425425555083</v>
      </c>
      <c r="GD56" s="59">
        <f t="shared" si="26"/>
        <v>746.91758758888409</v>
      </c>
      <c r="GE56" s="59">
        <f ca="1">AVERAGE(OFFSET($GD$3,0,0,'Données projet'!$E$17+1,1))-AVERAGE(OFFSET($H$3,0,0,'Données projet'!$E$17+1,1))</f>
        <v>260.20517190557814</v>
      </c>
      <c r="GF56" s="59">
        <f t="shared" si="50"/>
        <v>307.22009971147133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>
        <f>EXP(-LN(2)/35)*GL55+(1-EXP(-LN(2)/35))/(LN(2)/35)*GH56*GI56*VLOOKUP('Données projet'!$B$17,Paramètres!$A$1:$I$89,3,0)*0.475*44/12</f>
        <v>2.0691695706592874</v>
      </c>
      <c r="GM56" s="21">
        <f>EXP(-LN(2)/25)*GM55+(1-EXP(-LN(2)/25))/(LN(2)/25)*Calculateur!GH56*Calculateur!GJ56*VLOOKUP('Données projet'!$B$17,Paramètres!$A$1:$I$89,3,0)*0.475*44/12</f>
        <v>10.844795132631443</v>
      </c>
      <c r="GN56" s="21">
        <f>EXP(-LN(2)/2)*GN55+(1-EXP(-LN(2)/2))/(LN(2)/2)*GH56*GK56*VLOOKUP('Données projet'!$B$17,Paramètres!$A$1:$I$89,3,0)*0.475*44/12</f>
        <v>8.2998848307130699E-3</v>
      </c>
      <c r="GO56" s="21">
        <f t="shared" si="27"/>
        <v>12.922264588121443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5.6</v>
      </c>
      <c r="GU56" s="12">
        <f>IF('Données projet'!$A$270&gt;35,GU55+GT56-HC55,IF(A56&lt;'Données projet'!$A$270,$GR$205^A56,IF(A56='Données projet'!$A$270,'Données projet'!$B$270,GU55+GT56-HC55)))</f>
        <v>218.79999999999973</v>
      </c>
      <c r="GV56" s="17">
        <f>GU56*VLOOKUP('Données projet'!$B$18,Paramètres!$A$1:$I$89,3,0)*VLOOKUP('Données projet'!$B$18,Paramètres!$A$1:$I$89,5,0)</f>
        <v>174.0772799999998</v>
      </c>
      <c r="GW56" s="13">
        <f t="shared" si="51"/>
        <v>44.001935233861104</v>
      </c>
      <c r="GX56" s="20">
        <f t="shared" si="28"/>
        <v>379.82129986564109</v>
      </c>
      <c r="GY56" s="59">
        <f t="shared" si="29"/>
        <v>673.15463319897435</v>
      </c>
      <c r="GZ56" s="59">
        <f ca="1">AVERAGE(OFFSET($GY$3,0,0,'Données projet'!$E$18+1,1))-AVERAGE(OFFSET($H$3,0,0,'Données projet'!$E$18+1,1))</f>
        <v>199.58763537752952</v>
      </c>
      <c r="HA56" s="59">
        <f t="shared" si="52"/>
        <v>242.62852778451929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>
        <f>EXP(-LN(2)/35)*HG55+(1-EXP(-LN(2)/35))/(LN(2)/35)*HC56*HD56*VLOOKUP('Données projet'!$B$18,Paramètres!$A$1:$I$89,3,0)*0.475*44/12</f>
        <v>0</v>
      </c>
      <c r="HH56" s="21">
        <f>EXP(-LN(2)/25)*HH55+(1-EXP(-LN(2)/25))/(LN(2)/25)*Calculateur!HC56*Calculateur!HE56*VLOOKUP('Données projet'!$B$18,Paramètres!$A$1:$I$89,3,0)*0.475*44/12</f>
        <v>5.4346458194182317</v>
      </c>
      <c r="HI56" s="21">
        <f>EXP(-LN(2)/2)*HI55+(1-EXP(-LN(2)/2))/(LN(2)/2)*HC56*HF56*VLOOKUP('Données projet'!$B$18,Paramètres!$A$1:$I$89,3,0)*0.475*44/12</f>
        <v>3.7156107988188594E-3</v>
      </c>
      <c r="HJ56" s="22">
        <f t="shared" si="30"/>
        <v>5.4383614302170509</v>
      </c>
    </row>
    <row r="57" spans="1:218" x14ac:dyDescent="0.2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48.016800000000032</v>
      </c>
      <c r="D57" s="11">
        <f t="shared" si="32"/>
        <v>14.100389472000563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479.50111171368889</v>
      </c>
      <c r="H57" s="67">
        <f t="shared" si="1"/>
        <v>401.52077166373437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566.79999999999995</v>
      </c>
      <c r="L57" s="12">
        <f>VLOOKUP(A57,'Données projet'!$A$35:$I$55,9,0)</f>
        <v>20.507692307692299</v>
      </c>
      <c r="M57" s="12">
        <f t="array" ref="M57">INDEX(L:L,MIN(IF(ISNUMBER(L57:L253),ROW(L57:L253),"")))</f>
        <v>20.507692307692299</v>
      </c>
      <c r="N57" s="13">
        <f>IF('Données projet'!$A$36&gt;35,N56+M57-V56,IF(A57&lt;'Données projet'!$A$36,$K$205^A57,IF(A57='Données projet'!$A$36,'Données projet'!$B$36,N56+M57-V56)))</f>
        <v>566.79999999999973</v>
      </c>
      <c r="O57" s="13">
        <f>N57*VLOOKUP('Données projet'!$B$9,Paramètres!$A$1:$I$89,3,0)*VLOOKUP('Données projet'!$B$9,Paramètres!$A$1:$I$89,5,0)</f>
        <v>316.84119999999984</v>
      </c>
      <c r="P57" s="13">
        <f t="shared" si="33"/>
        <v>74.695724902330795</v>
      </c>
      <c r="Q57" s="20">
        <f t="shared" si="53"/>
        <v>681.92681087155916</v>
      </c>
      <c r="R57" s="59">
        <f t="shared" si="0"/>
        <v>975.26014420489241</v>
      </c>
      <c r="S57" s="59">
        <f ca="1">AVERAGE(OFFSET($R$3,0,0,'Données projet'!$E$9+1,1))-AVERAGE(OFFSET($H$3,0,0,'Données projet'!$E$9+1,1))</f>
        <v>255.5374979188561</v>
      </c>
      <c r="T57" s="59">
        <f t="shared" si="34"/>
        <v>343.10418468620901</v>
      </c>
      <c r="U57" s="15">
        <f>IF(ISNA(VLOOKUP(A57,'Données projet'!$A$35:$I$55,3,0)),0,VLOOKUP(A57,'Données projet'!$A$35:$I$55,3,0))</f>
        <v>7</v>
      </c>
      <c r="V57" s="15">
        <f>IF(ISNA(VLOOKUP(A57,'Données projet'!$A$35:$I$55,4,0)),0,VLOOKUP(A57,'Données projet'!$A$35:$I$55,4,0))</f>
        <v>566.79999999999995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1.9210720430251711</v>
      </c>
      <c r="AA57" s="21">
        <f>EXP(-LN(2)/25)*AA56+(1-EXP(-LN(2)/25))/(LN(2)/25)*Calculateur!V57*Calculateur!X57*VLOOKUP('Données projet'!$B$9,Paramètres!$A$1:$I$89,3,0)*0.475*44/12</f>
        <v>8.2044815444211352</v>
      </c>
      <c r="AB57" s="21">
        <f>EXP(-LN(2)/2)*AB56+(1-EXP(-LN(2)/2))/(LN(2)/2)*V57*Y57*VLOOKUP('Données projet'!$B$9,Paramètres!$A$1:$I$89,3,0)*0.475*44/12</f>
        <v>4.1324513658546534E-4</v>
      </c>
      <c r="AC57" s="22">
        <f t="shared" si="3"/>
        <v>10.125966832582892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16.227472527472521</v>
      </c>
      <c r="AI57" s="13">
        <f>IF('Données projet'!$A$62&gt;35,AI56+AH57-AQ56,IF(A57&lt;'Données projet'!$A$62,$AF$205^A57,IF(A57='Données projet'!$A$62,'Données projet'!$B$62,AI56+AH57-AQ56)))</f>
        <v>395.25274725274727</v>
      </c>
      <c r="AJ57" s="13">
        <f>AI57*VLOOKUP('Données projet'!$B$10,Paramètres!$A$1:$I$89,3,0)*VLOOKUP('Données projet'!$B$10,Paramètres!$A$1:$I$89,5,0)</f>
        <v>220.94628571428572</v>
      </c>
      <c r="AK57" s="13">
        <f t="shared" si="35"/>
        <v>54.320504840756463</v>
      </c>
      <c r="AL57" s="20">
        <f t="shared" si="4"/>
        <v>479.42299355003178</v>
      </c>
      <c r="AM57" s="59">
        <f t="shared" si="5"/>
        <v>772.75632688336509</v>
      </c>
      <c r="AN57" s="59">
        <f ca="1">AVERAGE(OFFSET($AM$3,0,0,'Données projet'!$E$10+1,1))-AVERAGE(OFFSET($H$3,0,0,'Données projet'!$E$10+1,1))</f>
        <v>224.7049802939942</v>
      </c>
      <c r="AO57" s="59">
        <f t="shared" si="36"/>
        <v>203.48513862195352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1.387107903714984</v>
      </c>
      <c r="AV57" s="21">
        <f>EXP(-LN(2)/25)*AV56+(1-EXP(-LN(2)/25))/(LN(2)/25)*Calculateur!AQ57*Calculateur!AS57*VLOOKUP('Données projet'!$B$10,Paramètres!$A$1:$I$89,3,0)*0.475*44/12</f>
        <v>10.036718360023205</v>
      </c>
      <c r="AW57" s="21">
        <f>EXP(-LN(2)/2)*AW56+(1-EXP(-LN(2)/2))/(LN(2)/2)*AQ57*AT57*VLOOKUP('Données projet'!$B$10,Paramètres!$A$1:$I$89,3,0)*0.475*44/12</f>
        <v>2.1876495583710949E-3</v>
      </c>
      <c r="AX57" s="21">
        <f t="shared" si="6"/>
        <v>11.426013913296559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9.8000000000000007</v>
      </c>
      <c r="BD57" s="12">
        <f>IF('Données projet'!$A$88&gt;35,BD56+BC57-BL56,IF(A57&lt;'Données projet'!$A$88,$BA$205^A57,IF(A57='Données projet'!$A$88,'Données projet'!$B$88,BD56+BC57-BL56)))</f>
        <v>323.20000000000016</v>
      </c>
      <c r="BE57" s="13">
        <f>BD57*VLOOKUP('Données projet'!$B$11,Paramètres!$A$1:$I$89,3,0)*VLOOKUP('Données projet'!$B$11,Paramètres!$A$1:$I$89,5,0)</f>
        <v>176.46720000000008</v>
      </c>
      <c r="BF57" s="13">
        <f t="shared" si="37"/>
        <v>44.535298821989436</v>
      </c>
      <c r="BG57" s="20">
        <f t="shared" si="7"/>
        <v>384.91268544829836</v>
      </c>
      <c r="BH57" s="59">
        <f t="shared" si="8"/>
        <v>678.24601878163162</v>
      </c>
      <c r="BI57" s="59">
        <f ca="1">AVERAGE(OFFSET($BH$3,0,0,'Données projet'!$E$11+1,1))-AVERAGE(OFFSET($H$3,0,0,'Données projet'!$E$11+1,1))</f>
        <v>210.04871822652808</v>
      </c>
      <c r="BJ57" s="59">
        <f t="shared" si="38"/>
        <v>250.17540614049324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4.53900815269047</v>
      </c>
      <c r="BQ57" s="21">
        <f>EXP(-LN(2)/25)*BQ56+(1-EXP(-LN(2)/25))/(LN(2)/25)*Calculateur!BL57*Calculateur!BN57*VLOOKUP('Données projet'!$B$11,Paramètres!$A$1:$I$89,3,0)*0.475*44/12</f>
        <v>14.306570720788535</v>
      </c>
      <c r="BR57" s="21">
        <f>EXP(-LN(2)/2)*BR56+(1-EXP(-LN(2)/2))/(LN(2)/2)*BL57*BO57*VLOOKUP('Données projet'!$B$11,Paramètres!$A$1:$I$89,3,0)*0.475*44/12</f>
        <v>5.262179867517495E-3</v>
      </c>
      <c r="BS57" s="22">
        <f t="shared" si="9"/>
        <v>18.850841053346524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8.1999999999999993</v>
      </c>
      <c r="BY57" s="12">
        <f>IF('Données projet'!$A$114&gt;35,BY56+BX57-CG56,IF(A57&lt;'Données projet'!$A$114,$BV$205^A57,IF(A57='Données projet'!$A$114,'Données projet'!$B$114,BY56+BX57-CG56)))</f>
        <v>279.79999999999984</v>
      </c>
      <c r="BZ57" s="13">
        <f>BY57*VLOOKUP('Données projet'!$B$12,Paramètres!$A$1:$I$89,3,0)*VLOOKUP('Données projet'!$B$12,Paramètres!$A$1:$I$89,5,0)</f>
        <v>152.77079999999992</v>
      </c>
      <c r="CA57" s="13">
        <f t="shared" si="39"/>
        <v>39.207587527735704</v>
      </c>
      <c r="CB57" s="20">
        <f t="shared" si="10"/>
        <v>334.36235827747288</v>
      </c>
      <c r="CC57" s="59">
        <f t="shared" si="11"/>
        <v>627.69569161080619</v>
      </c>
      <c r="CD57" s="59">
        <f ca="1">AVERAGE(OFFSET($CC$3,0,0,'Données projet'!$E$12+1,1))-AVERAGE(OFFSET($H$3,0,0,'Données projet'!$E$12+1,1))</f>
        <v>168.72306536277267</v>
      </c>
      <c r="CE57" s="59">
        <f t="shared" si="40"/>
        <v>203.35476578922339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1.8912533969543626</v>
      </c>
      <c r="CL57" s="21">
        <f>EXP(-LN(2)/25)*CL56+(1-EXP(-LN(2)/25))/(LN(2)/25)*Calculateur!CG57*Calculateur!CI57*VLOOKUP('Données projet'!$B$12,Paramètres!$A$1:$I$89,3,0)*0.475*44/12</f>
        <v>11.815609228914548</v>
      </c>
      <c r="CM57" s="21">
        <f>EXP(-LN(2)/2)*CM56+(1-EXP(-LN(2)/2))/(LN(2)/2)*CG57*CJ57*VLOOKUP('Données projet'!$B$12,Paramètres!$A$1:$I$89,3,0)*0.475*44/12</f>
        <v>4.8886344292210122E-3</v>
      </c>
      <c r="CN57" s="22">
        <f t="shared" si="12"/>
        <v>13.711751260298133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12.384615384615381</v>
      </c>
      <c r="CT57" s="12">
        <f>IF('Données projet'!$A$140&gt;35,CT56+CS57-DB56,IF(A57&lt;'Données projet'!$A$140,$CQ$205^A57,IF(A57='Données projet'!$A$140,'Données projet'!$B$140,CT56+CS57-DB56)))</f>
        <v>261.07692307692321</v>
      </c>
      <c r="CU57" s="17">
        <f>CT57*VLOOKUP('Données projet'!$B$13,Paramètres!$A$1:$I$89,3,0)*VLOOKUP('Données projet'!$B$13,Paramètres!$A$1:$I$89,5,0)</f>
        <v>125.57800000000007</v>
      </c>
      <c r="CV57" s="13">
        <f t="shared" si="41"/>
        <v>32.972516047378349</v>
      </c>
      <c r="CW57" s="20">
        <f t="shared" si="13"/>
        <v>276.14214878251744</v>
      </c>
      <c r="CX57" s="59">
        <f t="shared" si="14"/>
        <v>569.47548211585081</v>
      </c>
      <c r="CY57" s="59">
        <f ca="1">AVERAGE(OFFSET($CX$3,0,0,'Données projet'!$E$13+1,1))-AVERAGE(OFFSET($H$3,0,0,'Données projet'!$E$13+1,1))</f>
        <v>304.15237106473313</v>
      </c>
      <c r="CZ57" s="59">
        <f t="shared" si="42"/>
        <v>120.85458928724336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>
        <f>EXP(-LN(2)/35)*DF56+(1-EXP(-LN(2)/35))/(LN(2)/35)*DB57*DC57*VLOOKUP('Données projet'!$B$13,Paramètres!$A$1:$I$89,3,0)*0.475*44/12</f>
        <v>0</v>
      </c>
      <c r="DG57" s="21">
        <f>EXP(-LN(2)/25)*DG56+(1-EXP(-LN(2)/25))/(LN(2)/25)*Calculateur!DB57*Calculateur!DD57*VLOOKUP('Données projet'!$B$13,Paramètres!$A$1:$I$89,3,0)*0.475*44/12</f>
        <v>0</v>
      </c>
      <c r="DH57" s="21">
        <f>EXP(-LN(2)/2)*DH56+(1-EXP(-LN(2)/2))/(LN(2)/2)*DB57*DE57*VLOOKUP('Données projet'!$B$13,Paramètres!$A$1:$I$89,3,0)*0.475*44/12</f>
        <v>0</v>
      </c>
      <c r="DI57" s="22">
        <f t="shared" si="15"/>
        <v>0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7.2307692307692317</v>
      </c>
      <c r="DO57" s="12">
        <f>IF('Données projet'!$A$166&gt;35,DO56+DN57-DW56,IF(A57&lt;'Données projet'!$A$166,$DL$205^A57,IF(A57='Données projet'!$A$166,'Données projet'!$B$166,DO56+DN57-DW56)))</f>
        <v>157.38461538461536</v>
      </c>
      <c r="DP57" s="17">
        <f>DO57*VLOOKUP('Données projet'!$B$14,Paramètres!$A$1:$I$89,3,0)*VLOOKUP('Données projet'!$B$14,Paramètres!$A$1:$I$89,5,0)</f>
        <v>75.701999999999998</v>
      </c>
      <c r="DQ57" s="13">
        <f t="shared" si="43"/>
        <v>21.082947261017136</v>
      </c>
      <c r="DR57" s="20">
        <f t="shared" si="16"/>
        <v>168.56711647960483</v>
      </c>
      <c r="DS57" s="59">
        <f t="shared" si="17"/>
        <v>461.90044981293818</v>
      </c>
      <c r="DT57" s="59">
        <f ca="1">AVERAGE(OFFSET($DS$3,0,0,'Données projet'!$E$14+1,1))-AVERAGE(OFFSET($H$3,0,0,'Données projet'!$E$14+1,1))</f>
        <v>91.053246648097399</v>
      </c>
      <c r="DU57" s="59">
        <f t="shared" si="44"/>
        <v>64.716270355703955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>
        <f>EXP(-LN(2)/35)*EA56+(1-EXP(-LN(2)/35))/(LN(2)/35)*DW57*DX57*VLOOKUP('Données projet'!$B$14,Paramètres!$A$1:$I$89,3,0)*0.475*44/12</f>
        <v>0</v>
      </c>
      <c r="EB57" s="21">
        <f>EXP(-LN(2)/25)*EB56+(1-EXP(-LN(2)/25))/(LN(2)/25)*Calculateur!DW57*Calculateur!DY57*VLOOKUP('Données projet'!$B$14,Paramètres!$A$1:$I$89,3,0)*0.475*44/12</f>
        <v>0</v>
      </c>
      <c r="EC57" s="21">
        <f>EXP(-LN(2)/2)*EC56+(1-EXP(-LN(2)/2))/(LN(2)/2)*DW57*DZ57*VLOOKUP('Données projet'!$B$14,Paramètres!$A$1:$I$89,3,0)*0.475*44/12</f>
        <v>0</v>
      </c>
      <c r="ED57" s="22">
        <f t="shared" si="18"/>
        <v>0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18</v>
      </c>
      <c r="EJ57" s="12">
        <f>IF('Données projet'!$A$192&gt;35,EJ56+EI57-ER56,IF(A57&lt;'Données projet'!$A$192,$EG$205^A57,IF(A57='Données projet'!$A$192,'Données projet'!$B$192,EJ56+EI57-ER56)))</f>
        <v>399.99999999999972</v>
      </c>
      <c r="EK57" s="17">
        <f>EJ57*VLOOKUP('Données projet'!$B$15,Paramètres!$A$1:$I$89,3,0)*VLOOKUP('Données projet'!$B$15,Paramètres!$A$1:$I$89,5,0)</f>
        <v>239.19999999999985</v>
      </c>
      <c r="EL57" s="13">
        <f t="shared" si="45"/>
        <v>58.267373151570702</v>
      </c>
      <c r="EM57" s="20">
        <f t="shared" si="19"/>
        <v>518.08900823898523</v>
      </c>
      <c r="EN57" s="59">
        <f t="shared" si="20"/>
        <v>811.4223415723186</v>
      </c>
      <c r="EO57" s="59">
        <f ca="1">AVERAGE(OFFSET($EN$3,0,0,'Données projet'!$E$15+1,1))-AVERAGE(OFFSET($H$3,0,0,'Données projet'!$E$15+1,1))</f>
        <v>316.58509520829671</v>
      </c>
      <c r="EP57" s="59">
        <f t="shared" si="46"/>
        <v>240.71332110643596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>
        <f>EXP(-LN(2)/35)*EV56+(1-EXP(-LN(2)/35))/(LN(2)/35)*ER57*ES57*VLOOKUP('Données projet'!$B$15,Paramètres!$A$1:$I$89,3,0)*0.475*44/12</f>
        <v>1.5757228557277934</v>
      </c>
      <c r="EW57" s="21">
        <f>EXP(-LN(2)/25)*EW56+(1-EXP(-LN(2)/25))/(LN(2)/25)*Calculateur!ER57*Calculateur!ET57*VLOOKUP('Données projet'!$B$15,Paramètres!$A$1:$I$89,3,0)*0.475*44/12</f>
        <v>7.8485832829079429</v>
      </c>
      <c r="EX57" s="21">
        <f>EXP(-LN(2)/2)*EX56+(1-EXP(-LN(2)/2))/(LN(2)/2)*ER57*EU57*VLOOKUP('Données projet'!$B$15,Paramètres!$A$1:$I$89,3,0)*0.475*44/12</f>
        <v>5.3562849292336E-3</v>
      </c>
      <c r="EY57" s="22">
        <f t="shared" si="21"/>
        <v>9.4296624235649684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15.6</v>
      </c>
      <c r="FE57" s="12">
        <f>IF('Données projet'!$A$218&gt;35,FE56+FD57-FM56,IF(A57&lt;'Données projet'!$A$218,$FB$205^A57,IF(A57='Données projet'!$A$218,'Données projet'!$B$218,FE56+FD57-FM56)))</f>
        <v>353.39999999999992</v>
      </c>
      <c r="FF57" s="17">
        <f>FE57*VLOOKUP('Données projet'!$B$16,Paramètres!$A$1:$I$89,3,0)*VLOOKUP('Données projet'!$B$16,Paramètres!$A$1:$I$89,5,0)</f>
        <v>211.33319999999995</v>
      </c>
      <c r="FG57" s="13">
        <f t="shared" si="47"/>
        <v>52.226816049120416</v>
      </c>
      <c r="FH57" s="20">
        <f t="shared" si="22"/>
        <v>459.03369461888457</v>
      </c>
      <c r="FI57" s="59">
        <f t="shared" si="23"/>
        <v>752.36702795221788</v>
      </c>
      <c r="FJ57" s="59">
        <f ca="1">AVERAGE(OFFSET($FI$3,0,0,'Données projet'!$E$16+1,1))-AVERAGE(OFFSET($H$3,0,0,'Données projet'!$E$16+1,1))</f>
        <v>270.30888762640245</v>
      </c>
      <c r="FK57" s="59">
        <f t="shared" si="48"/>
        <v>202.23783851977691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>
        <f>EXP(-LN(2)/35)*FQ56+(1-EXP(-LN(2)/35))/(LN(2)/35)*FM57*FN57*VLOOKUP('Données projet'!$B$16,Paramètres!$A$1:$I$89,3,0)*0.475*44/12</f>
        <v>1.3315967794882759</v>
      </c>
      <c r="FR57" s="21">
        <f>EXP(-LN(2)/25)*FR56+(1-EXP(-LN(2)/25))/(LN(2)/25)*Calculateur!FM57*Calculateur!FO57*VLOOKUP('Données projet'!$B$16,Paramètres!$A$1:$I$89,3,0)*0.475*44/12</f>
        <v>6.3204367617476844</v>
      </c>
      <c r="FS57" s="21">
        <f>EXP(-LN(2)/2)*FS56+(1-EXP(-LN(2)/2))/(LN(2)/2)*FM57*FP57*VLOOKUP('Données projet'!$B$16,Paramètres!$A$1:$I$89,3,0)*0.475*44/12</f>
        <v>4.5147970181793418E-3</v>
      </c>
      <c r="FT57" s="22">
        <f t="shared" si="24"/>
        <v>7.6565483382541393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6.8</v>
      </c>
      <c r="FZ57" s="12">
        <f>IF('Données projet'!$A$244&gt;35,FZ56+FY57-GH56,IF(A57&lt;'Données projet'!$A$244,$FW$205^A57,IF(A57='Données projet'!$A$244,'Données projet'!$B$244,FZ56+FY57-GH56)))</f>
        <v>269.19999999999987</v>
      </c>
      <c r="GA57" s="17">
        <f>FZ57*VLOOKUP('Données projet'!$B$17,Paramètres!$A$1:$I$89,3,0)*VLOOKUP('Données projet'!$B$17,Paramètres!$A$1:$I$89,5,0)</f>
        <v>214.17551999999992</v>
      </c>
      <c r="GB57" s="13">
        <f t="shared" si="49"/>
        <v>52.846993696165399</v>
      </c>
      <c r="GC57" s="20">
        <f t="shared" si="25"/>
        <v>465.06421135415462</v>
      </c>
      <c r="GD57" s="59">
        <f t="shared" si="26"/>
        <v>758.39754468748788</v>
      </c>
      <c r="GE57" s="59">
        <f ca="1">AVERAGE(OFFSET($GD$3,0,0,'Données projet'!$E$17+1,1))-AVERAGE(OFFSET($H$3,0,0,'Données projet'!$E$17+1,1))</f>
        <v>260.20517190557814</v>
      </c>
      <c r="GF57" s="59">
        <f t="shared" si="50"/>
        <v>307.22009971147133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>
        <f>EXP(-LN(2)/35)*GL56+(1-EXP(-LN(2)/35))/(LN(2)/35)*GH57*GI57*VLOOKUP('Données projet'!$B$17,Paramètres!$A$1:$I$89,3,0)*0.475*44/12</f>
        <v>2.0285944174474779</v>
      </c>
      <c r="GM57" s="21">
        <f>EXP(-LN(2)/25)*GM56+(1-EXP(-LN(2)/25))/(LN(2)/25)*Calculateur!GH57*Calculateur!GJ57*VLOOKUP('Données projet'!$B$17,Paramètres!$A$1:$I$89,3,0)*0.475*44/12</f>
        <v>10.548243639426646</v>
      </c>
      <c r="GN57" s="21">
        <f>EXP(-LN(2)/2)*GN56+(1-EXP(-LN(2)/2))/(LN(2)/2)*GH57*GK57*VLOOKUP('Données projet'!$B$17,Paramètres!$A$1:$I$89,3,0)*0.475*44/12</f>
        <v>5.8689048468645718E-3</v>
      </c>
      <c r="GO57" s="21">
        <f t="shared" si="27"/>
        <v>12.582706961720989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5.6</v>
      </c>
      <c r="GU57" s="12">
        <f>IF('Données projet'!$A$270&gt;35,GU56+GT57-HC56,IF(A57&lt;'Données projet'!$A$270,$GR$205^A57,IF(A57='Données projet'!$A$270,'Données projet'!$B$270,GU56+GT57-HC56)))</f>
        <v>224.39999999999972</v>
      </c>
      <c r="GV57" s="17">
        <f>GU57*VLOOKUP('Données projet'!$B$18,Paramètres!$A$1:$I$89,3,0)*VLOOKUP('Données projet'!$B$18,Paramètres!$A$1:$I$89,5,0)</f>
        <v>178.53263999999979</v>
      </c>
      <c r="GW57" s="13">
        <f t="shared" si="51"/>
        <v>44.99557024111764</v>
      </c>
      <c r="GX57" s="20">
        <f t="shared" si="28"/>
        <v>389.31163283661289</v>
      </c>
      <c r="GY57" s="59">
        <f t="shared" si="29"/>
        <v>682.6449661699462</v>
      </c>
      <c r="GZ57" s="59">
        <f ca="1">AVERAGE(OFFSET($GY$3,0,0,'Données projet'!$E$18+1,1))-AVERAGE(OFFSET($H$3,0,0,'Données projet'!$E$18+1,1))</f>
        <v>199.58763537752952</v>
      </c>
      <c r="HA57" s="59">
        <f t="shared" si="52"/>
        <v>242.62852778451929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>
        <f>EXP(-LN(2)/35)*HG56+(1-EXP(-LN(2)/35))/(LN(2)/35)*HC57*HD57*VLOOKUP('Données projet'!$B$18,Paramètres!$A$1:$I$89,3,0)*0.475*44/12</f>
        <v>0</v>
      </c>
      <c r="HH57" s="21">
        <f>EXP(-LN(2)/25)*HH56+(1-EXP(-LN(2)/25))/(LN(2)/25)*Calculateur!HC57*Calculateur!HE57*VLOOKUP('Données projet'!$B$18,Paramètres!$A$1:$I$89,3,0)*0.475*44/12</f>
        <v>5.2860351436906372</v>
      </c>
      <c r="HI57" s="21">
        <f>EXP(-LN(2)/2)*HI56+(1-EXP(-LN(2)/2))/(LN(2)/2)*HC57*HF57*VLOOKUP('Données projet'!$B$18,Paramètres!$A$1:$I$89,3,0)*0.475*44/12</f>
        <v>2.6273335920947802E-3</v>
      </c>
      <c r="HJ57" s="22">
        <f t="shared" si="30"/>
        <v>5.288662477282732</v>
      </c>
    </row>
    <row r="58" spans="1:218" x14ac:dyDescent="0.2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48.906000000000034</v>
      </c>
      <c r="D58" s="11">
        <f t="shared" si="32"/>
        <v>14.330866650402033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488.14423379257738</v>
      </c>
      <c r="H58" s="67">
        <f t="shared" si="1"/>
        <v>403.47087608278355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-2.2737367544323206E-13</v>
      </c>
      <c r="O58" s="13">
        <f>N58*VLOOKUP('Données projet'!$B$9,Paramètres!$A$1:$I$89,3,0)*VLOOKUP('Données projet'!$B$9,Paramètres!$A$1:$I$89,5,0)</f>
        <v>-1.2710188457276673E-13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255.5374979188561</v>
      </c>
      <c r="T58" s="59">
        <f t="shared" si="34"/>
        <v>343.10418468620901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1.8834009919996941</v>
      </c>
      <c r="AA58" s="21">
        <f>EXP(-LN(2)/25)*AA57+(1-EXP(-LN(2)/25))/(LN(2)/25)*Calculateur!V58*Calculateur!X58*VLOOKUP('Données projet'!$B$9,Paramètres!$A$1:$I$89,3,0)*0.475*44/12</f>
        <v>7.9801295651340061</v>
      </c>
      <c r="AB58" s="21">
        <f>EXP(-LN(2)/2)*AB57+(1-EXP(-LN(2)/2))/(LN(2)/2)*V58*Y58*VLOOKUP('Données projet'!$B$9,Paramètres!$A$1:$I$89,3,0)*0.475*44/12</f>
        <v>2.9220843837194358E-4</v>
      </c>
      <c r="AC58" s="22">
        <f t="shared" si="3"/>
        <v>9.8638227655720723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16.227472527472521</v>
      </c>
      <c r="AI58" s="13">
        <f>IF('Données projet'!$A$62&gt;35,AI57+AH58-AQ57,IF(A58&lt;'Données projet'!$A$62,$AF$205^A58,IF(A58='Données projet'!$A$62,'Données projet'!$B$62,AI57+AH58-AQ57)))</f>
        <v>411.48021978021978</v>
      </c>
      <c r="AJ58" s="13">
        <f>AI58*VLOOKUP('Données projet'!$B$10,Paramètres!$A$1:$I$89,3,0)*VLOOKUP('Données projet'!$B$10,Paramètres!$A$1:$I$89,5,0)</f>
        <v>230.01744285714284</v>
      </c>
      <c r="AK58" s="13">
        <f t="shared" si="35"/>
        <v>56.286453068022915</v>
      </c>
      <c r="AL58" s="20">
        <f t="shared" si="4"/>
        <v>498.64595206966368</v>
      </c>
      <c r="AM58" s="59">
        <f t="shared" si="5"/>
        <v>791.97928540299699</v>
      </c>
      <c r="AN58" s="59">
        <f ca="1">AVERAGE(OFFSET($AM$3,0,0,'Données projet'!$E$10+1,1))-AVERAGE(OFFSET($H$3,0,0,'Données projet'!$E$10+1,1))</f>
        <v>224.7049802939942</v>
      </c>
      <c r="AO58" s="59">
        <f t="shared" si="36"/>
        <v>203.48513862195352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1.3599075637754137</v>
      </c>
      <c r="AV58" s="21">
        <f>EXP(-LN(2)/25)*AV57+(1-EXP(-LN(2)/25))/(LN(2)/25)*Calculateur!AQ58*Calculateur!AS58*VLOOKUP('Données projet'!$B$10,Paramètres!$A$1:$I$89,3,0)*0.475*44/12</f>
        <v>9.76226376866029</v>
      </c>
      <c r="AW58" s="21">
        <f>EXP(-LN(2)/2)*AW57+(1-EXP(-LN(2)/2))/(LN(2)/2)*AQ58*AT58*VLOOKUP('Données projet'!$B$10,Paramètres!$A$1:$I$89,3,0)*0.475*44/12</f>
        <v>1.5469018375839571E-3</v>
      </c>
      <c r="AX58" s="21">
        <f t="shared" si="6"/>
        <v>11.123718234273287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9.8000000000000007</v>
      </c>
      <c r="BD58" s="12">
        <f>IF('Données projet'!$A$88&gt;35,BD57+BC58-BL57,IF(A58&lt;'Données projet'!$A$88,$BA$205^A58,IF(A58='Données projet'!$A$88,'Données projet'!$B$88,BD57+BC58-BL57)))</f>
        <v>333.00000000000017</v>
      </c>
      <c r="BE58" s="13">
        <f>BD58*VLOOKUP('Données projet'!$B$11,Paramètres!$A$1:$I$89,3,0)*VLOOKUP('Données projet'!$B$11,Paramètres!$A$1:$I$89,5,0)</f>
        <v>181.8180000000001</v>
      </c>
      <c r="BF58" s="13">
        <f t="shared" si="37"/>
        <v>45.726420804334332</v>
      </c>
      <c r="BG58" s="20">
        <f t="shared" si="7"/>
        <v>396.30653290088247</v>
      </c>
      <c r="BH58" s="59">
        <f t="shared" si="8"/>
        <v>689.63986623421579</v>
      </c>
      <c r="BI58" s="59">
        <f ca="1">AVERAGE(OFFSET($BH$3,0,0,'Données projet'!$E$11+1,1))-AVERAGE(OFFSET($H$3,0,0,'Données projet'!$E$11+1,1))</f>
        <v>210.04871822652808</v>
      </c>
      <c r="BJ58" s="59">
        <f t="shared" si="38"/>
        <v>250.17540614049324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4.4500009713378139</v>
      </c>
      <c r="BQ58" s="21">
        <f>EXP(-LN(2)/25)*BQ57+(1-EXP(-LN(2)/25))/(LN(2)/25)*Calculateur!BL58*Calculateur!BN58*VLOOKUP('Données projet'!$B$11,Paramètres!$A$1:$I$89,3,0)*0.475*44/12</f>
        <v>13.915356792078716</v>
      </c>
      <c r="BR58" s="21">
        <f>EXP(-LN(2)/2)*BR57+(1-EXP(-LN(2)/2))/(LN(2)/2)*BL58*BO58*VLOOKUP('Données projet'!$B$11,Paramètres!$A$1:$I$89,3,0)*0.475*44/12</f>
        <v>3.7209230681449494E-3</v>
      </c>
      <c r="BS58" s="22">
        <f t="shared" si="9"/>
        <v>18.369078686484674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8.1999999999999993</v>
      </c>
      <c r="BY58" s="12">
        <f>IF('Données projet'!$A$114&gt;35,BY57+BX58-CG57,IF(A58&lt;'Données projet'!$A$114,$BV$205^A58,IF(A58='Données projet'!$A$114,'Données projet'!$B$114,BY57+BX58-CG57)))</f>
        <v>287.99999999999983</v>
      </c>
      <c r="BZ58" s="13">
        <f>BY58*VLOOKUP('Données projet'!$B$12,Paramètres!$A$1:$I$89,3,0)*VLOOKUP('Données projet'!$B$12,Paramètres!$A$1:$I$89,5,0)</f>
        <v>157.24799999999991</v>
      </c>
      <c r="CA58" s="13">
        <f t="shared" si="39"/>
        <v>40.22116874434861</v>
      </c>
      <c r="CB58" s="20">
        <f t="shared" si="10"/>
        <v>343.92546889640698</v>
      </c>
      <c r="CC58" s="59">
        <f t="shared" si="11"/>
        <v>637.25880222974024</v>
      </c>
      <c r="CD58" s="59">
        <f ca="1">AVERAGE(OFFSET($CC$3,0,0,'Données projet'!$E$12+1,1))-AVERAGE(OFFSET($H$3,0,0,'Données projet'!$E$12+1,1))</f>
        <v>168.72306536277267</v>
      </c>
      <c r="CE58" s="59">
        <f t="shared" si="40"/>
        <v>203.35476578922339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1.8541670713907561</v>
      </c>
      <c r="CL58" s="21">
        <f>EXP(-LN(2)/25)*CL57+(1-EXP(-LN(2)/25))/(LN(2)/25)*Calculateur!CG58*Calculateur!CI58*VLOOKUP('Données projet'!$B$12,Paramètres!$A$1:$I$89,3,0)*0.475*44/12</f>
        <v>11.492510773193995</v>
      </c>
      <c r="CM58" s="21">
        <f>EXP(-LN(2)/2)*CM57+(1-EXP(-LN(2)/2))/(LN(2)/2)*CG58*CJ58*VLOOKUP('Données projet'!$B$12,Paramètres!$A$1:$I$89,3,0)*0.475*44/12</f>
        <v>3.456786555644205E-3</v>
      </c>
      <c r="CN58" s="22">
        <f t="shared" si="12"/>
        <v>13.350134631140396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12.384615384615381</v>
      </c>
      <c r="CT58" s="12">
        <f>IF('Données projet'!$A$140&gt;35,CT57+CS58-DB57,IF(A58&lt;'Données projet'!$A$140,$CQ$205^A58,IF(A58='Données projet'!$A$140,'Données projet'!$B$140,CT57+CS58-DB57)))</f>
        <v>273.46153846153857</v>
      </c>
      <c r="CU58" s="17">
        <f>CT58*VLOOKUP('Données projet'!$B$13,Paramètres!$A$1:$I$89,3,0)*VLOOKUP('Données projet'!$B$13,Paramètres!$A$1:$I$89,5,0)</f>
        <v>131.53500000000005</v>
      </c>
      <c r="CV58" s="13">
        <f t="shared" si="41"/>
        <v>34.350810079981514</v>
      </c>
      <c r="CW58" s="20">
        <f t="shared" si="13"/>
        <v>288.91778588930123</v>
      </c>
      <c r="CX58" s="59">
        <f t="shared" si="14"/>
        <v>582.25111922263454</v>
      </c>
      <c r="CY58" s="59">
        <f ca="1">AVERAGE(OFFSET($CX$3,0,0,'Données projet'!$E$13+1,1))-AVERAGE(OFFSET($H$3,0,0,'Données projet'!$E$13+1,1))</f>
        <v>304.15237106473313</v>
      </c>
      <c r="CZ58" s="59">
        <f t="shared" si="42"/>
        <v>120.85458928724336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>
        <f>EXP(-LN(2)/35)*DF57+(1-EXP(-LN(2)/35))/(LN(2)/35)*DB58*DC58*VLOOKUP('Données projet'!$B$13,Paramètres!$A$1:$I$89,3,0)*0.475*44/12</f>
        <v>0</v>
      </c>
      <c r="DG58" s="21">
        <f>EXP(-LN(2)/25)*DG57+(1-EXP(-LN(2)/25))/(LN(2)/25)*Calculateur!DB58*Calculateur!DD58*VLOOKUP('Données projet'!$B$13,Paramètres!$A$1:$I$89,3,0)*0.475*44/12</f>
        <v>0</v>
      </c>
      <c r="DH58" s="21">
        <f>EXP(-LN(2)/2)*DH57+(1-EXP(-LN(2)/2))/(LN(2)/2)*DB58*DE58*VLOOKUP('Données projet'!$B$13,Paramètres!$A$1:$I$89,3,0)*0.475*44/12</f>
        <v>0</v>
      </c>
      <c r="DI58" s="22">
        <f t="shared" si="15"/>
        <v>0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7.2307692307692317</v>
      </c>
      <c r="DO58" s="12">
        <f>IF('Données projet'!$A$166&gt;35,DO57+DN58-DW57,IF(A58&lt;'Données projet'!$A$166,$DL$205^A58,IF(A58='Données projet'!$A$166,'Données projet'!$B$166,DO57+DN58-DW57)))</f>
        <v>164.61538461538458</v>
      </c>
      <c r="DP58" s="17">
        <f>DO58*VLOOKUP('Données projet'!$B$14,Paramètres!$A$1:$I$89,3,0)*VLOOKUP('Données projet'!$B$14,Paramètres!$A$1:$I$89,5,0)</f>
        <v>79.179999999999978</v>
      </c>
      <c r="DQ58" s="13">
        <f t="shared" si="43"/>
        <v>21.936569802167039</v>
      </c>
      <c r="DR58" s="20">
        <f t="shared" si="16"/>
        <v>176.11135907210755</v>
      </c>
      <c r="DS58" s="59">
        <f t="shared" si="17"/>
        <v>469.44469240544083</v>
      </c>
      <c r="DT58" s="59">
        <f ca="1">AVERAGE(OFFSET($DS$3,0,0,'Données projet'!$E$14+1,1))-AVERAGE(OFFSET($H$3,0,0,'Données projet'!$E$14+1,1))</f>
        <v>91.053246648097399</v>
      </c>
      <c r="DU58" s="59">
        <f t="shared" si="44"/>
        <v>64.716270355703955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>
        <f>EXP(-LN(2)/35)*EA57+(1-EXP(-LN(2)/35))/(LN(2)/35)*DW58*DX58*VLOOKUP('Données projet'!$B$14,Paramètres!$A$1:$I$89,3,0)*0.475*44/12</f>
        <v>0</v>
      </c>
      <c r="EB58" s="21">
        <f>EXP(-LN(2)/25)*EB57+(1-EXP(-LN(2)/25))/(LN(2)/25)*Calculateur!DW58*Calculateur!DY58*VLOOKUP('Données projet'!$B$14,Paramètres!$A$1:$I$89,3,0)*0.475*44/12</f>
        <v>0</v>
      </c>
      <c r="EC58" s="21">
        <f>EXP(-LN(2)/2)*EC57+(1-EXP(-LN(2)/2))/(LN(2)/2)*DW58*DZ58*VLOOKUP('Données projet'!$B$14,Paramètres!$A$1:$I$89,3,0)*0.475*44/12</f>
        <v>0</v>
      </c>
      <c r="ED58" s="22">
        <f t="shared" si="18"/>
        <v>0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18</v>
      </c>
      <c r="EJ58" s="12">
        <f>IF('Données projet'!$A$192&gt;35,EJ57+EI58-ER57,IF(A58&lt;'Données projet'!$A$192,$EG$205^A58,IF(A58='Données projet'!$A$192,'Données projet'!$B$192,EJ57+EI58-ER57)))</f>
        <v>417.99999999999972</v>
      </c>
      <c r="EK58" s="17">
        <f>EJ58*VLOOKUP('Données projet'!$B$15,Paramètres!$A$1:$I$89,3,0)*VLOOKUP('Données projet'!$B$15,Paramètres!$A$1:$I$89,5,0)</f>
        <v>249.96399999999986</v>
      </c>
      <c r="EL58" s="13">
        <f t="shared" si="45"/>
        <v>60.578231929558321</v>
      </c>
      <c r="EM58" s="20">
        <f t="shared" si="19"/>
        <v>540.86105394398044</v>
      </c>
      <c r="EN58" s="59">
        <f t="shared" si="20"/>
        <v>834.19438727731381</v>
      </c>
      <c r="EO58" s="59">
        <f ca="1">AVERAGE(OFFSET($EN$3,0,0,'Données projet'!$E$15+1,1))-AVERAGE(OFFSET($H$3,0,0,'Données projet'!$E$15+1,1))</f>
        <v>316.58509520829671</v>
      </c>
      <c r="EP58" s="59">
        <f t="shared" si="46"/>
        <v>240.71332110643596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>
        <f>EXP(-LN(2)/35)*EV57+(1-EXP(-LN(2)/35))/(LN(2)/35)*ER58*ES58*VLOOKUP('Données projet'!$B$15,Paramètres!$A$1:$I$89,3,0)*0.475*44/12</f>
        <v>1.544823891623013</v>
      </c>
      <c r="EW58" s="21">
        <f>EXP(-LN(2)/25)*EW57+(1-EXP(-LN(2)/25))/(LN(2)/25)*Calculateur!ER58*Calculateur!ET58*VLOOKUP('Données projet'!$B$15,Paramètres!$A$1:$I$89,3,0)*0.475*44/12</f>
        <v>7.633963360297769</v>
      </c>
      <c r="EX58" s="21">
        <f>EXP(-LN(2)/2)*EX57+(1-EXP(-LN(2)/2))/(LN(2)/2)*ER58*EU58*VLOOKUP('Données projet'!$B$15,Paramètres!$A$1:$I$89,3,0)*0.475*44/12</f>
        <v>3.7874653954283856E-3</v>
      </c>
      <c r="EY58" s="22">
        <f t="shared" si="21"/>
        <v>9.1825747173162107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15.6</v>
      </c>
      <c r="FE58" s="12">
        <f>IF('Données projet'!$A$218&gt;35,FE57+FD58-FM57,IF(A58&lt;'Données projet'!$A$218,$FB$205^A58,IF(A58='Données projet'!$A$218,'Données projet'!$B$218,FE57+FD58-FM57)))</f>
        <v>368.99999999999994</v>
      </c>
      <c r="FF58" s="17">
        <f>FE58*VLOOKUP('Données projet'!$B$16,Paramètres!$A$1:$I$89,3,0)*VLOOKUP('Données projet'!$B$16,Paramètres!$A$1:$I$89,5,0)</f>
        <v>220.66199999999998</v>
      </c>
      <c r="FG58" s="13">
        <f t="shared" si="47"/>
        <v>54.258742979954953</v>
      </c>
      <c r="FH58" s="20">
        <f t="shared" si="22"/>
        <v>478.82029402342147</v>
      </c>
      <c r="FI58" s="59">
        <f t="shared" si="23"/>
        <v>772.15362735675478</v>
      </c>
      <c r="FJ58" s="59">
        <f ca="1">AVERAGE(OFFSET($FI$3,0,0,'Données projet'!$E$16+1,1))-AVERAGE(OFFSET($H$3,0,0,'Données projet'!$E$16+1,1))</f>
        <v>270.30888762640245</v>
      </c>
      <c r="FK58" s="59">
        <f t="shared" si="48"/>
        <v>202.23783851977691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>
        <f>EXP(-LN(2)/35)*FQ57+(1-EXP(-LN(2)/35))/(LN(2)/35)*FM58*FN58*VLOOKUP('Données projet'!$B$16,Paramètres!$A$1:$I$89,3,0)*0.475*44/12</f>
        <v>1.305484978836349</v>
      </c>
      <c r="FR58" s="21">
        <f>EXP(-LN(2)/25)*FR57+(1-EXP(-LN(2)/25))/(LN(2)/25)*Calculateur!FM58*Calculateur!FO58*VLOOKUP('Données projet'!$B$16,Paramètres!$A$1:$I$89,3,0)*0.475*44/12</f>
        <v>6.1476040861203707</v>
      </c>
      <c r="FS58" s="21">
        <f>EXP(-LN(2)/2)*FS57+(1-EXP(-LN(2)/2))/(LN(2)/2)*FM58*FP58*VLOOKUP('Données projet'!$B$16,Paramètres!$A$1:$I$89,3,0)*0.475*44/12</f>
        <v>3.1924435872354171E-3</v>
      </c>
      <c r="FT58" s="22">
        <f t="shared" si="24"/>
        <v>7.4562815085439551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6.8</v>
      </c>
      <c r="FZ58" s="12">
        <f>IF('Données projet'!$A$244&gt;35,FZ57+FY58-GH57,IF(A58&lt;'Données projet'!$A$244,$FW$205^A58,IF(A58='Données projet'!$A$244,'Données projet'!$B$244,FZ57+FY58-GH57)))</f>
        <v>275.99999999999989</v>
      </c>
      <c r="GA58" s="17">
        <f>FZ58*VLOOKUP('Données projet'!$B$17,Paramètres!$A$1:$I$89,3,0)*VLOOKUP('Données projet'!$B$17,Paramètres!$A$1:$I$89,5,0)</f>
        <v>219.58559999999991</v>
      </c>
      <c r="GB58" s="13">
        <f t="shared" si="49"/>
        <v>54.024808047218549</v>
      </c>
      <c r="GC58" s="20">
        <f t="shared" si="25"/>
        <v>476.53812734890556</v>
      </c>
      <c r="GD58" s="59">
        <f t="shared" si="26"/>
        <v>769.87146068223888</v>
      </c>
      <c r="GE58" s="59">
        <f ca="1">AVERAGE(OFFSET($GD$3,0,0,'Données projet'!$E$17+1,1))-AVERAGE(OFFSET($H$3,0,0,'Données projet'!$E$17+1,1))</f>
        <v>260.20517190557814</v>
      </c>
      <c r="GF58" s="59">
        <f t="shared" si="50"/>
        <v>307.22009971147133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>
        <f>EXP(-LN(2)/35)*GL57+(1-EXP(-LN(2)/35))/(LN(2)/35)*GH58*GI58*VLOOKUP('Données projet'!$B$17,Paramètres!$A$1:$I$89,3,0)*0.475*44/12</f>
        <v>1.9888149182417523</v>
      </c>
      <c r="GM58" s="21">
        <f>EXP(-LN(2)/25)*GM57+(1-EXP(-LN(2)/25))/(LN(2)/25)*Calculateur!GH58*Calculateur!GJ58*VLOOKUP('Données projet'!$B$17,Paramètres!$A$1:$I$89,3,0)*0.475*44/12</f>
        <v>10.2598013623985</v>
      </c>
      <c r="GN58" s="21">
        <f>EXP(-LN(2)/2)*GN57+(1-EXP(-LN(2)/2))/(LN(2)/2)*GH58*GK58*VLOOKUP('Données projet'!$B$17,Paramètres!$A$1:$I$89,3,0)*0.475*44/12</f>
        <v>4.149942415356535E-3</v>
      </c>
      <c r="GO58" s="21">
        <f t="shared" si="27"/>
        <v>12.252766223055609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5.6</v>
      </c>
      <c r="GU58" s="12">
        <f>IF('Données projet'!$A$270&gt;35,GU57+GT58-HC57,IF(A58&lt;'Données projet'!$A$270,$GR$205^A58,IF(A58='Données projet'!$A$270,'Données projet'!$B$270,GU57+GT58-HC57)))</f>
        <v>229.99999999999972</v>
      </c>
      <c r="GV58" s="17">
        <f>GU58*VLOOKUP('Données projet'!$B$18,Paramètres!$A$1:$I$89,3,0)*VLOOKUP('Données projet'!$B$18,Paramètres!$A$1:$I$89,5,0)</f>
        <v>182.98799999999977</v>
      </c>
      <c r="GW58" s="13">
        <f t="shared" si="51"/>
        <v>45.986322796524796</v>
      </c>
      <c r="GX58" s="20">
        <f t="shared" si="28"/>
        <v>398.79694553728024</v>
      </c>
      <c r="GY58" s="59">
        <f t="shared" si="29"/>
        <v>692.13027887061355</v>
      </c>
      <c r="GZ58" s="59">
        <f ca="1">AVERAGE(OFFSET($GY$3,0,0,'Données projet'!$E$18+1,1))-AVERAGE(OFFSET($H$3,0,0,'Données projet'!$E$18+1,1))</f>
        <v>199.58763537752952</v>
      </c>
      <c r="HA58" s="59">
        <f t="shared" si="52"/>
        <v>242.62852778451929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>
        <f>EXP(-LN(2)/35)*HG57+(1-EXP(-LN(2)/35))/(LN(2)/35)*HC58*HD58*VLOOKUP('Données projet'!$B$18,Paramètres!$A$1:$I$89,3,0)*0.475*44/12</f>
        <v>0</v>
      </c>
      <c r="HH58" s="21">
        <f>EXP(-LN(2)/25)*HH57+(1-EXP(-LN(2)/25))/(LN(2)/25)*Calculateur!HC58*Calculateur!HE58*VLOOKUP('Données projet'!$B$18,Paramètres!$A$1:$I$89,3,0)*0.475*44/12</f>
        <v>5.1414882347059097</v>
      </c>
      <c r="HI58" s="21">
        <f>EXP(-LN(2)/2)*HI57+(1-EXP(-LN(2)/2))/(LN(2)/2)*HC58*HF58*VLOOKUP('Données projet'!$B$18,Paramètres!$A$1:$I$89,3,0)*0.475*44/12</f>
        <v>1.8578053994094297E-3</v>
      </c>
      <c r="HJ58" s="22">
        <f t="shared" si="30"/>
        <v>5.1433460401053193</v>
      </c>
    </row>
    <row r="59" spans="1:218" x14ac:dyDescent="0.2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49.795200000000037</v>
      </c>
      <c r="D59" s="11">
        <f t="shared" si="32"/>
        <v>14.560856542690786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496.78359436463097</v>
      </c>
      <c r="H59" s="67">
        <f t="shared" si="1"/>
        <v>405.42013181185314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-2.2737367544323206E-13</v>
      </c>
      <c r="O59" s="13">
        <f>N59*VLOOKUP('Données projet'!$B$9,Paramètres!$A$1:$I$89,3,0)*VLOOKUP('Données projet'!$B$9,Paramètres!$A$1:$I$89,5,0)</f>
        <v>-1.2710188457276673E-13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255.5374979188561</v>
      </c>
      <c r="T59" s="59">
        <f t="shared" si="34"/>
        <v>343.10418468620901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1.8464686473077545</v>
      </c>
      <c r="AA59" s="21">
        <f>EXP(-LN(2)/25)*AA58+(1-EXP(-LN(2)/25))/(LN(2)/25)*Calculateur!V59*Calculateur!X59*VLOOKUP('Données projet'!$B$9,Paramètres!$A$1:$I$89,3,0)*0.475*44/12</f>
        <v>7.7619125025186415</v>
      </c>
      <c r="AB59" s="21">
        <f>EXP(-LN(2)/2)*AB58+(1-EXP(-LN(2)/2))/(LN(2)/2)*V59*Y59*VLOOKUP('Données projet'!$B$9,Paramètres!$A$1:$I$89,3,0)*0.475*44/12</f>
        <v>2.0662256829273267E-4</v>
      </c>
      <c r="AC59" s="22">
        <f t="shared" si="3"/>
        <v>9.6085877723946886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>
        <f>VLOOKUP(A59,'Données projet'!$A$61:$I$81,2,0)</f>
        <v>427.7076923076923</v>
      </c>
      <c r="AG59" s="12">
        <f>VLOOKUP(A59,'Données projet'!$A$61:$I$81,9,0)</f>
        <v>16.227472527472521</v>
      </c>
      <c r="AH59" s="12">
        <f t="array" ref="AH59">INDEX(AG:AG,MIN(IF(ISNUMBER(AG59:AG255),ROW(AG59:AG255),"")))</f>
        <v>16.227472527472521</v>
      </c>
      <c r="AI59" s="13">
        <f>IF('Données projet'!$A$62&gt;35,AI58+AH59-AQ58,IF(A59&lt;'Données projet'!$A$62,$AF$205^A59,IF(A59='Données projet'!$A$62,'Données projet'!$B$62,AI58+AH59-AQ58)))</f>
        <v>427.7076923076923</v>
      </c>
      <c r="AJ59" s="13">
        <f>AI59*VLOOKUP('Données projet'!$B$10,Paramètres!$A$1:$I$89,3,0)*VLOOKUP('Données projet'!$B$10,Paramètres!$A$1:$I$89,5,0)</f>
        <v>239.08860000000001</v>
      </c>
      <c r="AK59" s="13">
        <f t="shared" si="35"/>
        <v>58.243394931850105</v>
      </c>
      <c r="AL59" s="20">
        <f t="shared" si="4"/>
        <v>517.85322450630554</v>
      </c>
      <c r="AM59" s="59">
        <f t="shared" si="5"/>
        <v>811.18655783963891</v>
      </c>
      <c r="AN59" s="59">
        <f ca="1">AVERAGE(OFFSET($AM$3,0,0,'Données projet'!$E$10+1,1))-AVERAGE(OFFSET($H$3,0,0,'Données projet'!$E$10+1,1))</f>
        <v>224.7049802939942</v>
      </c>
      <c r="AO59" s="59">
        <f t="shared" si="36"/>
        <v>203.48513862195352</v>
      </c>
      <c r="AP59" s="15">
        <f>IF(ISNA(VLOOKUP(A59,'Données projet'!$A$61:$I$81,3,0)),0,VLOOKUP(A59,'Données projet'!$A$61:$I$81,3,0))</f>
        <v>6</v>
      </c>
      <c r="AQ59" s="15">
        <f>IF(ISNA(VLOOKUP(A59,'Données projet'!$A$61:$I$81,4,0)),0,VLOOKUP(A59,'Données projet'!$A$61:$I$81,4,0))</f>
        <v>75.869230769230768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1.3332406059114892</v>
      </c>
      <c r="AV59" s="21">
        <f>EXP(-LN(2)/25)*AV58+(1-EXP(-LN(2)/25))/(LN(2)/25)*Calculateur!AQ59*Calculateur!AS59*VLOOKUP('Données projet'!$B$10,Paramètres!$A$1:$I$89,3,0)*0.475*44/12</f>
        <v>9.4953141525311349</v>
      </c>
      <c r="AW59" s="21">
        <f>EXP(-LN(2)/2)*AW58+(1-EXP(-LN(2)/2))/(LN(2)/2)*AQ59*AT59*VLOOKUP('Données projet'!$B$10,Paramètres!$A$1:$I$89,3,0)*0.475*44/12</f>
        <v>1.0938247791855474E-3</v>
      </c>
      <c r="AX59" s="21">
        <f t="shared" si="6"/>
        <v>10.829648583221811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9.8000000000000007</v>
      </c>
      <c r="BD59" s="12">
        <f>IF('Données projet'!$A$88&gt;35,BD58+BC59-BL58,IF(A59&lt;'Données projet'!$A$88,$BA$205^A59,IF(A59='Données projet'!$A$88,'Données projet'!$B$88,BD58+BC59-BL58)))</f>
        <v>342.80000000000018</v>
      </c>
      <c r="BE59" s="13">
        <f>BD59*VLOOKUP('Données projet'!$B$11,Paramètres!$A$1:$I$89,3,0)*VLOOKUP('Données projet'!$B$11,Paramètres!$A$1:$I$89,5,0)</f>
        <v>187.16880000000012</v>
      </c>
      <c r="BF59" s="13">
        <f t="shared" si="37"/>
        <v>46.913468855747631</v>
      </c>
      <c r="BG59" s="20">
        <f t="shared" si="7"/>
        <v>407.6932849237607</v>
      </c>
      <c r="BH59" s="59">
        <f t="shared" si="8"/>
        <v>701.02661825709401</v>
      </c>
      <c r="BI59" s="59">
        <f ca="1">AVERAGE(OFFSET($BH$3,0,0,'Données projet'!$E$11+1,1))-AVERAGE(OFFSET($H$3,0,0,'Données projet'!$E$11+1,1))</f>
        <v>210.04871822652808</v>
      </c>
      <c r="BJ59" s="59">
        <f t="shared" si="38"/>
        <v>250.17540614049324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4.3627391665224637</v>
      </c>
      <c r="BQ59" s="21">
        <f>EXP(-LN(2)/25)*BQ58+(1-EXP(-LN(2)/25))/(LN(2)/25)*Calculateur!BL59*Calculateur!BN59*VLOOKUP('Données projet'!$B$11,Paramètres!$A$1:$I$89,3,0)*0.475*44/12</f>
        <v>13.534840628822515</v>
      </c>
      <c r="BR59" s="21">
        <f>EXP(-LN(2)/2)*BR58+(1-EXP(-LN(2)/2))/(LN(2)/2)*BL59*BO59*VLOOKUP('Données projet'!$B$11,Paramètres!$A$1:$I$89,3,0)*0.475*44/12</f>
        <v>2.6310899337587479E-3</v>
      </c>
      <c r="BS59" s="22">
        <f t="shared" si="9"/>
        <v>17.900210885278735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8.1999999999999993</v>
      </c>
      <c r="BY59" s="12">
        <f>IF('Données projet'!$A$114&gt;35,BY58+BX59-CG58,IF(A59&lt;'Données projet'!$A$114,$BV$205^A59,IF(A59='Données projet'!$A$114,'Données projet'!$B$114,BY58+BX59-CG58)))</f>
        <v>296.19999999999982</v>
      </c>
      <c r="BZ59" s="13">
        <f>BY59*VLOOKUP('Données projet'!$B$12,Paramètres!$A$1:$I$89,3,0)*VLOOKUP('Données projet'!$B$12,Paramètres!$A$1:$I$89,5,0)</f>
        <v>161.72519999999992</v>
      </c>
      <c r="CA59" s="13">
        <f t="shared" si="39"/>
        <v>41.231395865320792</v>
      </c>
      <c r="CB59" s="20">
        <f t="shared" si="10"/>
        <v>353.48273779876689</v>
      </c>
      <c r="CC59" s="59">
        <f t="shared" si="11"/>
        <v>646.81607113210021</v>
      </c>
      <c r="CD59" s="59">
        <f ca="1">AVERAGE(OFFSET($CC$3,0,0,'Données projet'!$E$12+1,1))-AVERAGE(OFFSET($H$3,0,0,'Données projet'!$E$12+1,1))</f>
        <v>168.72306536277267</v>
      </c>
      <c r="CE59" s="59">
        <f t="shared" si="40"/>
        <v>203.35476578922339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1.8178079860510268</v>
      </c>
      <c r="CL59" s="21">
        <f>EXP(-LN(2)/25)*CL58+(1-EXP(-LN(2)/25))/(LN(2)/25)*Calculateur!CG59*Calculateur!CI59*VLOOKUP('Données projet'!$B$12,Paramètres!$A$1:$I$89,3,0)*0.475*44/12</f>
        <v>11.178247461736131</v>
      </c>
      <c r="CM59" s="21">
        <f>EXP(-LN(2)/2)*CM58+(1-EXP(-LN(2)/2))/(LN(2)/2)*CG59*CJ59*VLOOKUP('Données projet'!$B$12,Paramètres!$A$1:$I$89,3,0)*0.475*44/12</f>
        <v>2.4443172146105061E-3</v>
      </c>
      <c r="CN59" s="22">
        <f t="shared" si="12"/>
        <v>12.998499765001768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12.384615384615381</v>
      </c>
      <c r="CT59" s="12">
        <f>IF('Données projet'!$A$140&gt;35,CT58+CS59-DB58,IF(A59&lt;'Données projet'!$A$140,$CQ$205^A59,IF(A59='Données projet'!$A$140,'Données projet'!$B$140,CT58+CS59-DB58)))</f>
        <v>285.84615384615392</v>
      </c>
      <c r="CU59" s="17">
        <f>CT59*VLOOKUP('Données projet'!$B$13,Paramètres!$A$1:$I$89,3,0)*VLOOKUP('Données projet'!$B$13,Paramètres!$A$1:$I$89,5,0)</f>
        <v>137.49200000000005</v>
      </c>
      <c r="CV59" s="13">
        <f t="shared" si="41"/>
        <v>35.721854851912902</v>
      </c>
      <c r="CW59" s="20">
        <f t="shared" si="13"/>
        <v>301.68079720041504</v>
      </c>
      <c r="CX59" s="59">
        <f t="shared" si="14"/>
        <v>595.01413053374836</v>
      </c>
      <c r="CY59" s="59">
        <f ca="1">AVERAGE(OFFSET($CX$3,0,0,'Données projet'!$E$13+1,1))-AVERAGE(OFFSET($H$3,0,0,'Données projet'!$E$13+1,1))</f>
        <v>304.15237106473313</v>
      </c>
      <c r="CZ59" s="59">
        <f t="shared" si="42"/>
        <v>120.85458928724336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>
        <f>EXP(-LN(2)/35)*DF58+(1-EXP(-LN(2)/35))/(LN(2)/35)*DB59*DC59*VLOOKUP('Données projet'!$B$13,Paramètres!$A$1:$I$89,3,0)*0.475*44/12</f>
        <v>0</v>
      </c>
      <c r="DG59" s="21">
        <f>EXP(-LN(2)/25)*DG58+(1-EXP(-LN(2)/25))/(LN(2)/25)*Calculateur!DB59*Calculateur!DD59*VLOOKUP('Données projet'!$B$13,Paramètres!$A$1:$I$89,3,0)*0.475*44/12</f>
        <v>0</v>
      </c>
      <c r="DH59" s="21">
        <f>EXP(-LN(2)/2)*DH58+(1-EXP(-LN(2)/2))/(LN(2)/2)*DB59*DE59*VLOOKUP('Données projet'!$B$13,Paramètres!$A$1:$I$89,3,0)*0.475*44/12</f>
        <v>0</v>
      </c>
      <c r="DI59" s="22">
        <f t="shared" si="15"/>
        <v>0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7.2307692307692317</v>
      </c>
      <c r="DO59" s="12">
        <f>IF('Données projet'!$A$166&gt;35,DO58+DN59-DW58,IF(A59&lt;'Données projet'!$A$166,$DL$205^A59,IF(A59='Données projet'!$A$166,'Données projet'!$B$166,DO58+DN59-DW58)))</f>
        <v>171.84615384615381</v>
      </c>
      <c r="DP59" s="17">
        <f>DO59*VLOOKUP('Données projet'!$B$14,Paramètres!$A$1:$I$89,3,0)*VLOOKUP('Données projet'!$B$14,Paramètres!$A$1:$I$89,5,0)</f>
        <v>82.657999999999987</v>
      </c>
      <c r="DQ59" s="13">
        <f t="shared" si="43"/>
        <v>22.785837518813295</v>
      </c>
      <c r="DR59" s="20">
        <f t="shared" si="16"/>
        <v>183.64801701193312</v>
      </c>
      <c r="DS59" s="59">
        <f t="shared" si="17"/>
        <v>476.98135034526643</v>
      </c>
      <c r="DT59" s="59">
        <f ca="1">AVERAGE(OFFSET($DS$3,0,0,'Données projet'!$E$14+1,1))-AVERAGE(OFFSET($H$3,0,0,'Données projet'!$E$14+1,1))</f>
        <v>91.053246648097399</v>
      </c>
      <c r="DU59" s="59">
        <f t="shared" si="44"/>
        <v>64.716270355703955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>
        <f>EXP(-LN(2)/35)*EA58+(1-EXP(-LN(2)/35))/(LN(2)/35)*DW59*DX59*VLOOKUP('Données projet'!$B$14,Paramètres!$A$1:$I$89,3,0)*0.475*44/12</f>
        <v>0</v>
      </c>
      <c r="EB59" s="21">
        <f>EXP(-LN(2)/25)*EB58+(1-EXP(-LN(2)/25))/(LN(2)/25)*Calculateur!DW59*Calculateur!DY59*VLOOKUP('Données projet'!$B$14,Paramètres!$A$1:$I$89,3,0)*0.475*44/12</f>
        <v>0</v>
      </c>
      <c r="EC59" s="21">
        <f>EXP(-LN(2)/2)*EC58+(1-EXP(-LN(2)/2))/(LN(2)/2)*DW59*DZ59*VLOOKUP('Données projet'!$B$14,Paramètres!$A$1:$I$89,3,0)*0.475*44/12</f>
        <v>0</v>
      </c>
      <c r="ED59" s="22">
        <f t="shared" si="18"/>
        <v>0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18</v>
      </c>
      <c r="EJ59" s="12">
        <f>IF('Données projet'!$A$192&gt;35,EJ58+EI59-ER58,IF(A59&lt;'Données projet'!$A$192,$EG$205^A59,IF(A59='Données projet'!$A$192,'Données projet'!$B$192,EJ58+EI59-ER58)))</f>
        <v>435.99999999999972</v>
      </c>
      <c r="EK59" s="17">
        <f>EJ59*VLOOKUP('Données projet'!$B$15,Paramètres!$A$1:$I$89,3,0)*VLOOKUP('Données projet'!$B$15,Paramètres!$A$1:$I$89,5,0)</f>
        <v>260.72799999999984</v>
      </c>
      <c r="EL59" s="13">
        <f t="shared" si="45"/>
        <v>62.87753287516481</v>
      </c>
      <c r="EM59" s="20">
        <f t="shared" si="19"/>
        <v>563.61296975757841</v>
      </c>
      <c r="EN59" s="59">
        <f t="shared" si="20"/>
        <v>856.94630309091167</v>
      </c>
      <c r="EO59" s="59">
        <f ca="1">AVERAGE(OFFSET($EN$3,0,0,'Données projet'!$E$15+1,1))-AVERAGE(OFFSET($H$3,0,0,'Données projet'!$E$15+1,1))</f>
        <v>316.58509520829671</v>
      </c>
      <c r="EP59" s="59">
        <f t="shared" si="46"/>
        <v>240.71332110643596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>
        <f>EXP(-LN(2)/35)*EV58+(1-EXP(-LN(2)/35))/(LN(2)/35)*ER59*ES59*VLOOKUP('Données projet'!$B$15,Paramètres!$A$1:$I$89,3,0)*0.475*44/12</f>
        <v>1.5145308373578201</v>
      </c>
      <c r="EW59" s="21">
        <f>EXP(-LN(2)/25)*EW58+(1-EXP(-LN(2)/25))/(LN(2)/25)*Calculateur!ER59*Calculateur!ET59*VLOOKUP('Données projet'!$B$15,Paramètres!$A$1:$I$89,3,0)*0.475*44/12</f>
        <v>7.4252122307577411</v>
      </c>
      <c r="EX59" s="21">
        <f>EXP(-LN(2)/2)*EX58+(1-EXP(-LN(2)/2))/(LN(2)/2)*ER59*EU59*VLOOKUP('Données projet'!$B$15,Paramètres!$A$1:$I$89,3,0)*0.475*44/12</f>
        <v>2.6781424646168004E-3</v>
      </c>
      <c r="EY59" s="22">
        <f t="shared" si="21"/>
        <v>8.9424212105801786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15.6</v>
      </c>
      <c r="FE59" s="12">
        <f>IF('Données projet'!$A$218&gt;35,FE58+FD59-FM58,IF(A59&lt;'Données projet'!$A$218,$FB$205^A59,IF(A59='Données projet'!$A$218,'Données projet'!$B$218,FE58+FD59-FM58)))</f>
        <v>384.59999999999997</v>
      </c>
      <c r="FF59" s="17">
        <f>FE59*VLOOKUP('Données projet'!$B$16,Paramètres!$A$1:$I$89,3,0)*VLOOKUP('Données projet'!$B$16,Paramètres!$A$1:$I$89,5,0)</f>
        <v>229.99080000000001</v>
      </c>
      <c r="FG59" s="13">
        <f t="shared" si="47"/>
        <v>56.280692271413919</v>
      </c>
      <c r="FH59" s="20">
        <f t="shared" si="22"/>
        <v>498.58951570604586</v>
      </c>
      <c r="FI59" s="59">
        <f t="shared" si="23"/>
        <v>791.92284903937912</v>
      </c>
      <c r="FJ59" s="59">
        <f ca="1">AVERAGE(OFFSET($FI$3,0,0,'Données projet'!$E$16+1,1))-AVERAGE(OFFSET($H$3,0,0,'Données projet'!$E$16+1,1))</f>
        <v>270.30888762640245</v>
      </c>
      <c r="FK59" s="59">
        <f t="shared" si="48"/>
        <v>202.23783851977691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>
        <f>EXP(-LN(2)/35)*FQ58+(1-EXP(-LN(2)/35))/(LN(2)/35)*FM59*FN59*VLOOKUP('Données projet'!$B$16,Paramètres!$A$1:$I$89,3,0)*0.475*44/12</f>
        <v>1.2798852146685804</v>
      </c>
      <c r="FR59" s="21">
        <f>EXP(-LN(2)/25)*FR58+(1-EXP(-LN(2)/25))/(LN(2)/25)*Calculateur!FM59*Calculateur!FO59*VLOOKUP('Données projet'!$B$16,Paramètres!$A$1:$I$89,3,0)*0.475*44/12</f>
        <v>5.9794975290969612</v>
      </c>
      <c r="FS59" s="21">
        <f>EXP(-LN(2)/2)*FS58+(1-EXP(-LN(2)/2))/(LN(2)/2)*FM59*FP59*VLOOKUP('Données projet'!$B$16,Paramètres!$A$1:$I$89,3,0)*0.475*44/12</f>
        <v>2.2573985090896709E-3</v>
      </c>
      <c r="FT59" s="22">
        <f t="shared" si="24"/>
        <v>7.2616401422746319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6.8</v>
      </c>
      <c r="FZ59" s="12">
        <f>IF('Données projet'!$A$244&gt;35,FZ58+FY59-GH58,IF(A59&lt;'Données projet'!$A$244,$FW$205^A59,IF(A59='Données projet'!$A$244,'Données projet'!$B$244,FZ58+FY59-GH58)))</f>
        <v>282.7999999999999</v>
      </c>
      <c r="GA59" s="17">
        <f>FZ59*VLOOKUP('Données projet'!$B$17,Paramètres!$A$1:$I$89,3,0)*VLOOKUP('Données projet'!$B$17,Paramètres!$A$1:$I$89,5,0)</f>
        <v>224.99567999999994</v>
      </c>
      <c r="GB59" s="13">
        <f t="shared" si="49"/>
        <v>55.199249109676629</v>
      </c>
      <c r="GC59" s="20">
        <f t="shared" si="25"/>
        <v>488.00616819935334</v>
      </c>
      <c r="GD59" s="59">
        <f t="shared" si="26"/>
        <v>781.33950153268665</v>
      </c>
      <c r="GE59" s="59">
        <f ca="1">AVERAGE(OFFSET($GD$3,0,0,'Données projet'!$E$17+1,1))-AVERAGE(OFFSET($H$3,0,0,'Données projet'!$E$17+1,1))</f>
        <v>260.20517190557814</v>
      </c>
      <c r="GF59" s="59">
        <f t="shared" si="50"/>
        <v>307.22009971147133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>
        <f>EXP(-LN(2)/35)*GL58+(1-EXP(-LN(2)/35))/(LN(2)/35)*GH59*GI59*VLOOKUP('Données projet'!$B$17,Paramètres!$A$1:$I$89,3,0)*0.475*44/12</f>
        <v>1.9498154707523523</v>
      </c>
      <c r="GM59" s="21">
        <f>EXP(-LN(2)/25)*GM58+(1-EXP(-LN(2)/25))/(LN(2)/25)*Calculateur!GH59*Calculateur!GJ59*VLOOKUP('Données projet'!$B$17,Paramètres!$A$1:$I$89,3,0)*0.475*44/12</f>
        <v>9.9792465546042077</v>
      </c>
      <c r="GN59" s="21">
        <f>EXP(-LN(2)/2)*GN58+(1-EXP(-LN(2)/2))/(LN(2)/2)*GH59*GK59*VLOOKUP('Données projet'!$B$17,Paramètres!$A$1:$I$89,3,0)*0.475*44/12</f>
        <v>2.9344524234322859E-3</v>
      </c>
      <c r="GO59" s="21">
        <f t="shared" si="27"/>
        <v>11.931996477779991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5.6</v>
      </c>
      <c r="GU59" s="12">
        <f>IF('Données projet'!$A$270&gt;35,GU58+GT59-HC58,IF(A59&lt;'Données projet'!$A$270,$GR$205^A59,IF(A59='Données projet'!$A$270,'Données projet'!$B$270,GU58+GT59-HC58)))</f>
        <v>235.59999999999971</v>
      </c>
      <c r="GV59" s="17">
        <f>GU59*VLOOKUP('Données projet'!$B$18,Paramètres!$A$1:$I$89,3,0)*VLOOKUP('Données projet'!$B$18,Paramètres!$A$1:$I$89,5,0)</f>
        <v>187.44335999999979</v>
      </c>
      <c r="GW59" s="13">
        <f t="shared" si="51"/>
        <v>46.974271155353591</v>
      </c>
      <c r="GX59" s="20">
        <f t="shared" si="28"/>
        <v>408.27737426224047</v>
      </c>
      <c r="GY59" s="59">
        <f t="shared" si="29"/>
        <v>701.61070759557379</v>
      </c>
      <c r="GZ59" s="59">
        <f ca="1">AVERAGE(OFFSET($GY$3,0,0,'Données projet'!$E$18+1,1))-AVERAGE(OFFSET($H$3,0,0,'Données projet'!$E$18+1,1))</f>
        <v>199.58763537752952</v>
      </c>
      <c r="HA59" s="59">
        <f t="shared" si="52"/>
        <v>242.62852778451929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>
        <f>EXP(-LN(2)/35)*HG58+(1-EXP(-LN(2)/35))/(LN(2)/35)*HC59*HD59*VLOOKUP('Données projet'!$B$18,Paramètres!$A$1:$I$89,3,0)*0.475*44/12</f>
        <v>0</v>
      </c>
      <c r="HH59" s="21">
        <f>EXP(-LN(2)/25)*HH58+(1-EXP(-LN(2)/25))/(LN(2)/25)*Calculateur!HC59*Calculateur!HE59*VLOOKUP('Données projet'!$B$18,Paramètres!$A$1:$I$89,3,0)*0.475*44/12</f>
        <v>5.0008939685487617</v>
      </c>
      <c r="HI59" s="21">
        <f>EXP(-LN(2)/2)*HI58+(1-EXP(-LN(2)/2))/(LN(2)/2)*HC59*HF59*VLOOKUP('Données projet'!$B$18,Paramètres!$A$1:$I$89,3,0)*0.475*44/12</f>
        <v>1.3136667960473901E-3</v>
      </c>
      <c r="HJ59" s="22">
        <f t="shared" si="30"/>
        <v>5.0022076353448091</v>
      </c>
    </row>
    <row r="60" spans="1:218" x14ac:dyDescent="0.2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50.684400000000039</v>
      </c>
      <c r="D60" s="11">
        <f t="shared" si="32"/>
        <v>14.790368854214481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505.41926834832265</v>
      </c>
      <c r="H60" s="67">
        <f t="shared" si="1"/>
        <v>407.3685557544236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-2.2737367544323206E-13</v>
      </c>
      <c r="O60" s="13">
        <f>N60*VLOOKUP('Données projet'!$B$9,Paramètres!$A$1:$I$89,3,0)*VLOOKUP('Données projet'!$B$9,Paramètres!$A$1:$I$89,5,0)</f>
        <v>-1.2710188457276673E-13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255.5374979188561</v>
      </c>
      <c r="T60" s="59">
        <f t="shared" si="34"/>
        <v>343.10418468620901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1.8102605233687179</v>
      </c>
      <c r="AA60" s="21">
        <f>EXP(-LN(2)/25)*AA59+(1-EXP(-LN(2)/25))/(LN(2)/25)*Calculateur!V60*Calculateur!X60*VLOOKUP('Données projet'!$B$9,Paramètres!$A$1:$I$89,3,0)*0.475*44/12</f>
        <v>7.5496625969560309</v>
      </c>
      <c r="AB60" s="21">
        <f>EXP(-LN(2)/2)*AB59+(1-EXP(-LN(2)/2))/(LN(2)/2)*V60*Y60*VLOOKUP('Données projet'!$B$9,Paramètres!$A$1:$I$89,3,0)*0.475*44/12</f>
        <v>1.4610421918597179E-4</v>
      </c>
      <c r="AC60" s="22">
        <f t="shared" si="3"/>
        <v>9.3600692245439348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14.839560439560435</v>
      </c>
      <c r="AI60" s="13">
        <f>IF('Données projet'!$A$62&gt;35,AI59+AH60-AQ59,IF(A60&lt;'Données projet'!$A$62,$AF$205^A60,IF(A60='Données projet'!$A$62,'Données projet'!$B$62,AI59+AH60-AQ59)))</f>
        <v>366.678021978022</v>
      </c>
      <c r="AJ60" s="13">
        <f>AI60*VLOOKUP('Données projet'!$B$10,Paramètres!$A$1:$I$89,3,0)*VLOOKUP('Données projet'!$B$10,Paramètres!$A$1:$I$89,5,0)</f>
        <v>204.9730142857143</v>
      </c>
      <c r="AK60" s="13">
        <f t="shared" si="35"/>
        <v>50.835518579260878</v>
      </c>
      <c r="AL60" s="20">
        <f t="shared" si="4"/>
        <v>445.53319473983174</v>
      </c>
      <c r="AM60" s="59">
        <f t="shared" si="5"/>
        <v>738.866528073165</v>
      </c>
      <c r="AN60" s="59">
        <f ca="1">AVERAGE(OFFSET($AM$3,0,0,'Données projet'!$E$10+1,1))-AVERAGE(OFFSET($H$3,0,0,'Données projet'!$E$10+1,1))</f>
        <v>224.7049802939942</v>
      </c>
      <c r="AO60" s="59">
        <f t="shared" si="36"/>
        <v>203.48513862195352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1.307096570826038</v>
      </c>
      <c r="AV60" s="21">
        <f>EXP(-LN(2)/25)*AV59+(1-EXP(-LN(2)/25))/(LN(2)/25)*Calculateur!AQ60*Calculateur!AS60*VLOOKUP('Données projet'!$B$10,Paramètres!$A$1:$I$89,3,0)*0.475*44/12</f>
        <v>9.2356642876933019</v>
      </c>
      <c r="AW60" s="21">
        <f>EXP(-LN(2)/2)*AW59+(1-EXP(-LN(2)/2))/(LN(2)/2)*AQ60*AT60*VLOOKUP('Données projet'!$B$10,Paramètres!$A$1:$I$89,3,0)*0.475*44/12</f>
        <v>7.7345091879197855E-4</v>
      </c>
      <c r="AX60" s="21">
        <f t="shared" si="6"/>
        <v>10.543534309438133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9.8000000000000007</v>
      </c>
      <c r="BD60" s="12">
        <f>IF('Données projet'!$A$88&gt;35,BD59+BC60-BL59,IF(A60&lt;'Données projet'!$A$88,$BA$205^A60,IF(A60='Données projet'!$A$88,'Données projet'!$B$88,BD59+BC60-BL59)))</f>
        <v>352.60000000000019</v>
      </c>
      <c r="BE60" s="13">
        <f>BD60*VLOOKUP('Données projet'!$B$11,Paramètres!$A$1:$I$89,3,0)*VLOOKUP('Données projet'!$B$11,Paramètres!$A$1:$I$89,5,0)</f>
        <v>192.51960000000011</v>
      </c>
      <c r="BF60" s="13">
        <f t="shared" si="37"/>
        <v>48.096572818546932</v>
      </c>
      <c r="BG60" s="20">
        <f t="shared" si="7"/>
        <v>419.0731676589694</v>
      </c>
      <c r="BH60" s="59">
        <f t="shared" si="8"/>
        <v>712.40650099230265</v>
      </c>
      <c r="BI60" s="59">
        <f ca="1">AVERAGE(OFFSET($BH$3,0,0,'Données projet'!$E$11+1,1))-AVERAGE(OFFSET($H$3,0,0,'Données projet'!$E$11+1,1))</f>
        <v>210.04871822652808</v>
      </c>
      <c r="BJ60" s="59">
        <f t="shared" si="38"/>
        <v>250.17540614049324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4.2771885124750968</v>
      </c>
      <c r="BQ60" s="21">
        <f>EXP(-LN(2)/25)*BQ59+(1-EXP(-LN(2)/25))/(LN(2)/25)*Calculateur!BL60*Calculateur!BN60*VLOOKUP('Données projet'!$B$11,Paramètres!$A$1:$I$89,3,0)*0.475*44/12</f>
        <v>13.164729700061029</v>
      </c>
      <c r="BR60" s="21">
        <f>EXP(-LN(2)/2)*BR59+(1-EXP(-LN(2)/2))/(LN(2)/2)*BL60*BO60*VLOOKUP('Données projet'!$B$11,Paramètres!$A$1:$I$89,3,0)*0.475*44/12</f>
        <v>1.8604615340724749E-3</v>
      </c>
      <c r="BS60" s="22">
        <f t="shared" si="9"/>
        <v>17.443778674070199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8.1999999999999993</v>
      </c>
      <c r="BY60" s="12">
        <f>IF('Données projet'!$A$114&gt;35,BY59+BX60-CG59,IF(A60&lt;'Données projet'!$A$114,$BV$205^A60,IF(A60='Données projet'!$A$114,'Données projet'!$B$114,BY59+BX60-CG59)))</f>
        <v>304.39999999999981</v>
      </c>
      <c r="BZ60" s="13">
        <f>BY60*VLOOKUP('Données projet'!$B$12,Paramètres!$A$1:$I$89,3,0)*VLOOKUP('Données projet'!$B$12,Paramètres!$A$1:$I$89,5,0)</f>
        <v>166.2023999999999</v>
      </c>
      <c r="CA60" s="13">
        <f t="shared" si="39"/>
        <v>42.238372413664599</v>
      </c>
      <c r="CB60" s="20">
        <f t="shared" si="10"/>
        <v>363.03434528713234</v>
      </c>
      <c r="CC60" s="59">
        <f t="shared" si="11"/>
        <v>656.36767862046565</v>
      </c>
      <c r="CD60" s="59">
        <f ca="1">AVERAGE(OFFSET($CC$3,0,0,'Données projet'!$E$12+1,1))-AVERAGE(OFFSET($H$3,0,0,'Données projet'!$E$12+1,1))</f>
        <v>168.72306536277267</v>
      </c>
      <c r="CE60" s="59">
        <f t="shared" si="40"/>
        <v>203.35476578922339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1.7821618801979573</v>
      </c>
      <c r="CL60" s="21">
        <f>EXP(-LN(2)/25)*CL59+(1-EXP(-LN(2)/25))/(LN(2)/25)*Calculateur!CG60*Calculateur!CI60*VLOOKUP('Données projet'!$B$12,Paramètres!$A$1:$I$89,3,0)*0.475*44/12</f>
        <v>10.872577697056471</v>
      </c>
      <c r="CM60" s="21">
        <f>EXP(-LN(2)/2)*CM59+(1-EXP(-LN(2)/2))/(LN(2)/2)*CG60*CJ60*VLOOKUP('Données projet'!$B$12,Paramètres!$A$1:$I$89,3,0)*0.475*44/12</f>
        <v>1.7283932778221025E-3</v>
      </c>
      <c r="CN60" s="22">
        <f t="shared" si="12"/>
        <v>12.656467970532251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12.384615384615381</v>
      </c>
      <c r="CT60" s="12">
        <f>IF('Données projet'!$A$140&gt;35,CT59+CS60-DB59,IF(A60&lt;'Données projet'!$A$140,$CQ$205^A60,IF(A60='Données projet'!$A$140,'Données projet'!$B$140,CT59+CS60-DB59)))</f>
        <v>298.23076923076928</v>
      </c>
      <c r="CU60" s="17">
        <f>CT60*VLOOKUP('Données projet'!$B$13,Paramètres!$A$1:$I$89,3,0)*VLOOKUP('Données projet'!$B$13,Paramètres!$A$1:$I$89,5,0)</f>
        <v>143.44900000000001</v>
      </c>
      <c r="CV60" s="13">
        <f t="shared" si="41"/>
        <v>37.086000345814433</v>
      </c>
      <c r="CW60" s="20">
        <f t="shared" si="13"/>
        <v>314.43179226896012</v>
      </c>
      <c r="CX60" s="59">
        <f t="shared" si="14"/>
        <v>607.76512560229344</v>
      </c>
      <c r="CY60" s="59">
        <f ca="1">AVERAGE(OFFSET($CX$3,0,0,'Données projet'!$E$13+1,1))-AVERAGE(OFFSET($H$3,0,0,'Données projet'!$E$13+1,1))</f>
        <v>304.15237106473313</v>
      </c>
      <c r="CZ60" s="59">
        <f t="shared" si="42"/>
        <v>120.85458928724336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>
        <f>EXP(-LN(2)/35)*DF59+(1-EXP(-LN(2)/35))/(LN(2)/35)*DB60*DC60*VLOOKUP('Données projet'!$B$13,Paramètres!$A$1:$I$89,3,0)*0.475*44/12</f>
        <v>0</v>
      </c>
      <c r="DG60" s="21">
        <f>EXP(-LN(2)/25)*DG59+(1-EXP(-LN(2)/25))/(LN(2)/25)*Calculateur!DB60*Calculateur!DD60*VLOOKUP('Données projet'!$B$13,Paramètres!$A$1:$I$89,3,0)*0.475*44/12</f>
        <v>0</v>
      </c>
      <c r="DH60" s="21">
        <f>EXP(-LN(2)/2)*DH59+(1-EXP(-LN(2)/2))/(LN(2)/2)*DB60*DE60*VLOOKUP('Données projet'!$B$13,Paramètres!$A$1:$I$89,3,0)*0.475*44/12</f>
        <v>0</v>
      </c>
      <c r="DI60" s="22">
        <f t="shared" si="15"/>
        <v>0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7.2307692307692317</v>
      </c>
      <c r="DO60" s="12">
        <f>IF('Données projet'!$A$166&gt;35,DO59+DN60-DW59,IF(A60&lt;'Données projet'!$A$166,$DL$205^A60,IF(A60='Données projet'!$A$166,'Données projet'!$B$166,DO59+DN60-DW59)))</f>
        <v>179.07692307692304</v>
      </c>
      <c r="DP60" s="17">
        <f>DO60*VLOOKUP('Données projet'!$B$14,Paramètres!$A$1:$I$89,3,0)*VLOOKUP('Données projet'!$B$14,Paramètres!$A$1:$I$89,5,0)</f>
        <v>86.135999999999981</v>
      </c>
      <c r="DQ60" s="13">
        <f t="shared" si="43"/>
        <v>23.630954600534036</v>
      </c>
      <c r="DR60" s="20">
        <f t="shared" si="16"/>
        <v>191.1774459292634</v>
      </c>
      <c r="DS60" s="59">
        <f t="shared" si="17"/>
        <v>484.51077926259671</v>
      </c>
      <c r="DT60" s="59">
        <f ca="1">AVERAGE(OFFSET($DS$3,0,0,'Données projet'!$E$14+1,1))-AVERAGE(OFFSET($H$3,0,0,'Données projet'!$E$14+1,1))</f>
        <v>91.053246648097399</v>
      </c>
      <c r="DU60" s="59">
        <f t="shared" si="44"/>
        <v>64.716270355703955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>
        <f>EXP(-LN(2)/35)*EA59+(1-EXP(-LN(2)/35))/(LN(2)/35)*DW60*DX60*VLOOKUP('Données projet'!$B$14,Paramètres!$A$1:$I$89,3,0)*0.475*44/12</f>
        <v>0</v>
      </c>
      <c r="EB60" s="21">
        <f>EXP(-LN(2)/25)*EB59+(1-EXP(-LN(2)/25))/(LN(2)/25)*Calculateur!DW60*Calculateur!DY60*VLOOKUP('Données projet'!$B$14,Paramètres!$A$1:$I$89,3,0)*0.475*44/12</f>
        <v>0</v>
      </c>
      <c r="EC60" s="21">
        <f>EXP(-LN(2)/2)*EC59+(1-EXP(-LN(2)/2))/(LN(2)/2)*DW60*DZ60*VLOOKUP('Données projet'!$B$14,Paramètres!$A$1:$I$89,3,0)*0.475*44/12</f>
        <v>0</v>
      </c>
      <c r="ED60" s="22">
        <f t="shared" si="18"/>
        <v>0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18</v>
      </c>
      <c r="EJ60" s="12">
        <f>IF('Données projet'!$A$192&gt;35,EJ59+EI60-ER59,IF(A60&lt;'Données projet'!$A$192,$EG$205^A60,IF(A60='Données projet'!$A$192,'Données projet'!$B$192,EJ59+EI60-ER59)))</f>
        <v>453.99999999999972</v>
      </c>
      <c r="EK60" s="17">
        <f>EJ60*VLOOKUP('Données projet'!$B$15,Paramètres!$A$1:$I$89,3,0)*VLOOKUP('Données projet'!$B$15,Paramètres!$A$1:$I$89,5,0)</f>
        <v>271.49199999999985</v>
      </c>
      <c r="EL60" s="13">
        <f t="shared" si="45"/>
        <v>65.165807717935309</v>
      </c>
      <c r="EM60" s="20">
        <f t="shared" si="19"/>
        <v>586.3456817754037</v>
      </c>
      <c r="EN60" s="59">
        <f t="shared" si="20"/>
        <v>879.67901510873708</v>
      </c>
      <c r="EO60" s="59">
        <f ca="1">AVERAGE(OFFSET($EN$3,0,0,'Données projet'!$E$15+1,1))-AVERAGE(OFFSET($H$3,0,0,'Données projet'!$E$15+1,1))</f>
        <v>316.58509520829671</v>
      </c>
      <c r="EP60" s="59">
        <f t="shared" si="46"/>
        <v>240.71332110643596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>
        <f>EXP(-LN(2)/35)*EV59+(1-EXP(-LN(2)/35))/(LN(2)/35)*ER60*ES60*VLOOKUP('Données projet'!$B$15,Paramètres!$A$1:$I$89,3,0)*0.475*44/12</f>
        <v>1.4848318114098291</v>
      </c>
      <c r="EW60" s="21">
        <f>EXP(-LN(2)/25)*EW59+(1-EXP(-LN(2)/25))/(LN(2)/25)*Calculateur!ER60*Calculateur!ET60*VLOOKUP('Données projet'!$B$15,Paramètres!$A$1:$I$89,3,0)*0.475*44/12</f>
        <v>7.2221694118327298</v>
      </c>
      <c r="EX60" s="21">
        <f>EXP(-LN(2)/2)*EX59+(1-EXP(-LN(2)/2))/(LN(2)/2)*ER60*EU60*VLOOKUP('Données projet'!$B$15,Paramètres!$A$1:$I$89,3,0)*0.475*44/12</f>
        <v>1.893732697714193E-3</v>
      </c>
      <c r="EY60" s="22">
        <f t="shared" si="21"/>
        <v>8.7088949559402735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15.6</v>
      </c>
      <c r="FE60" s="12">
        <f>IF('Données projet'!$A$218&gt;35,FE59+FD60-FM59,IF(A60&lt;'Données projet'!$A$218,$FB$205^A60,IF(A60='Données projet'!$A$218,'Données projet'!$B$218,FE59+FD60-FM59)))</f>
        <v>400.2</v>
      </c>
      <c r="FF60" s="17">
        <f>FE60*VLOOKUP('Données projet'!$B$16,Paramètres!$A$1:$I$89,3,0)*VLOOKUP('Données projet'!$B$16,Paramètres!$A$1:$I$89,5,0)</f>
        <v>239.31960000000004</v>
      </c>
      <c r="FG60" s="13">
        <f t="shared" si="47"/>
        <v>58.293114928060938</v>
      </c>
      <c r="FH60" s="20">
        <f t="shared" si="22"/>
        <v>518.34214516637292</v>
      </c>
      <c r="FI60" s="59">
        <f t="shared" si="23"/>
        <v>811.67547849970629</v>
      </c>
      <c r="FJ60" s="59">
        <f ca="1">AVERAGE(OFFSET($FI$3,0,0,'Données projet'!$E$16+1,1))-AVERAGE(OFFSET($H$3,0,0,'Données projet'!$E$16+1,1))</f>
        <v>270.30888762640245</v>
      </c>
      <c r="FK60" s="59">
        <f t="shared" si="48"/>
        <v>202.23783851977691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>
        <f>EXP(-LN(2)/35)*FQ59+(1-EXP(-LN(2)/35))/(LN(2)/35)*FM60*FN60*VLOOKUP('Données projet'!$B$16,Paramètres!$A$1:$I$89,3,0)*0.475*44/12</f>
        <v>1.2547874462618274</v>
      </c>
      <c r="FR60" s="21">
        <f>EXP(-LN(2)/25)*FR59+(1-EXP(-LN(2)/25))/(LN(2)/25)*Calculateur!FM60*Calculateur!FO60*VLOOKUP('Données projet'!$B$16,Paramètres!$A$1:$I$89,3,0)*0.475*44/12</f>
        <v>5.8159878547156962</v>
      </c>
      <c r="FS60" s="21">
        <f>EXP(-LN(2)/2)*FS59+(1-EXP(-LN(2)/2))/(LN(2)/2)*FM60*FP60*VLOOKUP('Données projet'!$B$16,Paramètres!$A$1:$I$89,3,0)*0.475*44/12</f>
        <v>1.5962217936177085E-3</v>
      </c>
      <c r="FT60" s="22">
        <f t="shared" si="24"/>
        <v>7.0723715227711406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6.8</v>
      </c>
      <c r="FZ60" s="12">
        <f>IF('Données projet'!$A$244&gt;35,FZ59+FY60-GH59,IF(A60&lt;'Données projet'!$A$244,$FW$205^A60,IF(A60='Données projet'!$A$244,'Données projet'!$B$244,FZ59+FY60-GH59)))</f>
        <v>289.59999999999991</v>
      </c>
      <c r="GA60" s="17">
        <f>FZ60*VLOOKUP('Données projet'!$B$17,Paramètres!$A$1:$I$89,3,0)*VLOOKUP('Données projet'!$B$17,Paramètres!$A$1:$I$89,5,0)</f>
        <v>230.40575999999996</v>
      </c>
      <c r="GB60" s="13">
        <f t="shared" si="49"/>
        <v>56.370407327556237</v>
      </c>
      <c r="GC60" s="20">
        <f t="shared" si="25"/>
        <v>499.46849142882706</v>
      </c>
      <c r="GD60" s="59">
        <f t="shared" si="26"/>
        <v>792.80182476216032</v>
      </c>
      <c r="GE60" s="59">
        <f ca="1">AVERAGE(OFFSET($GD$3,0,0,'Données projet'!$E$17+1,1))-AVERAGE(OFFSET($H$3,0,0,'Données projet'!$E$17+1,1))</f>
        <v>260.20517190557814</v>
      </c>
      <c r="GF60" s="59">
        <f t="shared" si="50"/>
        <v>307.22009971147133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>
        <f>EXP(-LN(2)/35)*GL59+(1-EXP(-LN(2)/35))/(LN(2)/35)*GH60*GI60*VLOOKUP('Données projet'!$B$17,Paramètres!$A$1:$I$89,3,0)*0.475*44/12</f>
        <v>1.9115807786409051</v>
      </c>
      <c r="GM60" s="21">
        <f>EXP(-LN(2)/25)*GM59+(1-EXP(-LN(2)/25))/(LN(2)/25)*Calculateur!GH60*Calculateur!GJ60*VLOOKUP('Données projet'!$B$17,Paramètres!$A$1:$I$89,3,0)*0.475*44/12</f>
        <v>9.7063635327827864</v>
      </c>
      <c r="GN60" s="21">
        <f>EXP(-LN(2)/2)*GN59+(1-EXP(-LN(2)/2))/(LN(2)/2)*GH60*GK60*VLOOKUP('Données projet'!$B$17,Paramètres!$A$1:$I$89,3,0)*0.475*44/12</f>
        <v>2.0749712076782675E-3</v>
      </c>
      <c r="GO60" s="21">
        <f t="shared" si="27"/>
        <v>11.62001928263137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5.6</v>
      </c>
      <c r="GU60" s="12">
        <f>IF('Données projet'!$A$270&gt;35,GU59+GT60-HC59,IF(A60&lt;'Données projet'!$A$270,$GR$205^A60,IF(A60='Données projet'!$A$270,'Données projet'!$B$270,GU59+GT60-HC59)))</f>
        <v>241.1999999999997</v>
      </c>
      <c r="GV60" s="17">
        <f>GU60*VLOOKUP('Données projet'!$B$18,Paramètres!$A$1:$I$89,3,0)*VLOOKUP('Données projet'!$B$18,Paramètres!$A$1:$I$89,5,0)</f>
        <v>191.8987199999998</v>
      </c>
      <c r="GW60" s="13">
        <f t="shared" si="51"/>
        <v>47.959489640575512</v>
      </c>
      <c r="GX60" s="20">
        <f t="shared" si="28"/>
        <v>417.7530484573353</v>
      </c>
      <c r="GY60" s="59">
        <f t="shared" si="29"/>
        <v>711.08638179066861</v>
      </c>
      <c r="GZ60" s="59">
        <f ca="1">AVERAGE(OFFSET($GY$3,0,0,'Données projet'!$E$18+1,1))-AVERAGE(OFFSET($H$3,0,0,'Données projet'!$E$18+1,1))</f>
        <v>199.58763537752952</v>
      </c>
      <c r="HA60" s="59">
        <f t="shared" si="52"/>
        <v>242.62852778451929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>
        <f>EXP(-LN(2)/35)*HG59+(1-EXP(-LN(2)/35))/(LN(2)/35)*HC60*HD60*VLOOKUP('Données projet'!$B$18,Paramètres!$A$1:$I$89,3,0)*0.475*44/12</f>
        <v>0</v>
      </c>
      <c r="HH60" s="21">
        <f>EXP(-LN(2)/25)*HH59+(1-EXP(-LN(2)/25))/(LN(2)/25)*Calculateur!HC60*Calculateur!HE60*VLOOKUP('Données projet'!$B$18,Paramètres!$A$1:$I$89,3,0)*0.475*44/12</f>
        <v>4.8641442599932114</v>
      </c>
      <c r="HI60" s="21">
        <f>EXP(-LN(2)/2)*HI59+(1-EXP(-LN(2)/2))/(LN(2)/2)*HC60*HF60*VLOOKUP('Données projet'!$B$18,Paramètres!$A$1:$I$89,3,0)*0.475*44/12</f>
        <v>9.2890269970471485E-4</v>
      </c>
      <c r="HJ60" s="22">
        <f t="shared" si="30"/>
        <v>4.8650731626929158</v>
      </c>
    </row>
    <row r="61" spans="1:218" x14ac:dyDescent="0.2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51.573600000000042</v>
      </c>
      <c r="D61" s="11">
        <f t="shared" si="32"/>
        <v>15.01941293027533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514.05132788282742</v>
      </c>
      <c r="H61" s="67">
        <f t="shared" si="1"/>
        <v>409.31616418689623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-2.2737367544323206E-13</v>
      </c>
      <c r="O61" s="13">
        <f>N61*VLOOKUP('Données projet'!$B$9,Paramètres!$A$1:$I$89,3,0)*VLOOKUP('Données projet'!$B$9,Paramètres!$A$1:$I$89,5,0)</f>
        <v>-1.2710188457276673E-13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255.5374979188561</v>
      </c>
      <c r="T61" s="59">
        <f t="shared" si="34"/>
        <v>343.10418468620901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1.7747624186553508</v>
      </c>
      <c r="AA61" s="21">
        <f>EXP(-LN(2)/25)*AA60+(1-EXP(-LN(2)/25))/(LN(2)/25)*Calculateur!V61*Calculateur!X61*VLOOKUP('Données projet'!$B$9,Paramètres!$A$1:$I$89,3,0)*0.475*44/12</f>
        <v>7.3432166762227675</v>
      </c>
      <c r="AB61" s="21">
        <f>EXP(-LN(2)/2)*AB60+(1-EXP(-LN(2)/2))/(LN(2)/2)*V61*Y61*VLOOKUP('Données projet'!$B$9,Paramètres!$A$1:$I$89,3,0)*0.475*44/12</f>
        <v>1.0331128414636634E-4</v>
      </c>
      <c r="AC61" s="22">
        <f t="shared" si="3"/>
        <v>9.1180824061622641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14.839560439560435</v>
      </c>
      <c r="AI61" s="13">
        <f>IF('Données projet'!$A$62&gt;35,AI60+AH61-AQ60,IF(A61&lt;'Données projet'!$A$62,$AF$205^A61,IF(A61='Données projet'!$A$62,'Données projet'!$B$62,AI60+AH61-AQ60)))</f>
        <v>381.51758241758245</v>
      </c>
      <c r="AJ61" s="13">
        <f>AI61*VLOOKUP('Données projet'!$B$10,Paramètres!$A$1:$I$89,3,0)*VLOOKUP('Données projet'!$B$10,Paramètres!$A$1:$I$89,5,0)</f>
        <v>213.26832857142858</v>
      </c>
      <c r="AK61" s="13">
        <f t="shared" si="35"/>
        <v>52.649154508451623</v>
      </c>
      <c r="AL61" s="20">
        <f t="shared" si="4"/>
        <v>463.13961636412461</v>
      </c>
      <c r="AM61" s="59">
        <f t="shared" si="5"/>
        <v>756.47294969745792</v>
      </c>
      <c r="AN61" s="59">
        <f ca="1">AVERAGE(OFFSET($AM$3,0,0,'Données projet'!$E$10+1,1))-AVERAGE(OFFSET($H$3,0,0,'Données projet'!$E$10+1,1))</f>
        <v>224.7049802939942</v>
      </c>
      <c r="AO61" s="59">
        <f t="shared" si="36"/>
        <v>203.48513862195352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1.2814652043223258</v>
      </c>
      <c r="AV61" s="21">
        <f>EXP(-LN(2)/25)*AV60+(1-EXP(-LN(2)/25))/(LN(2)/25)*Calculateur!AQ61*Calculateur!AS61*VLOOKUP('Données projet'!$B$10,Paramètres!$A$1:$I$89,3,0)*0.475*44/12</f>
        <v>8.9831145620638519</v>
      </c>
      <c r="AW61" s="21">
        <f>EXP(-LN(2)/2)*AW60+(1-EXP(-LN(2)/2))/(LN(2)/2)*AQ61*AT61*VLOOKUP('Données projet'!$B$10,Paramètres!$A$1:$I$89,3,0)*0.475*44/12</f>
        <v>5.4691238959277372E-4</v>
      </c>
      <c r="AX61" s="21">
        <f t="shared" si="6"/>
        <v>10.26512667877577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9.8000000000000007</v>
      </c>
      <c r="BD61" s="12">
        <f>IF('Données projet'!$A$88&gt;35,BD60+BC61-BL60,IF(A61&lt;'Données projet'!$A$88,$BA$205^A61,IF(A61='Données projet'!$A$88,'Données projet'!$B$88,BD60+BC61-BL60)))</f>
        <v>362.4000000000002</v>
      </c>
      <c r="BE61" s="13">
        <f>BD61*VLOOKUP('Données projet'!$B$11,Paramètres!$A$1:$I$89,3,0)*VLOOKUP('Données projet'!$B$11,Paramètres!$A$1:$I$89,5,0)</f>
        <v>197.8704000000001</v>
      </c>
      <c r="BF61" s="13">
        <f t="shared" si="37"/>
        <v>49.275854906806309</v>
      </c>
      <c r="BG61" s="20">
        <f t="shared" si="7"/>
        <v>430.44639396268781</v>
      </c>
      <c r="BH61" s="59">
        <f t="shared" si="8"/>
        <v>723.77972729602106</v>
      </c>
      <c r="BI61" s="59">
        <f ca="1">AVERAGE(OFFSET($BH$3,0,0,'Données projet'!$E$11+1,1))-AVERAGE(OFFSET($H$3,0,0,'Données projet'!$E$11+1,1))</f>
        <v>210.04871822652808</v>
      </c>
      <c r="BJ61" s="59">
        <f t="shared" si="38"/>
        <v>250.17540614049324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4.1933154545728524</v>
      </c>
      <c r="BQ61" s="21">
        <f>EXP(-LN(2)/25)*BQ60+(1-EXP(-LN(2)/25))/(LN(2)/25)*Calculateur!BL61*Calculateur!BN61*VLOOKUP('Données projet'!$B$11,Paramètres!$A$1:$I$89,3,0)*0.475*44/12</f>
        <v>12.804739474109814</v>
      </c>
      <c r="BR61" s="21">
        <f>EXP(-LN(2)/2)*BR60+(1-EXP(-LN(2)/2))/(LN(2)/2)*BL61*BO61*VLOOKUP('Données projet'!$B$11,Paramètres!$A$1:$I$89,3,0)*0.475*44/12</f>
        <v>1.3155449668793742E-3</v>
      </c>
      <c r="BS61" s="22">
        <f t="shared" si="9"/>
        <v>16.999370473649545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8.1999999999999993</v>
      </c>
      <c r="BY61" s="12">
        <f>IF('Données projet'!$A$114&gt;35,BY60+BX61-CG60,IF(A61&lt;'Données projet'!$A$114,$BV$205^A61,IF(A61='Données projet'!$A$114,'Données projet'!$B$114,BY60+BX61-CG60)))</f>
        <v>312.5999999999998</v>
      </c>
      <c r="BZ61" s="13">
        <f>BY61*VLOOKUP('Données projet'!$B$12,Paramètres!$A$1:$I$89,3,0)*VLOOKUP('Données projet'!$B$12,Paramètres!$A$1:$I$89,5,0)</f>
        <v>170.67959999999991</v>
      </c>
      <c r="CA61" s="13">
        <f t="shared" si="39"/>
        <v>43.242196017419161</v>
      </c>
      <c r="CB61" s="20">
        <f t="shared" si="10"/>
        <v>372.58046139700485</v>
      </c>
      <c r="CC61" s="59">
        <f t="shared" si="11"/>
        <v>665.91379473033817</v>
      </c>
      <c r="CD61" s="59">
        <f ca="1">AVERAGE(OFFSET($CC$3,0,0,'Données projet'!$E$12+1,1))-AVERAGE(OFFSET($H$3,0,0,'Données projet'!$E$12+1,1))</f>
        <v>168.72306536277267</v>
      </c>
      <c r="CE61" s="59">
        <f t="shared" si="40"/>
        <v>203.35476578922339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1.7472147727386889</v>
      </c>
      <c r="CL61" s="21">
        <f>EXP(-LN(2)/25)*CL60+(1-EXP(-LN(2)/25))/(LN(2)/25)*Calculateur!CG61*Calculateur!CI61*VLOOKUP('Données projet'!$B$12,Paramètres!$A$1:$I$89,3,0)*0.475*44/12</f>
        <v>10.57526648816645</v>
      </c>
      <c r="CM61" s="21">
        <f>EXP(-LN(2)/2)*CM60+(1-EXP(-LN(2)/2))/(LN(2)/2)*CG61*CJ61*VLOOKUP('Données projet'!$B$12,Paramètres!$A$1:$I$89,3,0)*0.475*44/12</f>
        <v>1.2221586073052531E-3</v>
      </c>
      <c r="CN61" s="22">
        <f t="shared" si="12"/>
        <v>12.323703419512444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12.384615384615381</v>
      </c>
      <c r="CT61" s="12">
        <f>IF('Données projet'!$A$140&gt;35,CT60+CS61-DB60,IF(A61&lt;'Données projet'!$A$140,$CQ$205^A61,IF(A61='Données projet'!$A$140,'Données projet'!$B$140,CT60+CS61-DB60)))</f>
        <v>310.61538461538464</v>
      </c>
      <c r="CU61" s="17">
        <f>CT61*VLOOKUP('Données projet'!$B$13,Paramètres!$A$1:$I$89,3,0)*VLOOKUP('Données projet'!$B$13,Paramètres!$A$1:$I$89,5,0)</f>
        <v>149.40600000000001</v>
      </c>
      <c r="CV61" s="13">
        <f t="shared" si="41"/>
        <v>38.443565832322541</v>
      </c>
      <c r="CW61" s="20">
        <f t="shared" si="13"/>
        <v>327.1713271579618</v>
      </c>
      <c r="CX61" s="59">
        <f t="shared" si="14"/>
        <v>620.50466049129511</v>
      </c>
      <c r="CY61" s="59">
        <f ca="1">AVERAGE(OFFSET($CX$3,0,0,'Données projet'!$E$13+1,1))-AVERAGE(OFFSET($H$3,0,0,'Données projet'!$E$13+1,1))</f>
        <v>304.15237106473313</v>
      </c>
      <c r="CZ61" s="59">
        <f t="shared" si="42"/>
        <v>120.85458928724336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>
        <f>EXP(-LN(2)/35)*DF60+(1-EXP(-LN(2)/35))/(LN(2)/35)*DB61*DC61*VLOOKUP('Données projet'!$B$13,Paramètres!$A$1:$I$89,3,0)*0.475*44/12</f>
        <v>0</v>
      </c>
      <c r="DG61" s="21">
        <f>EXP(-LN(2)/25)*DG60+(1-EXP(-LN(2)/25))/(LN(2)/25)*Calculateur!DB61*Calculateur!DD61*VLOOKUP('Données projet'!$B$13,Paramètres!$A$1:$I$89,3,0)*0.475*44/12</f>
        <v>0</v>
      </c>
      <c r="DH61" s="21">
        <f>EXP(-LN(2)/2)*DH60+(1-EXP(-LN(2)/2))/(LN(2)/2)*DB61*DE61*VLOOKUP('Données projet'!$B$13,Paramètres!$A$1:$I$89,3,0)*0.475*44/12</f>
        <v>0</v>
      </c>
      <c r="DI61" s="22">
        <f t="shared" si="15"/>
        <v>0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7.2307692307692317</v>
      </c>
      <c r="DO61" s="12">
        <f>IF('Données projet'!$A$166&gt;35,DO60+DN61-DW60,IF(A61&lt;'Données projet'!$A$166,$DL$205^A61,IF(A61='Données projet'!$A$166,'Données projet'!$B$166,DO60+DN61-DW60)))</f>
        <v>186.30769230769226</v>
      </c>
      <c r="DP61" s="17">
        <f>DO61*VLOOKUP('Données projet'!$B$14,Paramètres!$A$1:$I$89,3,0)*VLOOKUP('Données projet'!$B$14,Paramètres!$A$1:$I$89,5,0)</f>
        <v>89.613999999999976</v>
      </c>
      <c r="DQ61" s="13">
        <f t="shared" si="43"/>
        <v>24.472107814117347</v>
      </c>
      <c r="DR61" s="20">
        <f t="shared" si="16"/>
        <v>198.69997110958766</v>
      </c>
      <c r="DS61" s="59">
        <f t="shared" si="17"/>
        <v>492.03330444292101</v>
      </c>
      <c r="DT61" s="59">
        <f ca="1">AVERAGE(OFFSET($DS$3,0,0,'Données projet'!$E$14+1,1))-AVERAGE(OFFSET($H$3,0,0,'Données projet'!$E$14+1,1))</f>
        <v>91.053246648097399</v>
      </c>
      <c r="DU61" s="59">
        <f t="shared" si="44"/>
        <v>64.716270355703955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>
        <f>EXP(-LN(2)/35)*EA60+(1-EXP(-LN(2)/35))/(LN(2)/35)*DW61*DX61*VLOOKUP('Données projet'!$B$14,Paramètres!$A$1:$I$89,3,0)*0.475*44/12</f>
        <v>0</v>
      </c>
      <c r="EB61" s="21">
        <f>EXP(-LN(2)/25)*EB60+(1-EXP(-LN(2)/25))/(LN(2)/25)*Calculateur!DW61*Calculateur!DY61*VLOOKUP('Données projet'!$B$14,Paramètres!$A$1:$I$89,3,0)*0.475*44/12</f>
        <v>0</v>
      </c>
      <c r="EC61" s="21">
        <f>EXP(-LN(2)/2)*EC60+(1-EXP(-LN(2)/2))/(LN(2)/2)*DW61*DZ61*VLOOKUP('Données projet'!$B$14,Paramètres!$A$1:$I$89,3,0)*0.475*44/12</f>
        <v>0</v>
      </c>
      <c r="ED61" s="22">
        <f t="shared" si="18"/>
        <v>0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18</v>
      </c>
      <c r="EJ61" s="12">
        <f>IF('Données projet'!$A$192&gt;35,EJ60+EI61-ER60,IF(A61&lt;'Données projet'!$A$192,$EG$205^A61,IF(A61='Données projet'!$A$192,'Données projet'!$B$192,EJ60+EI61-ER60)))</f>
        <v>471.99999999999972</v>
      </c>
      <c r="EK61" s="17">
        <f>EJ61*VLOOKUP('Données projet'!$B$15,Paramètres!$A$1:$I$89,3,0)*VLOOKUP('Données projet'!$B$15,Paramètres!$A$1:$I$89,5,0)</f>
        <v>282.25599999999986</v>
      </c>
      <c r="EL61" s="13">
        <f t="shared" si="45"/>
        <v>67.443543636985055</v>
      </c>
      <c r="EM61" s="20">
        <f t="shared" si="19"/>
        <v>609.06003850108198</v>
      </c>
      <c r="EN61" s="59">
        <f t="shared" si="20"/>
        <v>902.39337183441535</v>
      </c>
      <c r="EO61" s="59">
        <f ca="1">AVERAGE(OFFSET($EN$3,0,0,'Données projet'!$E$15+1,1))-AVERAGE(OFFSET($H$3,0,0,'Données projet'!$E$15+1,1))</f>
        <v>316.58509520829671</v>
      </c>
      <c r="EP61" s="59">
        <f t="shared" si="46"/>
        <v>240.71332110643596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>
        <f>EXP(-LN(2)/35)*EV60+(1-EXP(-LN(2)/35))/(LN(2)/35)*ER61*ES61*VLOOKUP('Données projet'!$B$15,Paramètres!$A$1:$I$89,3,0)*0.475*44/12</f>
        <v>1.4557151652460609</v>
      </c>
      <c r="EW61" s="21">
        <f>EXP(-LN(2)/25)*EW60+(1-EXP(-LN(2)/25))/(LN(2)/25)*Calculateur!ER61*Calculateur!ET61*VLOOKUP('Données projet'!$B$15,Paramètres!$A$1:$I$89,3,0)*0.475*44/12</f>
        <v>7.0246788094687806</v>
      </c>
      <c r="EX61" s="21">
        <f>EXP(-LN(2)/2)*EX60+(1-EXP(-LN(2)/2))/(LN(2)/2)*ER61*EU61*VLOOKUP('Données projet'!$B$15,Paramètres!$A$1:$I$89,3,0)*0.475*44/12</f>
        <v>1.3390712323084004E-3</v>
      </c>
      <c r="EY61" s="22">
        <f t="shared" si="21"/>
        <v>8.4817330459471503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15.6</v>
      </c>
      <c r="FE61" s="12">
        <f>IF('Données projet'!$A$218&gt;35,FE60+FD61-FM60,IF(A61&lt;'Données projet'!$A$218,$FB$205^A61,IF(A61='Données projet'!$A$218,'Données projet'!$B$218,FE60+FD61-FM60)))</f>
        <v>415.8</v>
      </c>
      <c r="FF61" s="17">
        <f>FE61*VLOOKUP('Données projet'!$B$16,Paramètres!$A$1:$I$89,3,0)*VLOOKUP('Données projet'!$B$16,Paramètres!$A$1:$I$89,5,0)</f>
        <v>248.64840000000001</v>
      </c>
      <c r="FG61" s="13">
        <f t="shared" si="47"/>
        <v>60.296424802828774</v>
      </c>
      <c r="FH61" s="20">
        <f t="shared" si="22"/>
        <v>538.07890319826015</v>
      </c>
      <c r="FI61" s="59">
        <f t="shared" si="23"/>
        <v>831.41223653159341</v>
      </c>
      <c r="FJ61" s="59">
        <f ca="1">AVERAGE(OFFSET($FI$3,0,0,'Données projet'!$E$16+1,1))-AVERAGE(OFFSET($H$3,0,0,'Données projet'!$E$16+1,1))</f>
        <v>270.30888762640245</v>
      </c>
      <c r="FK61" s="59">
        <f t="shared" si="48"/>
        <v>202.23783851977691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>
        <f>EXP(-LN(2)/35)*FQ60+(1-EXP(-LN(2)/35))/(LN(2)/35)*FM61*FN61*VLOOKUP('Données projet'!$B$16,Paramètres!$A$1:$I$89,3,0)*0.475*44/12</f>
        <v>1.2301818297854037</v>
      </c>
      <c r="FR61" s="21">
        <f>EXP(-LN(2)/25)*FR60+(1-EXP(-LN(2)/25))/(LN(2)/25)*Calculateur!FM61*Calculateur!FO61*VLOOKUP('Données projet'!$B$16,Paramètres!$A$1:$I$89,3,0)*0.475*44/12</f>
        <v>5.6569493609789872</v>
      </c>
      <c r="FS61" s="21">
        <f>EXP(-LN(2)/2)*FS60+(1-EXP(-LN(2)/2))/(LN(2)/2)*FM61*FP61*VLOOKUP('Données projet'!$B$16,Paramètres!$A$1:$I$89,3,0)*0.475*44/12</f>
        <v>1.1286992545448354E-3</v>
      </c>
      <c r="FT61" s="22">
        <f t="shared" si="24"/>
        <v>6.8882598900189356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6.8</v>
      </c>
      <c r="FZ61" s="12">
        <f>IF('Données projet'!$A$244&gt;35,FZ60+FY61-GH60,IF(A61&lt;'Données projet'!$A$244,$FW$205^A61,IF(A61='Données projet'!$A$244,'Données projet'!$B$244,FZ60+FY61-GH60)))</f>
        <v>296.39999999999992</v>
      </c>
      <c r="GA61" s="17">
        <f>FZ61*VLOOKUP('Données projet'!$B$17,Paramètres!$A$1:$I$89,3,0)*VLOOKUP('Données projet'!$B$17,Paramètres!$A$1:$I$89,5,0)</f>
        <v>235.81583999999995</v>
      </c>
      <c r="GB61" s="13">
        <f t="shared" si="49"/>
        <v>57.538368655200898</v>
      </c>
      <c r="GC61" s="20">
        <f t="shared" si="25"/>
        <v>510.92524674114156</v>
      </c>
      <c r="GD61" s="59">
        <f t="shared" si="26"/>
        <v>804.25858007447482</v>
      </c>
      <c r="GE61" s="59">
        <f ca="1">AVERAGE(OFFSET($GD$3,0,0,'Données projet'!$E$17+1,1))-AVERAGE(OFFSET($H$3,0,0,'Données projet'!$E$17+1,1))</f>
        <v>260.20517190557814</v>
      </c>
      <c r="GF61" s="59">
        <f t="shared" si="50"/>
        <v>307.22009971147133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>
        <f>EXP(-LN(2)/35)*GL60+(1-EXP(-LN(2)/35))/(LN(2)/35)*GH61*GI61*VLOOKUP('Données projet'!$B$17,Paramètres!$A$1:$I$89,3,0)*0.475*44/12</f>
        <v>1.874095845520904</v>
      </c>
      <c r="GM61" s="21">
        <f>EXP(-LN(2)/25)*GM60+(1-EXP(-LN(2)/25))/(LN(2)/25)*Calculateur!GH61*Calculateur!GJ61*VLOOKUP('Données projet'!$B$17,Paramètres!$A$1:$I$89,3,0)*0.475*44/12</f>
        <v>9.4409425115433674</v>
      </c>
      <c r="GN61" s="21">
        <f>EXP(-LN(2)/2)*GN60+(1-EXP(-LN(2)/2))/(LN(2)/2)*GH61*GK61*VLOOKUP('Données projet'!$B$17,Paramètres!$A$1:$I$89,3,0)*0.475*44/12</f>
        <v>1.467226211716143E-3</v>
      </c>
      <c r="GO61" s="21">
        <f t="shared" si="27"/>
        <v>11.316505583275987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5.6</v>
      </c>
      <c r="GU61" s="12">
        <f>IF('Données projet'!$A$270&gt;35,GU60+GT61-HC60,IF(A61&lt;'Données projet'!$A$270,$GR$205^A61,IF(A61='Données projet'!$A$270,'Données projet'!$B$270,GU60+GT61-HC60)))</f>
        <v>246.7999999999997</v>
      </c>
      <c r="GV61" s="17">
        <f>GU61*VLOOKUP('Données projet'!$B$18,Paramètres!$A$1:$I$89,3,0)*VLOOKUP('Données projet'!$B$18,Paramètres!$A$1:$I$89,5,0)</f>
        <v>196.35407999999978</v>
      </c>
      <c r="GW61" s="13">
        <f t="shared" si="51"/>
        <v>48.942048927099485</v>
      </c>
      <c r="GX61" s="20">
        <f t="shared" si="28"/>
        <v>427.22409121469786</v>
      </c>
      <c r="GY61" s="59">
        <f t="shared" si="29"/>
        <v>720.55742454803112</v>
      </c>
      <c r="GZ61" s="59">
        <f ca="1">AVERAGE(OFFSET($GY$3,0,0,'Données projet'!$E$18+1,1))-AVERAGE(OFFSET($H$3,0,0,'Données projet'!$E$18+1,1))</f>
        <v>199.58763537752952</v>
      </c>
      <c r="HA61" s="59">
        <f t="shared" si="52"/>
        <v>242.62852778451929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>
        <f>EXP(-LN(2)/35)*HG60+(1-EXP(-LN(2)/35))/(LN(2)/35)*HC61*HD61*VLOOKUP('Données projet'!$B$18,Paramètres!$A$1:$I$89,3,0)*0.475*44/12</f>
        <v>0</v>
      </c>
      <c r="HH61" s="21">
        <f>EXP(-LN(2)/25)*HH60+(1-EXP(-LN(2)/25))/(LN(2)/25)*Calculateur!HC61*Calculateur!HE61*VLOOKUP('Données projet'!$B$18,Paramètres!$A$1:$I$89,3,0)*0.475*44/12</f>
        <v>4.731133979409468</v>
      </c>
      <c r="HI61" s="21">
        <f>EXP(-LN(2)/2)*HI60+(1-EXP(-LN(2)/2))/(LN(2)/2)*HC61*HF61*VLOOKUP('Données projet'!$B$18,Paramètres!$A$1:$I$89,3,0)*0.475*44/12</f>
        <v>6.5683339802369506E-4</v>
      </c>
      <c r="HJ61" s="22">
        <f t="shared" si="30"/>
        <v>4.7317908128074917</v>
      </c>
    </row>
    <row r="62" spans="1:218" x14ac:dyDescent="0.2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52.462800000000044</v>
      </c>
      <c r="D62" s="11">
        <f t="shared" si="32"/>
        <v>15.247997775460181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522.67984247723678</v>
      </c>
      <c r="H62" s="67">
        <f t="shared" si="1"/>
        <v>411.26297279225986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-2.2737367544323206E-13</v>
      </c>
      <c r="O62" s="13">
        <f>N62*VLOOKUP('Données projet'!$B$9,Paramètres!$A$1:$I$89,3,0)*VLOOKUP('Données projet'!$B$9,Paramètres!$A$1:$I$89,5,0)</f>
        <v>-1.2710188457276673E-13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255.5374979188561</v>
      </c>
      <c r="T62" s="59">
        <f t="shared" si="34"/>
        <v>343.10418468620901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1.7399604101237069</v>
      </c>
      <c r="AA62" s="21">
        <f>EXP(-LN(2)/25)*AA61+(1-EXP(-LN(2)/25))/(LN(2)/25)*Calculateur!V62*Calculateur!X62*VLOOKUP('Données projet'!$B$9,Paramètres!$A$1:$I$89,3,0)*0.475*44/12</f>
        <v>7.1424160300484738</v>
      </c>
      <c r="AB62" s="21">
        <f>EXP(-LN(2)/2)*AB61+(1-EXP(-LN(2)/2))/(LN(2)/2)*V62*Y62*VLOOKUP('Données projet'!$B$9,Paramètres!$A$1:$I$89,3,0)*0.475*44/12</f>
        <v>7.3052109592985895E-5</v>
      </c>
      <c r="AC62" s="22">
        <f t="shared" si="3"/>
        <v>8.8824494922817738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14.839560439560435</v>
      </c>
      <c r="AI62" s="13">
        <f>IF('Données projet'!$A$62&gt;35,AI61+AH62-AQ61,IF(A62&lt;'Données projet'!$A$62,$AF$205^A62,IF(A62='Données projet'!$A$62,'Données projet'!$B$62,AI61+AH62-AQ61)))</f>
        <v>396.35714285714289</v>
      </c>
      <c r="AJ62" s="13">
        <f>AI62*VLOOKUP('Données projet'!$B$10,Paramètres!$A$1:$I$89,3,0)*VLOOKUP('Données projet'!$B$10,Paramètres!$A$1:$I$89,5,0)</f>
        <v>221.56364285714287</v>
      </c>
      <c r="AK62" s="13">
        <f t="shared" si="35"/>
        <v>54.45459555983345</v>
      </c>
      <c r="AL62" s="20">
        <f t="shared" si="4"/>
        <v>480.73176524290039</v>
      </c>
      <c r="AM62" s="59">
        <f t="shared" si="5"/>
        <v>774.06509857623371</v>
      </c>
      <c r="AN62" s="59">
        <f ca="1">AVERAGE(OFFSET($AM$3,0,0,'Données projet'!$E$10+1,1))-AVERAGE(OFFSET($H$3,0,0,'Données projet'!$E$10+1,1))</f>
        <v>224.7049802939942</v>
      </c>
      <c r="AO62" s="59">
        <f t="shared" si="36"/>
        <v>203.48513862195352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1.2563364532821615</v>
      </c>
      <c r="AV62" s="21">
        <f>EXP(-LN(2)/25)*AV61+(1-EXP(-LN(2)/25))/(LN(2)/25)*Calculateur!AQ62*Calculateur!AS62*VLOOKUP('Données projet'!$B$10,Paramètres!$A$1:$I$89,3,0)*0.475*44/12</f>
        <v>8.7374708219627522</v>
      </c>
      <c r="AW62" s="21">
        <f>EXP(-LN(2)/2)*AW61+(1-EXP(-LN(2)/2))/(LN(2)/2)*AQ62*AT62*VLOOKUP('Données projet'!$B$10,Paramètres!$A$1:$I$89,3,0)*0.475*44/12</f>
        <v>3.8672545939598928E-4</v>
      </c>
      <c r="AX62" s="21">
        <f t="shared" si="6"/>
        <v>9.9941940007043097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9.8000000000000007</v>
      </c>
      <c r="BD62" s="12">
        <f>IF('Données projet'!$A$88&gt;35,BD61+BC62-BL61,IF(A62&lt;'Données projet'!$A$88,$BA$205^A62,IF(A62='Données projet'!$A$88,'Données projet'!$B$88,BD61+BC62-BL61)))</f>
        <v>372.20000000000022</v>
      </c>
      <c r="BE62" s="13">
        <f>BD62*VLOOKUP('Données projet'!$B$11,Paramètres!$A$1:$I$89,3,0)*VLOOKUP('Données projet'!$B$11,Paramètres!$A$1:$I$89,5,0)</f>
        <v>203.22120000000012</v>
      </c>
      <c r="BF62" s="13">
        <f t="shared" si="37"/>
        <v>50.451430348521406</v>
      </c>
      <c r="BG62" s="20">
        <f t="shared" si="7"/>
        <v>441.81316452367497</v>
      </c>
      <c r="BH62" s="59">
        <f t="shared" si="8"/>
        <v>735.14649785700828</v>
      </c>
      <c r="BI62" s="59">
        <f ca="1">AVERAGE(OFFSET($BH$3,0,0,'Données projet'!$E$11+1,1))-AVERAGE(OFFSET($H$3,0,0,'Données projet'!$E$11+1,1))</f>
        <v>210.04871822652808</v>
      </c>
      <c r="BJ62" s="59">
        <f t="shared" si="38"/>
        <v>250.17540614049324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4.1110870961785571</v>
      </c>
      <c r="BQ62" s="21">
        <f>EXP(-LN(2)/25)*BQ61+(1-EXP(-LN(2)/25))/(LN(2)/25)*Calculateur!BL62*Calculateur!BN62*VLOOKUP('Données projet'!$B$11,Paramètres!$A$1:$I$89,3,0)*0.475*44/12</f>
        <v>12.454593199818298</v>
      </c>
      <c r="BR62" s="21">
        <f>EXP(-LN(2)/2)*BR61+(1-EXP(-LN(2)/2))/(LN(2)/2)*BL62*BO62*VLOOKUP('Données projet'!$B$11,Paramètres!$A$1:$I$89,3,0)*0.475*44/12</f>
        <v>9.3023076703623757E-4</v>
      </c>
      <c r="BS62" s="22">
        <f t="shared" si="9"/>
        <v>16.566610526763892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8.1999999999999993</v>
      </c>
      <c r="BY62" s="12">
        <f>IF('Données projet'!$A$114&gt;35,BY61+BX62-CG61,IF(A62&lt;'Données projet'!$A$114,$BV$205^A62,IF(A62='Données projet'!$A$114,'Données projet'!$B$114,BY61+BX62-CG61)))</f>
        <v>320.79999999999978</v>
      </c>
      <c r="BZ62" s="13">
        <f>BY62*VLOOKUP('Données projet'!$B$12,Paramètres!$A$1:$I$89,3,0)*VLOOKUP('Données projet'!$B$12,Paramètres!$A$1:$I$89,5,0)</f>
        <v>175.15679999999989</v>
      </c>
      <c r="CA62" s="13">
        <f t="shared" si="39"/>
        <v>44.242958891041738</v>
      </c>
      <c r="CB62" s="20">
        <f t="shared" si="10"/>
        <v>382.12124673523084</v>
      </c>
      <c r="CC62" s="59">
        <f t="shared" si="11"/>
        <v>675.45458006856416</v>
      </c>
      <c r="CD62" s="59">
        <f ca="1">AVERAGE(OFFSET($CC$3,0,0,'Données projet'!$E$12+1,1))-AVERAGE(OFFSET($H$3,0,0,'Données projet'!$E$12+1,1))</f>
        <v>168.72306536277267</v>
      </c>
      <c r="CE62" s="59">
        <f t="shared" si="40"/>
        <v>203.35476578922339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1.7129529567410657</v>
      </c>
      <c r="CL62" s="21">
        <f>EXP(-LN(2)/25)*CL61+(1-EXP(-LN(2)/25))/(LN(2)/25)*Calculateur!CG62*Calculateur!CI62*VLOOKUP('Données projet'!$B$12,Paramètres!$A$1:$I$89,3,0)*0.475*44/12</f>
        <v>10.286085269918445</v>
      </c>
      <c r="CM62" s="21">
        <f>EXP(-LN(2)/2)*CM61+(1-EXP(-LN(2)/2))/(LN(2)/2)*CG62*CJ62*VLOOKUP('Données projet'!$B$12,Paramètres!$A$1:$I$89,3,0)*0.475*44/12</f>
        <v>8.6419663891105125E-4</v>
      </c>
      <c r="CN62" s="22">
        <f t="shared" si="12"/>
        <v>11.999902423298423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12.384615384615381</v>
      </c>
      <c r="CT62" s="12">
        <f>IF('Données projet'!$A$140&gt;35,CT61+CS62-DB61,IF(A62&lt;'Données projet'!$A$140,$CQ$205^A62,IF(A62='Données projet'!$A$140,'Données projet'!$B$140,CT61+CS62-DB61)))</f>
        <v>323</v>
      </c>
      <c r="CU62" s="17">
        <f>CT62*VLOOKUP('Données projet'!$B$13,Paramètres!$A$1:$I$89,3,0)*VLOOKUP('Données projet'!$B$13,Paramètres!$A$1:$I$89,5,0)</f>
        <v>155.363</v>
      </c>
      <c r="CV62" s="13">
        <f t="shared" si="41"/>
        <v>39.794843681510258</v>
      </c>
      <c r="CW62" s="20">
        <f t="shared" si="13"/>
        <v>339.89991107863034</v>
      </c>
      <c r="CX62" s="59">
        <f t="shared" si="14"/>
        <v>633.2332444119636</v>
      </c>
      <c r="CY62" s="59">
        <f ca="1">AVERAGE(OFFSET($CX$3,0,0,'Données projet'!$E$13+1,1))-AVERAGE(OFFSET($H$3,0,0,'Données projet'!$E$13+1,1))</f>
        <v>304.15237106473313</v>
      </c>
      <c r="CZ62" s="59">
        <f t="shared" si="42"/>
        <v>120.85458928724336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>
        <f>EXP(-LN(2)/35)*DF61+(1-EXP(-LN(2)/35))/(LN(2)/35)*DB62*DC62*VLOOKUP('Données projet'!$B$13,Paramètres!$A$1:$I$89,3,0)*0.475*44/12</f>
        <v>0</v>
      </c>
      <c r="DG62" s="21">
        <f>EXP(-LN(2)/25)*DG61+(1-EXP(-LN(2)/25))/(LN(2)/25)*Calculateur!DB62*Calculateur!DD62*VLOOKUP('Données projet'!$B$13,Paramètres!$A$1:$I$89,3,0)*0.475*44/12</f>
        <v>0</v>
      </c>
      <c r="DH62" s="21">
        <f>EXP(-LN(2)/2)*DH61+(1-EXP(-LN(2)/2))/(LN(2)/2)*DB62*DE62*VLOOKUP('Données projet'!$B$13,Paramètres!$A$1:$I$89,3,0)*0.475*44/12</f>
        <v>0</v>
      </c>
      <c r="DI62" s="22">
        <f t="shared" si="15"/>
        <v>0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7.2307692307692317</v>
      </c>
      <c r="DO62" s="12">
        <f>IF('Données projet'!$A$166&gt;35,DO61+DN62-DW61,IF(A62&lt;'Données projet'!$A$166,$DL$205^A62,IF(A62='Données projet'!$A$166,'Données projet'!$B$166,DO61+DN62-DW61)))</f>
        <v>193.53846153846149</v>
      </c>
      <c r="DP62" s="17">
        <f>DO62*VLOOKUP('Données projet'!$B$14,Paramètres!$A$1:$I$89,3,0)*VLOOKUP('Données projet'!$B$14,Paramètres!$A$1:$I$89,5,0)</f>
        <v>93.09199999999997</v>
      </c>
      <c r="DQ62" s="13">
        <f t="shared" si="43"/>
        <v>25.30946860827963</v>
      </c>
      <c r="DR62" s="20">
        <f t="shared" si="16"/>
        <v>206.21589115942029</v>
      </c>
      <c r="DS62" s="59">
        <f t="shared" si="17"/>
        <v>499.54922449275364</v>
      </c>
      <c r="DT62" s="59">
        <f ca="1">AVERAGE(OFFSET($DS$3,0,0,'Données projet'!$E$14+1,1))-AVERAGE(OFFSET($H$3,0,0,'Données projet'!$E$14+1,1))</f>
        <v>91.053246648097399</v>
      </c>
      <c r="DU62" s="59">
        <f t="shared" si="44"/>
        <v>64.716270355703955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>
        <f>EXP(-LN(2)/35)*EA61+(1-EXP(-LN(2)/35))/(LN(2)/35)*DW62*DX62*VLOOKUP('Données projet'!$B$14,Paramètres!$A$1:$I$89,3,0)*0.475*44/12</f>
        <v>0</v>
      </c>
      <c r="EB62" s="21">
        <f>EXP(-LN(2)/25)*EB61+(1-EXP(-LN(2)/25))/(LN(2)/25)*Calculateur!DW62*Calculateur!DY62*VLOOKUP('Données projet'!$B$14,Paramètres!$A$1:$I$89,3,0)*0.475*44/12</f>
        <v>0</v>
      </c>
      <c r="EC62" s="21">
        <f>EXP(-LN(2)/2)*EC61+(1-EXP(-LN(2)/2))/(LN(2)/2)*DW62*DZ62*VLOOKUP('Données projet'!$B$14,Paramètres!$A$1:$I$89,3,0)*0.475*44/12</f>
        <v>0</v>
      </c>
      <c r="ED62" s="22">
        <f t="shared" si="18"/>
        <v>0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18</v>
      </c>
      <c r="EJ62" s="12">
        <f>IF('Données projet'!$A$192&gt;35,EJ61+EI62-ER61,IF(A62&lt;'Données projet'!$A$192,$EG$205^A62,IF(A62='Données projet'!$A$192,'Données projet'!$B$192,EJ61+EI62-ER61)))</f>
        <v>489.99999999999972</v>
      </c>
      <c r="EK62" s="17">
        <f>EJ62*VLOOKUP('Données projet'!$B$15,Paramètres!$A$1:$I$89,3,0)*VLOOKUP('Données projet'!$B$15,Paramètres!$A$1:$I$89,5,0)</f>
        <v>293.01999999999987</v>
      </c>
      <c r="EL62" s="13">
        <f t="shared" si="45"/>
        <v>69.711188549176683</v>
      </c>
      <c r="EM62" s="20">
        <f t="shared" si="19"/>
        <v>631.75682005648241</v>
      </c>
      <c r="EN62" s="59">
        <f t="shared" si="20"/>
        <v>925.09015338981567</v>
      </c>
      <c r="EO62" s="59">
        <f ca="1">AVERAGE(OFFSET($EN$3,0,0,'Données projet'!$E$15+1,1))-AVERAGE(OFFSET($H$3,0,0,'Données projet'!$E$15+1,1))</f>
        <v>316.58509520829671</v>
      </c>
      <c r="EP62" s="59">
        <f t="shared" si="46"/>
        <v>240.71332110643596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>
        <f>EXP(-LN(2)/35)*EV61+(1-EXP(-LN(2)/35))/(LN(2)/35)*ER62*ES62*VLOOKUP('Données projet'!$B$15,Paramètres!$A$1:$I$89,3,0)*0.475*44/12</f>
        <v>1.4271694787541638</v>
      </c>
      <c r="EW62" s="21">
        <f>EXP(-LN(2)/25)*EW61+(1-EXP(-LN(2)/25))/(LN(2)/25)*Calculateur!ER62*Calculateur!ET62*VLOOKUP('Données projet'!$B$15,Paramètres!$A$1:$I$89,3,0)*0.475*44/12</f>
        <v>6.8325885980120535</v>
      </c>
      <c r="EX62" s="21">
        <f>EXP(-LN(2)/2)*EX61+(1-EXP(-LN(2)/2))/(LN(2)/2)*ER62*EU62*VLOOKUP('Données projet'!$B$15,Paramètres!$A$1:$I$89,3,0)*0.475*44/12</f>
        <v>9.4686634885709673E-4</v>
      </c>
      <c r="EY62" s="22">
        <f t="shared" si="21"/>
        <v>8.2607049431150745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15.6</v>
      </c>
      <c r="FE62" s="12">
        <f>IF('Données projet'!$A$218&gt;35,FE61+FD62-FM61,IF(A62&lt;'Données projet'!$A$218,$FB$205^A62,IF(A62='Données projet'!$A$218,'Données projet'!$B$218,FE61+FD62-FM61)))</f>
        <v>431.40000000000003</v>
      </c>
      <c r="FF62" s="17">
        <f>FE62*VLOOKUP('Données projet'!$B$16,Paramètres!$A$1:$I$89,3,0)*VLOOKUP('Données projet'!$B$16,Paramètres!$A$1:$I$89,5,0)</f>
        <v>257.97720000000004</v>
      </c>
      <c r="FG62" s="13">
        <f t="shared" si="47"/>
        <v>62.291002935551688</v>
      </c>
      <c r="FH62" s="20">
        <f t="shared" si="22"/>
        <v>557.80045344608595</v>
      </c>
      <c r="FI62" s="59">
        <f t="shared" si="23"/>
        <v>851.13378677941932</v>
      </c>
      <c r="FJ62" s="59">
        <f ca="1">AVERAGE(OFFSET($FI$3,0,0,'Données projet'!$E$16+1,1))-AVERAGE(OFFSET($H$3,0,0,'Données projet'!$E$16+1,1))</f>
        <v>270.30888762640245</v>
      </c>
      <c r="FK62" s="59">
        <f t="shared" si="48"/>
        <v>202.23783851977691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>
        <f>EXP(-LN(2)/35)*FQ61+(1-EXP(-LN(2)/35))/(LN(2)/35)*FM62*FN62*VLOOKUP('Données projet'!$B$16,Paramètres!$A$1:$I$89,3,0)*0.475*44/12</f>
        <v>1.2060587144401385</v>
      </c>
      <c r="FR62" s="21">
        <f>EXP(-LN(2)/25)*FR61+(1-EXP(-LN(2)/25))/(LN(2)/25)*Calculateur!FM62*Calculateur!FO62*VLOOKUP('Données projet'!$B$16,Paramètres!$A$1:$I$89,3,0)*0.475*44/12</f>
        <v>5.5022597832169788</v>
      </c>
      <c r="FS62" s="21">
        <f>EXP(-LN(2)/2)*FS61+(1-EXP(-LN(2)/2))/(LN(2)/2)*FM62*FP62*VLOOKUP('Données projet'!$B$16,Paramètres!$A$1:$I$89,3,0)*0.475*44/12</f>
        <v>7.9811089680885427E-4</v>
      </c>
      <c r="FT62" s="22">
        <f t="shared" si="24"/>
        <v>6.7091166085539262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6.8</v>
      </c>
      <c r="FZ62" s="12">
        <f>IF('Données projet'!$A$244&gt;35,FZ61+FY62-GH61,IF(A62&lt;'Données projet'!$A$244,$FW$205^A62,IF(A62='Données projet'!$A$244,'Données projet'!$B$244,FZ61+FY62-GH61)))</f>
        <v>303.19999999999993</v>
      </c>
      <c r="GA62" s="17">
        <f>FZ62*VLOOKUP('Données projet'!$B$17,Paramètres!$A$1:$I$89,3,0)*VLOOKUP('Données projet'!$B$17,Paramètres!$A$1:$I$89,5,0)</f>
        <v>241.22591999999997</v>
      </c>
      <c r="GB62" s="13">
        <f t="shared" si="49"/>
        <v>58.703214877960853</v>
      </c>
      <c r="GC62" s="20">
        <f t="shared" si="25"/>
        <v>522.37657657911507</v>
      </c>
      <c r="GD62" s="59">
        <f t="shared" si="26"/>
        <v>815.70990991244844</v>
      </c>
      <c r="GE62" s="59">
        <f ca="1">AVERAGE(OFFSET($GD$3,0,0,'Données projet'!$E$17+1,1))-AVERAGE(OFFSET($H$3,0,0,'Données projet'!$E$17+1,1))</f>
        <v>260.20517190557814</v>
      </c>
      <c r="GF62" s="59">
        <f t="shared" si="50"/>
        <v>307.22009971147133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>
        <f>EXP(-LN(2)/35)*GL61+(1-EXP(-LN(2)/35))/(LN(2)/35)*GH62*GI62*VLOOKUP('Données projet'!$B$17,Paramètres!$A$1:$I$89,3,0)*0.475*44/12</f>
        <v>1.8373459690758345</v>
      </c>
      <c r="GM62" s="21">
        <f>EXP(-LN(2)/25)*GM61+(1-EXP(-LN(2)/25))/(LN(2)/25)*Calculateur!GH62*Calculateur!GJ62*VLOOKUP('Données projet'!$B$17,Paramètres!$A$1:$I$89,3,0)*0.475*44/12</f>
        <v>9.1827794420876252</v>
      </c>
      <c r="GN62" s="21">
        <f>EXP(-LN(2)/2)*GN61+(1-EXP(-LN(2)/2))/(LN(2)/2)*GH62*GK62*VLOOKUP('Données projet'!$B$17,Paramètres!$A$1:$I$89,3,0)*0.475*44/12</f>
        <v>1.0374856038391337E-3</v>
      </c>
      <c r="GO62" s="21">
        <f t="shared" si="27"/>
        <v>11.021162896767299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5.6</v>
      </c>
      <c r="GU62" s="12">
        <f>IF('Données projet'!$A$270&gt;35,GU61+GT62-HC61,IF(A62&lt;'Données projet'!$A$270,$GR$205^A62,IF(A62='Données projet'!$A$270,'Données projet'!$B$270,GU61+GT62-HC61)))</f>
        <v>252.39999999999969</v>
      </c>
      <c r="GV62" s="17">
        <f>GU62*VLOOKUP('Données projet'!$B$18,Paramètres!$A$1:$I$89,3,0)*VLOOKUP('Données projet'!$B$18,Paramètres!$A$1:$I$89,5,0)</f>
        <v>200.80943999999977</v>
      </c>
      <c r="GW62" s="13">
        <f t="shared" si="51"/>
        <v>49.922016299484262</v>
      </c>
      <c r="GX62" s="20">
        <f t="shared" si="28"/>
        <v>436.69061972160131</v>
      </c>
      <c r="GY62" s="59">
        <f t="shared" si="29"/>
        <v>730.02395305493462</v>
      </c>
      <c r="GZ62" s="59">
        <f ca="1">AVERAGE(OFFSET($GY$3,0,0,'Données projet'!$E$18+1,1))-AVERAGE(OFFSET($H$3,0,0,'Données projet'!$E$18+1,1))</f>
        <v>199.58763537752952</v>
      </c>
      <c r="HA62" s="59">
        <f t="shared" si="52"/>
        <v>242.62852778451929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>
        <f>EXP(-LN(2)/35)*HG61+(1-EXP(-LN(2)/35))/(LN(2)/35)*HC62*HD62*VLOOKUP('Données projet'!$B$18,Paramètres!$A$1:$I$89,3,0)*0.475*44/12</f>
        <v>0</v>
      </c>
      <c r="HH62" s="21">
        <f>EXP(-LN(2)/25)*HH61+(1-EXP(-LN(2)/25))/(LN(2)/25)*Calculateur!HC62*Calculateur!HE62*VLOOKUP('Données projet'!$B$18,Paramètres!$A$1:$I$89,3,0)*0.475*44/12</f>
        <v>4.601760871942993</v>
      </c>
      <c r="HI62" s="21">
        <f>EXP(-LN(2)/2)*HI61+(1-EXP(-LN(2)/2))/(LN(2)/2)*HC62*HF62*VLOOKUP('Données projet'!$B$18,Paramètres!$A$1:$I$89,3,0)*0.475*44/12</f>
        <v>4.6445134985235743E-4</v>
      </c>
      <c r="HJ62" s="22">
        <f t="shared" si="30"/>
        <v>4.6022253232928456</v>
      </c>
    </row>
    <row r="63" spans="1:218" x14ac:dyDescent="0.2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53.352000000000046</v>
      </c>
      <c r="D63" s="11">
        <f t="shared" si="32"/>
        <v>15.476132071622855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531.30487914936975</v>
      </c>
      <c r="H63" s="67">
        <f t="shared" si="1"/>
        <v>413.20899669140988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-2.2737367544323206E-13</v>
      </c>
      <c r="O63" s="13">
        <f>N63*VLOOKUP('Données projet'!$B$9,Paramètres!$A$1:$I$89,3,0)*VLOOKUP('Données projet'!$B$9,Paramètres!$A$1:$I$89,5,0)</f>
        <v>-1.2710188457276673E-13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255.5374979188561</v>
      </c>
      <c r="T63" s="59">
        <f t="shared" si="34"/>
        <v>343.10418468620901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1.7058408477522393</v>
      </c>
      <c r="AA63" s="21">
        <f>EXP(-LN(2)/25)*AA62+(1-EXP(-LN(2)/25))/(LN(2)/25)*Calculateur!V63*Calculateur!X63*VLOOKUP('Données projet'!$B$9,Paramètres!$A$1:$I$89,3,0)*0.475*44/12</f>
        <v>6.9471062881034635</v>
      </c>
      <c r="AB63" s="21">
        <f>EXP(-LN(2)/2)*AB62+(1-EXP(-LN(2)/2))/(LN(2)/2)*V63*Y63*VLOOKUP('Données projet'!$B$9,Paramètres!$A$1:$I$89,3,0)*0.475*44/12</f>
        <v>5.1655642073183168E-5</v>
      </c>
      <c r="AC63" s="22">
        <f t="shared" si="3"/>
        <v>8.652998791497776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14.839560439560435</v>
      </c>
      <c r="AI63" s="13">
        <f>IF('Données projet'!$A$62&gt;35,AI62+AH63-AQ62,IF(A63&lt;'Données projet'!$A$62,$AF$205^A63,IF(A63='Données projet'!$A$62,'Données projet'!$B$62,AI62+AH63-AQ62)))</f>
        <v>411.19670329670333</v>
      </c>
      <c r="AJ63" s="13">
        <f>AI63*VLOOKUP('Données projet'!$B$10,Paramètres!$A$1:$I$89,3,0)*VLOOKUP('Données projet'!$B$10,Paramètres!$A$1:$I$89,5,0)</f>
        <v>229.85895714285718</v>
      </c>
      <c r="AK63" s="13">
        <f t="shared" si="35"/>
        <v>56.252183679167004</v>
      </c>
      <c r="AL63" s="20">
        <f t="shared" si="4"/>
        <v>498.31023693169209</v>
      </c>
      <c r="AM63" s="59">
        <f t="shared" si="5"/>
        <v>791.64357026502535</v>
      </c>
      <c r="AN63" s="59">
        <f ca="1">AVERAGE(OFFSET($AM$3,0,0,'Données projet'!$E$10+1,1))-AVERAGE(OFFSET($H$3,0,0,'Données projet'!$E$10+1,1))</f>
        <v>224.7049802939942</v>
      </c>
      <c r="AO63" s="59">
        <f t="shared" si="36"/>
        <v>203.48513862195352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1.23170046172287</v>
      </c>
      <c r="AV63" s="21">
        <f>EXP(-LN(2)/25)*AV62+(1-EXP(-LN(2)/25))/(LN(2)/25)*Calculateur!AQ63*Calculateur!AS63*VLOOKUP('Données projet'!$B$10,Paramètres!$A$1:$I$89,3,0)*0.475*44/12</f>
        <v>8.4985442228525603</v>
      </c>
      <c r="AW63" s="21">
        <f>EXP(-LN(2)/2)*AW62+(1-EXP(-LN(2)/2))/(LN(2)/2)*AQ63*AT63*VLOOKUP('Données projet'!$B$10,Paramètres!$A$1:$I$89,3,0)*0.475*44/12</f>
        <v>2.7345619479638686E-4</v>
      </c>
      <c r="AX63" s="21">
        <f t="shared" si="6"/>
        <v>9.7305181407702257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>
        <f>VLOOKUP(A63,'Données projet'!$A$87:$I$107,2,0)</f>
        <v>382</v>
      </c>
      <c r="BB63" s="12">
        <f>VLOOKUP(A63,'Données projet'!$A$87:$I$107,9,0)</f>
        <v>9.8000000000000007</v>
      </c>
      <c r="BC63" s="12">
        <f t="array" ref="BC63">INDEX(BB:BB,MIN(IF(ISNUMBER(BB63:BB259),ROW(BB63:BB259),"")))</f>
        <v>9.8000000000000007</v>
      </c>
      <c r="BD63" s="12">
        <f>IF('Données projet'!$A$88&gt;35,BD62+BC63-BL62,IF(A63&lt;'Données projet'!$A$88,$BA$205^A63,IF(A63='Données projet'!$A$88,'Données projet'!$B$88,BD62+BC63-BL62)))</f>
        <v>382.00000000000023</v>
      </c>
      <c r="BE63" s="13">
        <f>BD63*VLOOKUP('Données projet'!$B$11,Paramètres!$A$1:$I$89,3,0)*VLOOKUP('Données projet'!$B$11,Paramètres!$A$1:$I$89,5,0)</f>
        <v>208.57200000000012</v>
      </c>
      <c r="BF63" s="13">
        <f t="shared" si="37"/>
        <v>51.623407958239042</v>
      </c>
      <c r="BG63" s="20">
        <f t="shared" si="7"/>
        <v>453.17366886059989</v>
      </c>
      <c r="BH63" s="59">
        <f t="shared" si="8"/>
        <v>746.5070021939332</v>
      </c>
      <c r="BI63" s="59">
        <f ca="1">AVERAGE(OFFSET($BH$3,0,0,'Données projet'!$E$11+1,1))-AVERAGE(OFFSET($H$3,0,0,'Données projet'!$E$11+1,1))</f>
        <v>210.04871822652808</v>
      </c>
      <c r="BJ63" s="59">
        <f t="shared" si="38"/>
        <v>250.17540614049324</v>
      </c>
      <c r="BK63" s="15">
        <f>IF(ISNA(VLOOKUP(A63,'Données projet'!$A$87:$I$107,3,0)),0,VLOOKUP(A63,'Données projet'!$A$87:$I$107,3,0))</f>
        <v>5</v>
      </c>
      <c r="BL63" s="15">
        <f>IF(ISNA(VLOOKUP(A63,'Données projet'!$A$87:$I$107,4,0)),0,VLOOKUP(A63,'Données projet'!$A$87:$I$107,4,0))</f>
        <v>56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4.030471185738028</v>
      </c>
      <c r="BQ63" s="21">
        <f>EXP(-LN(2)/25)*BQ62+(1-EXP(-LN(2)/25))/(LN(2)/25)*Calculateur!BL63*Calculateur!BN63*VLOOKUP('Données projet'!$B$11,Paramètres!$A$1:$I$89,3,0)*0.475*44/12</f>
        <v>12.114021693810676</v>
      </c>
      <c r="BR63" s="21">
        <f>EXP(-LN(2)/2)*BR62+(1-EXP(-LN(2)/2))/(LN(2)/2)*BL63*BO63*VLOOKUP('Données projet'!$B$11,Paramètres!$A$1:$I$89,3,0)*0.475*44/12</f>
        <v>6.577724834396872E-4</v>
      </c>
      <c r="BS63" s="22">
        <f t="shared" si="9"/>
        <v>16.145150652032143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>
        <f>VLOOKUP(A63,'Données projet'!$A$113:$I$133,2,0)</f>
        <v>329</v>
      </c>
      <c r="BW63" s="12">
        <f>VLOOKUP(A63,'Données projet'!$A$113:$I$133,9,0)</f>
        <v>8.1999999999999993</v>
      </c>
      <c r="BX63" s="12">
        <f t="array" ref="BX63">INDEX(BW:BW,MIN(IF(ISNUMBER(BW63:BW259),ROW(BW63:BW259),"")))</f>
        <v>8.1999999999999993</v>
      </c>
      <c r="BY63" s="12">
        <f>IF('Données projet'!$A$114&gt;35,BY62+BX63-CG62,IF(A63&lt;'Données projet'!$A$114,$BV$205^A63,IF(A63='Données projet'!$A$114,'Données projet'!$B$114,BY62+BX63-CG62)))</f>
        <v>328.99999999999977</v>
      </c>
      <c r="BZ63" s="13">
        <f>BY63*VLOOKUP('Données projet'!$B$12,Paramètres!$A$1:$I$89,3,0)*VLOOKUP('Données projet'!$B$12,Paramètres!$A$1:$I$89,5,0)</f>
        <v>179.63399999999987</v>
      </c>
      <c r="CA63" s="13">
        <f t="shared" si="39"/>
        <v>45.240748266194686</v>
      </c>
      <c r="CB63" s="20">
        <f t="shared" si="10"/>
        <v>391.65685323028885</v>
      </c>
      <c r="CC63" s="59">
        <f t="shared" si="11"/>
        <v>684.99018656362216</v>
      </c>
      <c r="CD63" s="59">
        <f ca="1">AVERAGE(OFFSET($CC$3,0,0,'Données projet'!$E$12+1,1))-AVERAGE(OFFSET($H$3,0,0,'Données projet'!$E$12+1,1))</f>
        <v>168.72306536277267</v>
      </c>
      <c r="CE63" s="59">
        <f t="shared" si="40"/>
        <v>203.35476578922339</v>
      </c>
      <c r="CF63" s="15">
        <f>IF(ISNA(VLOOKUP(A63,'Données projet'!$A$113:$I$133,3,0)),0,VLOOKUP(A63,'Données projet'!$A$113:$I$133,3,0))</f>
        <v>5</v>
      </c>
      <c r="CG63" s="15">
        <f>IF(ISNA(VLOOKUP(A63,'Données projet'!$A$113:$I$133,4,0)),0,VLOOKUP(A63,'Données projet'!$A$113:$I$133,4,0))</f>
        <v>46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1.6793629940575119</v>
      </c>
      <c r="CL63" s="21">
        <f>EXP(-LN(2)/25)*CL62+(1-EXP(-LN(2)/25))/(LN(2)/25)*Calculateur!CG63*Calculateur!CI63*VLOOKUP('Données projet'!$B$12,Paramètres!$A$1:$I$89,3,0)*0.475*44/12</f>
        <v>10.004811727290809</v>
      </c>
      <c r="CM63" s="21">
        <f>EXP(-LN(2)/2)*CM62+(1-EXP(-LN(2)/2))/(LN(2)/2)*CG63*CJ63*VLOOKUP('Données projet'!$B$12,Paramètres!$A$1:$I$89,3,0)*0.475*44/12</f>
        <v>6.1107930365262653E-4</v>
      </c>
      <c r="CN63" s="22">
        <f t="shared" si="12"/>
        <v>11.684785800651973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>
        <f>VLOOKUP(A63,'Données projet'!$A$139:$I$159,2,0)</f>
        <v>335.38461538461536</v>
      </c>
      <c r="CR63" s="12">
        <f>VLOOKUP(A63,'Données projet'!$A$139:$I$159,9,0)</f>
        <v>12.384615384615381</v>
      </c>
      <c r="CS63" s="12">
        <f t="array" ref="CS63">INDEX(CR:CR,MIN(IF(ISNUMBER(CR63:CR259),ROW(CR63:CR259),"")))</f>
        <v>12.384615384615381</v>
      </c>
      <c r="CT63" s="12">
        <f>IF('Données projet'!$A$140&gt;35,CT62+CS63-DB62,IF(A63&lt;'Données projet'!$A$140,$CQ$205^A63,IF(A63='Données projet'!$A$140,'Données projet'!$B$140,CT62+CS63-DB62)))</f>
        <v>335.38461538461536</v>
      </c>
      <c r="CU63" s="17">
        <f>CT63*VLOOKUP('Données projet'!$B$13,Paramètres!$A$1:$I$89,3,0)*VLOOKUP('Données projet'!$B$13,Paramètres!$A$1:$I$89,5,0)</f>
        <v>161.32</v>
      </c>
      <c r="CV63" s="13">
        <f t="shared" si="41"/>
        <v>41.140102573327844</v>
      </c>
      <c r="CW63" s="20">
        <f t="shared" si="13"/>
        <v>352.61801198187936</v>
      </c>
      <c r="CX63" s="59">
        <f t="shared" si="14"/>
        <v>645.95134531521262</v>
      </c>
      <c r="CY63" s="59">
        <f ca="1">AVERAGE(OFFSET($CX$3,0,0,'Données projet'!$E$13+1,1))-AVERAGE(OFFSET($H$3,0,0,'Données projet'!$E$13+1,1))</f>
        <v>304.15237106473313</v>
      </c>
      <c r="CZ63" s="59">
        <f t="shared" si="42"/>
        <v>120.85458928724336</v>
      </c>
      <c r="DA63" s="15">
        <f>IF(ISNA(VLOOKUP(A63,'Données projet'!$A$139:$I$159,3,0)),0,VLOOKUP(A63,'Données projet'!$A$139:$I$159,3,0))</f>
        <v>3</v>
      </c>
      <c r="DB63" s="15">
        <f>IF(ISNA(VLOOKUP(A63,'Données projet'!$A$139:$I$159,4,0)),0,VLOOKUP(A63,'Données projet'!$A$139:$I$159,4,0))</f>
        <v>50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>
        <f>EXP(-LN(2)/35)*DF62+(1-EXP(-LN(2)/35))/(LN(2)/35)*DB63*DC63*VLOOKUP('Données projet'!$B$13,Paramètres!$A$1:$I$89,3,0)*0.475*44/12</f>
        <v>0</v>
      </c>
      <c r="DG63" s="21">
        <f>EXP(-LN(2)/25)*DG62+(1-EXP(-LN(2)/25))/(LN(2)/25)*Calculateur!DB63*Calculateur!DD63*VLOOKUP('Données projet'!$B$13,Paramètres!$A$1:$I$89,3,0)*0.475*44/12</f>
        <v>0</v>
      </c>
      <c r="DH63" s="21">
        <f>EXP(-LN(2)/2)*DH62+(1-EXP(-LN(2)/2))/(LN(2)/2)*DB63*DE63*VLOOKUP('Données projet'!$B$13,Paramètres!$A$1:$I$89,3,0)*0.475*44/12</f>
        <v>0</v>
      </c>
      <c r="DI63" s="22">
        <f t="shared" si="15"/>
        <v>0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>
        <f>VLOOKUP(A63,'Données projet'!$A$165:$I$185,2,0)</f>
        <v>200.76923076923077</v>
      </c>
      <c r="DM63" s="12">
        <f>VLOOKUP(A63,'Données projet'!$A$165:$I$185,9,0)</f>
        <v>7.2307692307692317</v>
      </c>
      <c r="DN63" s="12">
        <f t="array" ref="DN63">INDEX(DM:DM,MIN(IF(ISNUMBER(DM63:DM259),ROW(DM63:DM259),"")))</f>
        <v>7.2307692307692317</v>
      </c>
      <c r="DO63" s="12">
        <f>IF('Données projet'!$A$166&gt;35,DO62+DN63-DW62,IF(A63&lt;'Données projet'!$A$166,$DL$205^A63,IF(A63='Données projet'!$A$166,'Données projet'!$B$166,DO62+DN63-DW62)))</f>
        <v>200.76923076923072</v>
      </c>
      <c r="DP63" s="17">
        <f>DO63*VLOOKUP('Données projet'!$B$14,Paramètres!$A$1:$I$89,3,0)*VLOOKUP('Données projet'!$B$14,Paramètres!$A$1:$I$89,5,0)</f>
        <v>96.569999999999979</v>
      </c>
      <c r="DQ63" s="13">
        <f t="shared" si="43"/>
        <v>26.143194895004324</v>
      </c>
      <c r="DR63" s="20">
        <f t="shared" si="16"/>
        <v>213.72548110879916</v>
      </c>
      <c r="DS63" s="59">
        <f t="shared" si="17"/>
        <v>507.05881444213247</v>
      </c>
      <c r="DT63" s="59">
        <f ca="1">AVERAGE(OFFSET($DS$3,0,0,'Données projet'!$E$14+1,1))-AVERAGE(OFFSET($H$3,0,0,'Données projet'!$E$14+1,1))</f>
        <v>91.053246648097399</v>
      </c>
      <c r="DU63" s="59">
        <f t="shared" si="44"/>
        <v>64.716270355703955</v>
      </c>
      <c r="DV63" s="15">
        <f>IF(ISNA(VLOOKUP(A63,'Données projet'!$A$165:$I$185,3,0)),0,VLOOKUP(A63,'Données projet'!$A$165:$I$185,3,0))</f>
        <v>3</v>
      </c>
      <c r="DW63" s="15">
        <f>IF(ISNA(VLOOKUP(A63,'Données projet'!$A$165:$I$185,4,0)),0,VLOOKUP(A63,'Données projet'!$A$165:$I$185,4,0))</f>
        <v>44.615384615384613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>
        <f>EXP(-LN(2)/35)*EA62+(1-EXP(-LN(2)/35))/(LN(2)/35)*DW63*DX63*VLOOKUP('Données projet'!$B$14,Paramètres!$A$1:$I$89,3,0)*0.475*44/12</f>
        <v>0</v>
      </c>
      <c r="EB63" s="21">
        <f>EXP(-LN(2)/25)*EB62+(1-EXP(-LN(2)/25))/(LN(2)/25)*Calculateur!DW63*Calculateur!DY63*VLOOKUP('Données projet'!$B$14,Paramètres!$A$1:$I$89,3,0)*0.475*44/12</f>
        <v>0</v>
      </c>
      <c r="EC63" s="21">
        <f>EXP(-LN(2)/2)*EC62+(1-EXP(-LN(2)/2))/(LN(2)/2)*DW63*DZ63*VLOOKUP('Données projet'!$B$14,Paramètres!$A$1:$I$89,3,0)*0.475*44/12</f>
        <v>0</v>
      </c>
      <c r="ED63" s="22">
        <f t="shared" si="18"/>
        <v>0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>
        <f>VLOOKUP(A63,'Données projet'!$A$191:$I$211,2,0)</f>
        <v>508</v>
      </c>
      <c r="EH63" s="12">
        <f>VLOOKUP(A63,'Données projet'!$A$191:$I$211,9,0)</f>
        <v>18</v>
      </c>
      <c r="EI63" s="12">
        <f t="array" ref="EI63">INDEX(EH:EH,MIN(IF(ISNUMBER(EH63:EH259),ROW(EH63:EH259),"")))</f>
        <v>18</v>
      </c>
      <c r="EJ63" s="12">
        <f>IF('Données projet'!$A$192&gt;35,EJ62+EI63-ER62,IF(A63&lt;'Données projet'!$A$192,$EG$205^A63,IF(A63='Données projet'!$A$192,'Données projet'!$B$192,EJ62+EI63-ER62)))</f>
        <v>507.99999999999972</v>
      </c>
      <c r="EK63" s="17">
        <f>EJ63*VLOOKUP('Données projet'!$B$15,Paramètres!$A$1:$I$89,3,0)*VLOOKUP('Données projet'!$B$15,Paramètres!$A$1:$I$89,5,0)</f>
        <v>303.78399999999988</v>
      </c>
      <c r="EL63" s="13">
        <f t="shared" si="45"/>
        <v>71.969155598417572</v>
      </c>
      <c r="EM63" s="20">
        <f t="shared" si="19"/>
        <v>654.43674600057705</v>
      </c>
      <c r="EN63" s="59">
        <f t="shared" si="20"/>
        <v>947.77007933391042</v>
      </c>
      <c r="EO63" s="59">
        <f ca="1">AVERAGE(OFFSET($EN$3,0,0,'Données projet'!$E$15+1,1))-AVERAGE(OFFSET($H$3,0,0,'Données projet'!$E$15+1,1))</f>
        <v>316.58509520829671</v>
      </c>
      <c r="EP63" s="59">
        <f t="shared" si="46"/>
        <v>240.71332110643596</v>
      </c>
      <c r="EQ63" s="15">
        <f>IF(ISNA(VLOOKUP(A63,'Données projet'!$A$191:$I$211,3,0)),0,VLOOKUP(A63,'Données projet'!$A$191:$I$211,3,0))</f>
        <v>5</v>
      </c>
      <c r="ER63" s="15">
        <f>IF(ISNA(VLOOKUP(A63,'Données projet'!$A$191:$I$211,4,0)),0,VLOOKUP(A63,'Données projet'!$A$191:$I$211,4,0))</f>
        <v>108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>
        <f>EXP(-LN(2)/35)*EV62+(1-EXP(-LN(2)/35))/(LN(2)/35)*ER63*ES63*VLOOKUP('Données projet'!$B$15,Paramètres!$A$1:$I$89,3,0)*0.475*44/12</f>
        <v>1.3991835557632231</v>
      </c>
      <c r="EW63" s="21">
        <f>EXP(-LN(2)/25)*EW62+(1-EXP(-LN(2)/25))/(LN(2)/25)*Calculateur!ER63*Calculateur!ET63*VLOOKUP('Données projet'!$B$15,Paramètres!$A$1:$I$89,3,0)*0.475*44/12</f>
        <v>6.6457511034891956</v>
      </c>
      <c r="EX63" s="21">
        <f>EXP(-LN(2)/2)*EX62+(1-EXP(-LN(2)/2))/(LN(2)/2)*ER63*EU63*VLOOKUP('Données projet'!$B$15,Paramètres!$A$1:$I$89,3,0)*0.475*44/12</f>
        <v>6.6953561615420033E-4</v>
      </c>
      <c r="EY63" s="22">
        <f t="shared" si="21"/>
        <v>8.0456041948685737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>
        <f>VLOOKUP(A63,'Données projet'!$A$217:$I$237,2,0)</f>
        <v>447</v>
      </c>
      <c r="FC63" s="12">
        <f>VLOOKUP(A63,'Données projet'!$A$217:$I$237,9,0)</f>
        <v>15.6</v>
      </c>
      <c r="FD63" s="12">
        <f t="array" ref="FD63">INDEX(FC:FC,MIN(IF(ISNUMBER(FC63:FC259),ROW(FC63:FC259),"")))</f>
        <v>15.6</v>
      </c>
      <c r="FE63" s="12">
        <f>IF('Données projet'!$A$218&gt;35,FE62+FD63-FM62,IF(A63&lt;'Données projet'!$A$218,$FB$205^A63,IF(A63='Données projet'!$A$218,'Données projet'!$B$218,FE62+FD63-FM62)))</f>
        <v>447.00000000000006</v>
      </c>
      <c r="FF63" s="17">
        <f>FE63*VLOOKUP('Données projet'!$B$16,Paramètres!$A$1:$I$89,3,0)*VLOOKUP('Données projet'!$B$16,Paramètres!$A$1:$I$89,5,0)</f>
        <v>267.30600000000004</v>
      </c>
      <c r="FG63" s="13">
        <f t="shared" si="47"/>
        <v>64.27720124631206</v>
      </c>
      <c r="FH63" s="20">
        <f t="shared" si="22"/>
        <v>577.50740883732692</v>
      </c>
      <c r="FI63" s="59">
        <f t="shared" si="23"/>
        <v>870.84074217066018</v>
      </c>
      <c r="FJ63" s="59">
        <f ca="1">AVERAGE(OFFSET($FI$3,0,0,'Données projet'!$E$16+1,1))-AVERAGE(OFFSET($H$3,0,0,'Données projet'!$E$16+1,1))</f>
        <v>270.30888762640245</v>
      </c>
      <c r="FK63" s="59">
        <f t="shared" si="48"/>
        <v>202.23783851977691</v>
      </c>
      <c r="FL63" s="15">
        <f>IF(ISNA(VLOOKUP(A63,'Données projet'!$A$217:$I$237,3,0)),0,VLOOKUP(A63,'Données projet'!$A$217:$I$237,3,0))</f>
        <v>5</v>
      </c>
      <c r="FM63" s="15">
        <f>IF(ISNA(VLOOKUP(A63,'Données projet'!$A$217:$I$237,4,0)),0,VLOOKUP(A63,'Données projet'!$A$217:$I$237,4,0))</f>
        <v>90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>
        <f>EXP(-LN(2)/35)*FQ62+(1-EXP(-LN(2)/35))/(LN(2)/35)*FM63*FN63*VLOOKUP('Données projet'!$B$16,Paramètres!$A$1:$I$89,3,0)*0.475*44/12</f>
        <v>1.1824086386731465</v>
      </c>
      <c r="FR63" s="21">
        <f>EXP(-LN(2)/25)*FR62+(1-EXP(-LN(2)/25))/(LN(2)/25)*Calculateur!FM63*Calculateur!FO63*VLOOKUP('Données projet'!$B$16,Paramètres!$A$1:$I$89,3,0)*0.475*44/12</f>
        <v>5.3518002000936438</v>
      </c>
      <c r="FS63" s="21">
        <f>EXP(-LN(2)/2)*FS62+(1-EXP(-LN(2)/2))/(LN(2)/2)*FM63*FP63*VLOOKUP('Données projet'!$B$16,Paramètres!$A$1:$I$89,3,0)*0.475*44/12</f>
        <v>5.6434962727241772E-4</v>
      </c>
      <c r="FT63" s="22">
        <f t="shared" si="24"/>
        <v>6.5347731883940634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>
        <f>VLOOKUP(A63,'Données projet'!$A$243:$I$263,2,0)</f>
        <v>310</v>
      </c>
      <c r="FX63" s="12">
        <f>VLOOKUP(A63,'Données projet'!$A$243:$I$263,9,0)</f>
        <v>6.8</v>
      </c>
      <c r="FY63" s="12">
        <f t="array" ref="FY63">INDEX(FX:FX,MIN(IF(ISNUMBER(FX63:FX259),ROW(FX63:FX259),"")))</f>
        <v>6.8</v>
      </c>
      <c r="FZ63" s="12">
        <f>IF('Données projet'!$A$244&gt;35,FZ62+FY63-GH62,IF(A63&lt;'Données projet'!$A$244,$FW$205^A63,IF(A63='Données projet'!$A$244,'Données projet'!$B$244,FZ62+FY63-GH62)))</f>
        <v>309.99999999999994</v>
      </c>
      <c r="GA63" s="17">
        <f>FZ63*VLOOKUP('Données projet'!$B$17,Paramètres!$A$1:$I$89,3,0)*VLOOKUP('Données projet'!$B$17,Paramètres!$A$1:$I$89,5,0)</f>
        <v>246.63599999999997</v>
      </c>
      <c r="GB63" s="13">
        <f t="shared" si="49"/>
        <v>59.865023903294535</v>
      </c>
      <c r="GC63" s="20">
        <f t="shared" si="25"/>
        <v>533.82261663157112</v>
      </c>
      <c r="GD63" s="59">
        <f t="shared" si="26"/>
        <v>827.15594996490449</v>
      </c>
      <c r="GE63" s="59">
        <f ca="1">AVERAGE(OFFSET($GD$3,0,0,'Données projet'!$E$17+1,1))-AVERAGE(OFFSET($H$3,0,0,'Données projet'!$E$17+1,1))</f>
        <v>260.20517190557814</v>
      </c>
      <c r="GF63" s="59">
        <f t="shared" si="50"/>
        <v>307.22009971147133</v>
      </c>
      <c r="GG63" s="15">
        <f>IF(ISNA(VLOOKUP(A63,'Données projet'!$A$243:$I$263,3,0)),0,VLOOKUP(A63,'Données projet'!$A$243:$I$263,3,0))</f>
        <v>5</v>
      </c>
      <c r="GH63" s="15">
        <f>IF(ISNA(VLOOKUP(A63,'Données projet'!$A$243:$I$263,4,0)),0,VLOOKUP(A63,'Données projet'!$A$243:$I$263,4,0))</f>
        <v>30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>
        <f>EXP(-LN(2)/35)*GL62+(1-EXP(-LN(2)/35))/(LN(2)/35)*GH63*GI63*VLOOKUP('Données projet'!$B$17,Paramètres!$A$1:$I$89,3,0)*0.475*44/12</f>
        <v>1.8013167352926416</v>
      </c>
      <c r="GM63" s="21">
        <f>EXP(-LN(2)/25)*GM62+(1-EXP(-LN(2)/25))/(LN(2)/25)*Calculateur!GH63*Calculateur!GJ63*VLOOKUP('Données projet'!$B$17,Paramètres!$A$1:$I$89,3,0)*0.475*44/12</f>
        <v>8.9316758553423554</v>
      </c>
      <c r="GN63" s="21">
        <f>EXP(-LN(2)/2)*GN62+(1-EXP(-LN(2)/2))/(LN(2)/2)*GH63*GK63*VLOOKUP('Données projet'!$B$17,Paramètres!$A$1:$I$89,3,0)*0.475*44/12</f>
        <v>7.3361310585807148E-4</v>
      </c>
      <c r="GO63" s="21">
        <f t="shared" si="27"/>
        <v>10.733726203740854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>
        <f>VLOOKUP(A63,'Données projet'!$A$269:$I$289,2,0)</f>
        <v>258</v>
      </c>
      <c r="GS63" s="12">
        <f>VLOOKUP(A63,'Données projet'!$A$269:$I$289,9,0)</f>
        <v>5.6</v>
      </c>
      <c r="GT63" s="12">
        <f t="array" ref="GT63">INDEX(GS:GS,MIN(IF(ISNUMBER(GS63:GS259),ROW(GS63:GS259),"")))</f>
        <v>5.6</v>
      </c>
      <c r="GU63" s="12">
        <f>IF('Données projet'!$A$270&gt;35,GU62+GT63-HC62,IF(A63&lt;'Données projet'!$A$270,$GR$205^A63,IF(A63='Données projet'!$A$270,'Données projet'!$B$270,GU62+GT63-HC62)))</f>
        <v>257.99999999999972</v>
      </c>
      <c r="GV63" s="17">
        <f>GU63*VLOOKUP('Données projet'!$B$18,Paramètres!$A$1:$I$89,3,0)*VLOOKUP('Données projet'!$B$18,Paramètres!$A$1:$I$89,5,0)</f>
        <v>205.26479999999981</v>
      </c>
      <c r="GW63" s="13">
        <f t="shared" si="51"/>
        <v>50.899455886133694</v>
      </c>
      <c r="GX63" s="20">
        <f t="shared" si="28"/>
        <v>446.15274566834916</v>
      </c>
      <c r="GY63" s="59">
        <f t="shared" si="29"/>
        <v>739.48607900168247</v>
      </c>
      <c r="GZ63" s="59">
        <f ca="1">AVERAGE(OFFSET($GY$3,0,0,'Données projet'!$E$18+1,1))-AVERAGE(OFFSET($H$3,0,0,'Données projet'!$E$18+1,1))</f>
        <v>199.58763537752952</v>
      </c>
      <c r="HA63" s="59">
        <f t="shared" si="52"/>
        <v>242.62852778451929</v>
      </c>
      <c r="HB63" s="15">
        <f>IF(ISNA(VLOOKUP(A63,'Données projet'!$A$269:$I$289,3,0)),0,VLOOKUP(A63,'Données projet'!$A$269:$I$289,3,0))</f>
        <v>5</v>
      </c>
      <c r="HC63" s="15">
        <f>IF(ISNA(VLOOKUP(A63,'Données projet'!$A$269:$I$289,4,0)),0,VLOOKUP(A63,'Données projet'!$A$269:$I$289,4,0))</f>
        <v>25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>
        <f>EXP(-LN(2)/35)*HG62+(1-EXP(-LN(2)/35))/(LN(2)/35)*HC63*HD63*VLOOKUP('Données projet'!$B$18,Paramètres!$A$1:$I$89,3,0)*0.475*44/12</f>
        <v>0</v>
      </c>
      <c r="HH63" s="21">
        <f>EXP(-LN(2)/25)*HH62+(1-EXP(-LN(2)/25))/(LN(2)/25)*Calculateur!HC63*Calculateur!HE63*VLOOKUP('Données projet'!$B$18,Paramètres!$A$1:$I$89,3,0)*0.475*44/12</f>
        <v>4.4759254789036254</v>
      </c>
      <c r="HI63" s="21">
        <f>EXP(-LN(2)/2)*HI62+(1-EXP(-LN(2)/2))/(LN(2)/2)*HC63*HF63*VLOOKUP('Données projet'!$B$18,Paramètres!$A$1:$I$89,3,0)*0.475*44/12</f>
        <v>3.2841669901184753E-4</v>
      </c>
      <c r="HJ63" s="22">
        <f t="shared" si="30"/>
        <v>4.4762538956026372</v>
      </c>
    </row>
    <row r="64" spans="1:218" x14ac:dyDescent="0.2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54.241200000000049</v>
      </c>
      <c r="D64" s="11">
        <f t="shared" si="32"/>
        <v>15.703824194633762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539.92650255506805</v>
      </c>
      <c r="H64" s="67">
        <f t="shared" si="1"/>
        <v>415.15425047232054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-2.2737367544323206E-13</v>
      </c>
      <c r="O64" s="13">
        <f>N64*VLOOKUP('Données projet'!$B$9,Paramètres!$A$1:$I$89,3,0)*VLOOKUP('Données projet'!$B$9,Paramètres!$A$1:$I$89,5,0)</f>
        <v>-1.2710188457276673E-13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255.5374979188561</v>
      </c>
      <c r="T64" s="59">
        <f t="shared" si="34"/>
        <v>343.10418468620901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1.6723903491879981</v>
      </c>
      <c r="AA64" s="21">
        <f>EXP(-LN(2)/25)*AA63+(1-EXP(-LN(2)/25))/(LN(2)/25)*Calculateur!V64*Calculateur!X64*VLOOKUP('Données projet'!$B$9,Paramètres!$A$1:$I$89,3,0)*0.475*44/12</f>
        <v>6.7571373013228326</v>
      </c>
      <c r="AB64" s="21">
        <f>EXP(-LN(2)/2)*AB63+(1-EXP(-LN(2)/2))/(LN(2)/2)*V64*Y64*VLOOKUP('Données projet'!$B$9,Paramètres!$A$1:$I$89,3,0)*0.475*44/12</f>
        <v>3.6526054796492948E-5</v>
      </c>
      <c r="AC64" s="22">
        <f t="shared" si="3"/>
        <v>8.4295641765656271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14.839560439560435</v>
      </c>
      <c r="AI64" s="13">
        <f>IF('Données projet'!$A$62&gt;35,AI63+AH64-AQ63,IF(A64&lt;'Données projet'!$A$62,$AF$205^A64,IF(A64='Données projet'!$A$62,'Données projet'!$B$62,AI63+AH64-AQ63)))</f>
        <v>426.03626373626378</v>
      </c>
      <c r="AJ64" s="13">
        <f>AI64*VLOOKUP('Données projet'!$B$10,Paramètres!$A$1:$I$89,3,0)*VLOOKUP('Données projet'!$B$10,Paramètres!$A$1:$I$89,5,0)</f>
        <v>238.15427142857146</v>
      </c>
      <c r="AK64" s="13">
        <f t="shared" si="35"/>
        <v>58.042234732541061</v>
      </c>
      <c r="AL64" s="20">
        <f t="shared" si="4"/>
        <v>515.87558156393777</v>
      </c>
      <c r="AM64" s="59">
        <f t="shared" si="5"/>
        <v>809.20891489727114</v>
      </c>
      <c r="AN64" s="59">
        <f ca="1">AVERAGE(OFFSET($AM$3,0,0,'Données projet'!$E$10+1,1))-AVERAGE(OFFSET($H$3,0,0,'Données projet'!$E$10+1,1))</f>
        <v>224.7049802939942</v>
      </c>
      <c r="AO64" s="59">
        <f t="shared" si="36"/>
        <v>203.48513862195352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1.2075475669315852</v>
      </c>
      <c r="AV64" s="21">
        <f>EXP(-LN(2)/25)*AV63+(1-EXP(-LN(2)/25))/(LN(2)/25)*Calculateur!AQ64*Calculateur!AS64*VLOOKUP('Données projet'!$B$10,Paramètres!$A$1:$I$89,3,0)*0.475*44/12</f>
        <v>8.26615108415964</v>
      </c>
      <c r="AW64" s="21">
        <f>EXP(-LN(2)/2)*AW63+(1-EXP(-LN(2)/2))/(LN(2)/2)*AQ64*AT64*VLOOKUP('Données projet'!$B$10,Paramètres!$A$1:$I$89,3,0)*0.475*44/12</f>
        <v>1.9336272969799464E-4</v>
      </c>
      <c r="AX64" s="21">
        <f t="shared" si="6"/>
        <v>9.4738920138209242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8.5</v>
      </c>
      <c r="BD64" s="12">
        <f>IF('Données projet'!$A$88&gt;35,BD63+BC64-BL63,IF(A64&lt;'Données projet'!$A$88,$BA$205^A64,IF(A64='Données projet'!$A$88,'Données projet'!$B$88,BD63+BC64-BL63)))</f>
        <v>334.50000000000023</v>
      </c>
      <c r="BE64" s="13">
        <f>BD64*VLOOKUP('Données projet'!$B$11,Paramètres!$A$1:$I$89,3,0)*VLOOKUP('Données projet'!$B$11,Paramètres!$A$1:$I$89,5,0)</f>
        <v>182.63700000000014</v>
      </c>
      <c r="BF64" s="13">
        <f t="shared" si="37"/>
        <v>45.908372564566413</v>
      </c>
      <c r="BG64" s="20">
        <f t="shared" si="7"/>
        <v>398.04985721662001</v>
      </c>
      <c r="BH64" s="59">
        <f t="shared" si="8"/>
        <v>691.38319054995327</v>
      </c>
      <c r="BI64" s="59">
        <f ca="1">AVERAGE(OFFSET($BH$3,0,0,'Données projet'!$E$11+1,1))-AVERAGE(OFFSET($H$3,0,0,'Données projet'!$E$11+1,1))</f>
        <v>210.04871822652808</v>
      </c>
      <c r="BJ64" s="59">
        <f t="shared" si="38"/>
        <v>250.17540614049324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3.9514361041303872</v>
      </c>
      <c r="BQ64" s="21">
        <f>EXP(-LN(2)/25)*BQ63+(1-EXP(-LN(2)/25))/(LN(2)/25)*Calculateur!BL64*Calculateur!BN64*VLOOKUP('Données projet'!$B$11,Paramètres!$A$1:$I$89,3,0)*0.475*44/12</f>
        <v>11.782763133544709</v>
      </c>
      <c r="BR64" s="21">
        <f>EXP(-LN(2)/2)*BR63+(1-EXP(-LN(2)/2))/(LN(2)/2)*BL64*BO64*VLOOKUP('Données projet'!$B$11,Paramètres!$A$1:$I$89,3,0)*0.475*44/12</f>
        <v>4.651153835181189E-4</v>
      </c>
      <c r="BS64" s="22">
        <f t="shared" si="9"/>
        <v>15.734664353058614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7.1</v>
      </c>
      <c r="BY64" s="12">
        <f>IF('Données projet'!$A$114&gt;35,BY63+BX64-CG63,IF(A64&lt;'Données projet'!$A$114,$BV$205^A64,IF(A64='Données projet'!$A$114,'Données projet'!$B$114,BY63+BX64-CG63)))</f>
        <v>290.0999999999998</v>
      </c>
      <c r="BZ64" s="13">
        <f>BY64*VLOOKUP('Données projet'!$B$12,Paramètres!$A$1:$I$89,3,0)*VLOOKUP('Données projet'!$B$12,Paramètres!$A$1:$I$89,5,0)</f>
        <v>158.39459999999988</v>
      </c>
      <c r="CA64" s="13">
        <f t="shared" si="39"/>
        <v>40.480200706834822</v>
      </c>
      <c r="CB64" s="20">
        <f t="shared" si="10"/>
        <v>346.37361123107047</v>
      </c>
      <c r="CC64" s="59">
        <f t="shared" si="11"/>
        <v>639.70694456440378</v>
      </c>
      <c r="CD64" s="59">
        <f ca="1">AVERAGE(OFFSET($CC$3,0,0,'Données projet'!$E$12+1,1))-AVERAGE(OFFSET($H$3,0,0,'Données projet'!$E$12+1,1))</f>
        <v>168.72306536277267</v>
      </c>
      <c r="CE64" s="59">
        <f t="shared" si="40"/>
        <v>203.35476578922339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1.6464317100543282</v>
      </c>
      <c r="CL64" s="21">
        <f>EXP(-LN(2)/25)*CL63+(1-EXP(-LN(2)/25))/(LN(2)/25)*Calculateur!CG64*Calculateur!CI64*VLOOKUP('Données projet'!$B$12,Paramètres!$A$1:$I$89,3,0)*0.475*44/12</f>
        <v>9.7312296244778587</v>
      </c>
      <c r="CM64" s="21">
        <f>EXP(-LN(2)/2)*CM63+(1-EXP(-LN(2)/2))/(LN(2)/2)*CG64*CJ64*VLOOKUP('Données projet'!$B$12,Paramètres!$A$1:$I$89,3,0)*0.475*44/12</f>
        <v>4.3209831945552563E-4</v>
      </c>
      <c r="CN64" s="22">
        <f t="shared" si="12"/>
        <v>11.378093432851642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14</v>
      </c>
      <c r="CT64" s="12">
        <f>IF('Données projet'!$A$140&gt;35,CT63+CS64-DB63,IF(A64&lt;'Données projet'!$A$140,$CQ$205^A64,IF(A64='Données projet'!$A$140,'Données projet'!$B$140,CT63+CS64-DB63)))</f>
        <v>299.38461538461536</v>
      </c>
      <c r="CU64" s="17">
        <f>CT64*VLOOKUP('Données projet'!$B$13,Paramètres!$A$1:$I$89,3,0)*VLOOKUP('Données projet'!$B$13,Paramètres!$A$1:$I$89,5,0)</f>
        <v>144.00399999999999</v>
      </c>
      <c r="CV64" s="13">
        <f t="shared" si="41"/>
        <v>37.21275487922167</v>
      </c>
      <c r="CW64" s="20">
        <f t="shared" si="13"/>
        <v>315.6191814146444</v>
      </c>
      <c r="CX64" s="59">
        <f t="shared" si="14"/>
        <v>608.95251474797772</v>
      </c>
      <c r="CY64" s="59">
        <f ca="1">AVERAGE(OFFSET($CX$3,0,0,'Données projet'!$E$13+1,1))-AVERAGE(OFFSET($H$3,0,0,'Données projet'!$E$13+1,1))</f>
        <v>304.15237106473313</v>
      </c>
      <c r="CZ64" s="59">
        <f t="shared" si="42"/>
        <v>120.85458928724336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>
        <f>EXP(-LN(2)/35)*DF63+(1-EXP(-LN(2)/35))/(LN(2)/35)*DB64*DC64*VLOOKUP('Données projet'!$B$13,Paramètres!$A$1:$I$89,3,0)*0.475*44/12</f>
        <v>0</v>
      </c>
      <c r="DG64" s="21">
        <f>EXP(-LN(2)/25)*DG63+(1-EXP(-LN(2)/25))/(LN(2)/25)*Calculateur!DB64*Calculateur!DD64*VLOOKUP('Données projet'!$B$13,Paramètres!$A$1:$I$89,3,0)*0.475*44/12</f>
        <v>0</v>
      </c>
      <c r="DH64" s="21">
        <f>EXP(-LN(2)/2)*DH63+(1-EXP(-LN(2)/2))/(LN(2)/2)*DB64*DE64*VLOOKUP('Données projet'!$B$13,Paramètres!$A$1:$I$89,3,0)*0.475*44/12</f>
        <v>0</v>
      </c>
      <c r="DI64" s="22">
        <f t="shared" si="15"/>
        <v>0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8.2307692307692299</v>
      </c>
      <c r="DO64" s="12">
        <f>IF('Données projet'!$A$166&gt;35,DO63+DN64-DW63,IF(A64&lt;'Données projet'!$A$166,$DL$205^A64,IF(A64='Données projet'!$A$166,'Données projet'!$B$166,DO63+DN64-DW63)))</f>
        <v>164.38461538461533</v>
      </c>
      <c r="DP64" s="17">
        <f>DO64*VLOOKUP('Données projet'!$B$14,Paramètres!$A$1:$I$89,3,0)*VLOOKUP('Données projet'!$B$14,Paramètres!$A$1:$I$89,5,0)</f>
        <v>79.068999999999974</v>
      </c>
      <c r="DQ64" s="13">
        <f t="shared" si="43"/>
        <v>21.909394939525832</v>
      </c>
      <c r="DR64" s="20">
        <f t="shared" si="16"/>
        <v>175.87070451967409</v>
      </c>
      <c r="DS64" s="59">
        <f t="shared" si="17"/>
        <v>469.20403785300743</v>
      </c>
      <c r="DT64" s="59">
        <f ca="1">AVERAGE(OFFSET($DS$3,0,0,'Données projet'!$E$14+1,1))-AVERAGE(OFFSET($H$3,0,0,'Données projet'!$E$14+1,1))</f>
        <v>91.053246648097399</v>
      </c>
      <c r="DU64" s="59">
        <f t="shared" si="44"/>
        <v>64.716270355703955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>
        <f>EXP(-LN(2)/35)*EA63+(1-EXP(-LN(2)/35))/(LN(2)/35)*DW64*DX64*VLOOKUP('Données projet'!$B$14,Paramètres!$A$1:$I$89,3,0)*0.475*44/12</f>
        <v>0</v>
      </c>
      <c r="EB64" s="21">
        <f>EXP(-LN(2)/25)*EB63+(1-EXP(-LN(2)/25))/(LN(2)/25)*Calculateur!DW64*Calculateur!DY64*VLOOKUP('Données projet'!$B$14,Paramètres!$A$1:$I$89,3,0)*0.475*44/12</f>
        <v>0</v>
      </c>
      <c r="EC64" s="21">
        <f>EXP(-LN(2)/2)*EC63+(1-EXP(-LN(2)/2))/(LN(2)/2)*DW64*DZ64*VLOOKUP('Données projet'!$B$14,Paramètres!$A$1:$I$89,3,0)*0.475*44/12</f>
        <v>0</v>
      </c>
      <c r="ED64" s="22">
        <f t="shared" si="18"/>
        <v>0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16.399999999999999</v>
      </c>
      <c r="EJ64" s="12">
        <f>IF('Données projet'!$A$192&gt;35,EJ63+EI64-ER63,IF(A64&lt;'Données projet'!$A$192,$EG$205^A64,IF(A64='Données projet'!$A$192,'Données projet'!$B$192,EJ63+EI64-ER63)))</f>
        <v>416.39999999999975</v>
      </c>
      <c r="EK64" s="17">
        <f>EJ64*VLOOKUP('Données projet'!$B$15,Paramètres!$A$1:$I$89,3,0)*VLOOKUP('Données projet'!$B$15,Paramètres!$A$1:$I$89,5,0)</f>
        <v>249.00719999999987</v>
      </c>
      <c r="EL64" s="13">
        <f t="shared" si="45"/>
        <v>60.373298466513951</v>
      </c>
      <c r="EM64" s="20">
        <f t="shared" si="19"/>
        <v>538.83770149584484</v>
      </c>
      <c r="EN64" s="59">
        <f t="shared" si="20"/>
        <v>832.1710348291781</v>
      </c>
      <c r="EO64" s="59">
        <f ca="1">AVERAGE(OFFSET($EN$3,0,0,'Données projet'!$E$15+1,1))-AVERAGE(OFFSET($H$3,0,0,'Données projet'!$E$15+1,1))</f>
        <v>316.58509520829671</v>
      </c>
      <c r="EP64" s="59">
        <f t="shared" si="46"/>
        <v>240.71332110643596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>
        <f>EXP(-LN(2)/35)*EV63+(1-EXP(-LN(2)/35))/(LN(2)/35)*ER64*ES64*VLOOKUP('Données projet'!$B$15,Paramètres!$A$1:$I$89,3,0)*0.475*44/12</f>
        <v>1.3717464196524072</v>
      </c>
      <c r="EW64" s="21">
        <f>EXP(-LN(2)/25)*EW63+(1-EXP(-LN(2)/25))/(LN(2)/25)*Calculateur!ER64*Calculateur!ET64*VLOOKUP('Données projet'!$B$15,Paramètres!$A$1:$I$89,3,0)*0.475*44/12</f>
        <v>6.464022690079422</v>
      </c>
      <c r="EX64" s="21">
        <f>EXP(-LN(2)/2)*EX63+(1-EXP(-LN(2)/2))/(LN(2)/2)*ER64*EU64*VLOOKUP('Données projet'!$B$15,Paramètres!$A$1:$I$89,3,0)*0.475*44/12</f>
        <v>4.7343317442854842E-4</v>
      </c>
      <c r="EY64" s="22">
        <f t="shared" si="21"/>
        <v>7.8362425429062572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14.1</v>
      </c>
      <c r="FE64" s="12">
        <f>IF('Données projet'!$A$218&gt;35,FE63+FD64-FM63,IF(A64&lt;'Données projet'!$A$218,$FB$205^A64,IF(A64='Données projet'!$A$218,'Données projet'!$B$218,FE63+FD64-FM63)))</f>
        <v>371.10000000000008</v>
      </c>
      <c r="FF64" s="17">
        <f>FE64*VLOOKUP('Données projet'!$B$16,Paramètres!$A$1:$I$89,3,0)*VLOOKUP('Données projet'!$B$16,Paramètres!$A$1:$I$89,5,0)</f>
        <v>221.91780000000006</v>
      </c>
      <c r="FG64" s="13">
        <f t="shared" si="47"/>
        <v>54.531499284124365</v>
      </c>
      <c r="FH64" s="20">
        <f t="shared" si="22"/>
        <v>481.4825295865167</v>
      </c>
      <c r="FI64" s="59">
        <f t="shared" si="23"/>
        <v>774.81586291985002</v>
      </c>
      <c r="FJ64" s="59">
        <f ca="1">AVERAGE(OFFSET($FI$3,0,0,'Données projet'!$E$16+1,1))-AVERAGE(OFFSET($H$3,0,0,'Données projet'!$E$16+1,1))</f>
        <v>270.30888762640245</v>
      </c>
      <c r="FK64" s="59">
        <f t="shared" si="48"/>
        <v>202.23783851977691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>
        <f>EXP(-LN(2)/35)*FQ63+(1-EXP(-LN(2)/35))/(LN(2)/35)*FM64*FN64*VLOOKUP('Données projet'!$B$16,Paramètres!$A$1:$I$89,3,0)*0.475*44/12</f>
        <v>1.1592223264668233</v>
      </c>
      <c r="FR64" s="21">
        <f>EXP(-LN(2)/25)*FR63+(1-EXP(-LN(2)/25))/(LN(2)/25)*Calculateur!FM64*Calculateur!FO64*VLOOKUP('Données projet'!$B$16,Paramètres!$A$1:$I$89,3,0)*0.475*44/12</f>
        <v>5.2054549421831426</v>
      </c>
      <c r="FS64" s="21">
        <f>EXP(-LN(2)/2)*FS63+(1-EXP(-LN(2)/2))/(LN(2)/2)*FM64*FP64*VLOOKUP('Données projet'!$B$16,Paramètres!$A$1:$I$89,3,0)*0.475*44/12</f>
        <v>3.9905544840442714E-4</v>
      </c>
      <c r="FT64" s="22">
        <f t="shared" si="24"/>
        <v>6.3650763240983705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4.9000000000000004</v>
      </c>
      <c r="FZ64" s="12">
        <f>IF('Données projet'!$A$244&gt;35,FZ63+FY64-GH63,IF(A64&lt;'Données projet'!$A$244,$FW$205^A64,IF(A64='Données projet'!$A$244,'Données projet'!$B$244,FZ63+FY64-GH63)))</f>
        <v>284.89999999999992</v>
      </c>
      <c r="GA64" s="17">
        <f>FZ64*VLOOKUP('Données projet'!$B$17,Paramètres!$A$1:$I$89,3,0)*VLOOKUP('Données projet'!$B$17,Paramètres!$A$1:$I$89,5,0)</f>
        <v>226.66643999999994</v>
      </c>
      <c r="GB64" s="13">
        <f t="shared" si="49"/>
        <v>55.561276600641385</v>
      </c>
      <c r="GC64" s="20">
        <f t="shared" si="25"/>
        <v>491.5466064127836</v>
      </c>
      <c r="GD64" s="59">
        <f t="shared" si="26"/>
        <v>784.87993974611686</v>
      </c>
      <c r="GE64" s="59">
        <f ca="1">AVERAGE(OFFSET($GD$3,0,0,'Données projet'!$E$17+1,1))-AVERAGE(OFFSET($H$3,0,0,'Données projet'!$E$17+1,1))</f>
        <v>260.20517190557814</v>
      </c>
      <c r="GF64" s="59">
        <f t="shared" si="50"/>
        <v>307.22009971147133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>
        <f>EXP(-LN(2)/35)*GL63+(1-EXP(-LN(2)/35))/(LN(2)/35)*GH64*GI64*VLOOKUP('Données projet'!$B$17,Paramètres!$A$1:$I$89,3,0)*0.475*44/12</f>
        <v>1.7659940128082743</v>
      </c>
      <c r="GM64" s="21">
        <f>EXP(-LN(2)/25)*GM63+(1-EXP(-LN(2)/25))/(LN(2)/25)*Calculateur!GH64*Calculateur!GJ64*VLOOKUP('Données projet'!$B$17,Paramètres!$A$1:$I$89,3,0)*0.475*44/12</f>
        <v>8.687438709381599</v>
      </c>
      <c r="GN64" s="21">
        <f>EXP(-LN(2)/2)*GN63+(1-EXP(-LN(2)/2))/(LN(2)/2)*GH64*GK64*VLOOKUP('Données projet'!$B$17,Paramètres!$A$1:$I$89,3,0)*0.475*44/12</f>
        <v>5.1874280191956687E-4</v>
      </c>
      <c r="GO64" s="21">
        <f t="shared" si="27"/>
        <v>10.453951464991793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4.0999999999999996</v>
      </c>
      <c r="GU64" s="12">
        <f>IF('Données projet'!$A$270&gt;35,GU63+GT64-HC63,IF(A64&lt;'Données projet'!$A$270,$GR$205^A64,IF(A64='Données projet'!$A$270,'Données projet'!$B$270,GU63+GT64-HC63)))</f>
        <v>237.09999999999974</v>
      </c>
      <c r="GV64" s="17">
        <f>GU64*VLOOKUP('Données projet'!$B$18,Paramètres!$A$1:$I$89,3,0)*VLOOKUP('Données projet'!$B$18,Paramètres!$A$1:$I$89,5,0)</f>
        <v>188.63675999999978</v>
      </c>
      <c r="GW64" s="13">
        <f t="shared" si="51"/>
        <v>47.238433649202641</v>
      </c>
      <c r="GX64" s="20">
        <f t="shared" si="28"/>
        <v>410.81596227236088</v>
      </c>
      <c r="GY64" s="59">
        <f t="shared" si="29"/>
        <v>704.14929560569419</v>
      </c>
      <c r="GZ64" s="59">
        <f ca="1">AVERAGE(OFFSET($GY$3,0,0,'Données projet'!$E$18+1,1))-AVERAGE(OFFSET($H$3,0,0,'Données projet'!$E$18+1,1))</f>
        <v>199.58763537752952</v>
      </c>
      <c r="HA64" s="59">
        <f t="shared" si="52"/>
        <v>242.62852778451929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>
        <f>EXP(-LN(2)/35)*HG63+(1-EXP(-LN(2)/35))/(LN(2)/35)*HC64*HD64*VLOOKUP('Données projet'!$B$18,Paramètres!$A$1:$I$89,3,0)*0.475*44/12</f>
        <v>0</v>
      </c>
      <c r="HH64" s="21">
        <f>EXP(-LN(2)/25)*HH63+(1-EXP(-LN(2)/25))/(LN(2)/25)*Calculateur!HC64*Calculateur!HE64*VLOOKUP('Données projet'!$B$18,Paramètres!$A$1:$I$89,3,0)*0.475*44/12</f>
        <v>4.3535310613043148</v>
      </c>
      <c r="HI64" s="21">
        <f>EXP(-LN(2)/2)*HI63+(1-EXP(-LN(2)/2))/(LN(2)/2)*HC64*HF64*VLOOKUP('Données projet'!$B$18,Paramètres!$A$1:$I$89,3,0)*0.475*44/12</f>
        <v>2.3222567492617871E-4</v>
      </c>
      <c r="HJ64" s="22">
        <f t="shared" si="30"/>
        <v>4.3537632869792411</v>
      </c>
    </row>
    <row r="65" spans="1:218" x14ac:dyDescent="0.2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55.130400000000051</v>
      </c>
      <c r="D65" s="11">
        <f t="shared" si="32"/>
        <v>15.931082230000042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548.54477510877268</v>
      </c>
      <c r="H65" s="67">
        <f t="shared" si="1"/>
        <v>417.09874821725015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-2.2737367544323206E-13</v>
      </c>
      <c r="O65" s="13">
        <f>N65*VLOOKUP('Données projet'!$B$9,Paramètres!$A$1:$I$89,3,0)*VLOOKUP('Données projet'!$B$9,Paramètres!$A$1:$I$89,5,0)</f>
        <v>-1.2710188457276673E-13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255.5374979188561</v>
      </c>
      <c r="T65" s="59">
        <f t="shared" si="34"/>
        <v>343.10418468620901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1.6395957944978121</v>
      </c>
      <c r="AA65" s="21">
        <f>EXP(-LN(2)/25)*AA64+(1-EXP(-LN(2)/25))/(LN(2)/25)*Calculateur!V65*Calculateur!X65*VLOOKUP('Données projet'!$B$9,Paramètres!$A$1:$I$89,3,0)*0.475*44/12</f>
        <v>6.5723630264757524</v>
      </c>
      <c r="AB65" s="21">
        <f>EXP(-LN(2)/2)*AB64+(1-EXP(-LN(2)/2))/(LN(2)/2)*V65*Y65*VLOOKUP('Données projet'!$B$9,Paramètres!$A$1:$I$89,3,0)*0.475*44/12</f>
        <v>2.5827821036591584E-5</v>
      </c>
      <c r="AC65" s="22">
        <f t="shared" si="3"/>
        <v>8.2119846487946013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14.839560439560435</v>
      </c>
      <c r="AI65" s="13">
        <f>IF('Données projet'!$A$62&gt;35,AI64+AH65-AQ64,IF(A65&lt;'Données projet'!$A$62,$AF$205^A65,IF(A65='Données projet'!$A$62,'Données projet'!$B$62,AI64+AH65-AQ64)))</f>
        <v>440.87582417582422</v>
      </c>
      <c r="AJ65" s="13">
        <f>AI65*VLOOKUP('Données projet'!$B$10,Paramètres!$A$1:$I$89,3,0)*VLOOKUP('Données projet'!$B$10,Paramètres!$A$1:$I$89,5,0)</f>
        <v>246.44958571428575</v>
      </c>
      <c r="AK65" s="13">
        <f t="shared" si="35"/>
        <v>59.825041333918982</v>
      </c>
      <c r="AL65" s="20">
        <f t="shared" si="4"/>
        <v>533.42830877562324</v>
      </c>
      <c r="AM65" s="59">
        <f t="shared" si="5"/>
        <v>826.76164210895649</v>
      </c>
      <c r="AN65" s="59">
        <f ca="1">AVERAGE(OFFSET($AM$3,0,0,'Données projet'!$E$10+1,1))-AVERAGE(OFFSET($H$3,0,0,'Données projet'!$E$10+1,1))</f>
        <v>224.7049802939942</v>
      </c>
      <c r="AO65" s="59">
        <f t="shared" si="36"/>
        <v>203.48513862195352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1.1838682956753461</v>
      </c>
      <c r="AV65" s="21">
        <f>EXP(-LN(2)/25)*AV64+(1-EXP(-LN(2)/25))/(LN(2)/25)*Calculateur!AQ65*Calculateur!AS65*VLOOKUP('Données projet'!$B$10,Paramètres!$A$1:$I$89,3,0)*0.475*44/12</f>
        <v>8.040112748065301</v>
      </c>
      <c r="AW65" s="21">
        <f>EXP(-LN(2)/2)*AW64+(1-EXP(-LN(2)/2))/(LN(2)/2)*AQ65*AT65*VLOOKUP('Données projet'!$B$10,Paramètres!$A$1:$I$89,3,0)*0.475*44/12</f>
        <v>1.3672809739819343E-4</v>
      </c>
      <c r="AX65" s="21">
        <f t="shared" si="6"/>
        <v>9.2241177718380456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8.5</v>
      </c>
      <c r="BD65" s="12">
        <f>IF('Données projet'!$A$88&gt;35,BD64+BC65-BL64,IF(A65&lt;'Données projet'!$A$88,$BA$205^A65,IF(A65='Données projet'!$A$88,'Données projet'!$B$88,BD64+BC65-BL64)))</f>
        <v>343.00000000000023</v>
      </c>
      <c r="BE65" s="13">
        <f>BD65*VLOOKUP('Données projet'!$B$11,Paramètres!$A$1:$I$89,3,0)*VLOOKUP('Données projet'!$B$11,Paramètres!$A$1:$I$89,5,0)</f>
        <v>187.27800000000013</v>
      </c>
      <c r="BF65" s="13">
        <f t="shared" si="37"/>
        <v>46.937652831145158</v>
      </c>
      <c r="BG65" s="20">
        <f t="shared" si="7"/>
        <v>407.92559534757805</v>
      </c>
      <c r="BH65" s="59">
        <f t="shared" si="8"/>
        <v>701.25892868091137</v>
      </c>
      <c r="BI65" s="59">
        <f ca="1">AVERAGE(OFFSET($BH$3,0,0,'Données projet'!$E$11+1,1))-AVERAGE(OFFSET($H$3,0,0,'Données projet'!$E$11+1,1))</f>
        <v>210.04871822652808</v>
      </c>
      <c r="BJ65" s="59">
        <f t="shared" si="38"/>
        <v>250.17540614049324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3.8739508522664323</v>
      </c>
      <c r="BQ65" s="21">
        <f>EXP(-LN(2)/25)*BQ64+(1-EXP(-LN(2)/25))/(LN(2)/25)*Calculateur!BL65*Calculateur!BN65*VLOOKUP('Données projet'!$B$11,Paramètres!$A$1:$I$89,3,0)*0.475*44/12</f>
        <v>11.460562856029345</v>
      </c>
      <c r="BR65" s="21">
        <f>EXP(-LN(2)/2)*BR64+(1-EXP(-LN(2)/2))/(LN(2)/2)*BL65*BO65*VLOOKUP('Données projet'!$B$11,Paramètres!$A$1:$I$89,3,0)*0.475*44/12</f>
        <v>3.2888624171984365E-4</v>
      </c>
      <c r="BS65" s="22">
        <f t="shared" si="9"/>
        <v>15.334842594537497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7.1</v>
      </c>
      <c r="BY65" s="12">
        <f>IF('Données projet'!$A$114&gt;35,BY64+BX65-CG64,IF(A65&lt;'Données projet'!$A$114,$BV$205^A65,IF(A65='Données projet'!$A$114,'Données projet'!$B$114,BY64+BX65-CG64)))</f>
        <v>297.19999999999982</v>
      </c>
      <c r="BZ65" s="13">
        <f>BY65*VLOOKUP('Données projet'!$B$12,Paramètres!$A$1:$I$89,3,0)*VLOOKUP('Données projet'!$B$12,Paramètres!$A$1:$I$89,5,0)</f>
        <v>162.27119999999988</v>
      </c>
      <c r="CA65" s="13">
        <f t="shared" si="39"/>
        <v>41.354369909446504</v>
      </c>
      <c r="CB65" s="20">
        <f t="shared" si="10"/>
        <v>354.64786759228576</v>
      </c>
      <c r="CC65" s="59">
        <f t="shared" si="11"/>
        <v>647.98120092561908</v>
      </c>
      <c r="CD65" s="59">
        <f ca="1">AVERAGE(OFFSET($CC$3,0,0,'Données projet'!$E$12+1,1))-AVERAGE(OFFSET($H$3,0,0,'Données projet'!$E$12+1,1))</f>
        <v>168.72306536277267</v>
      </c>
      <c r="CE65" s="59">
        <f t="shared" si="40"/>
        <v>203.35476578922339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1.6141461884443471</v>
      </c>
      <c r="CL65" s="21">
        <f>EXP(-LN(2)/25)*CL64+(1-EXP(-LN(2)/25))/(LN(2)/25)*Calculateur!CG65*Calculateur!CI65*VLOOKUP('Données projet'!$B$12,Paramètres!$A$1:$I$89,3,0)*0.475*44/12</f>
        <v>9.4651286386533862</v>
      </c>
      <c r="CM65" s="21">
        <f>EXP(-LN(2)/2)*CM64+(1-EXP(-LN(2)/2))/(LN(2)/2)*CG65*CJ65*VLOOKUP('Données projet'!$B$12,Paramètres!$A$1:$I$89,3,0)*0.475*44/12</f>
        <v>3.0553965182631326E-4</v>
      </c>
      <c r="CN65" s="22">
        <f t="shared" si="12"/>
        <v>11.07958036674956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14</v>
      </c>
      <c r="CT65" s="12">
        <f>IF('Données projet'!$A$140&gt;35,CT64+CS65-DB64,IF(A65&lt;'Données projet'!$A$140,$CQ$205^A65,IF(A65='Données projet'!$A$140,'Données projet'!$B$140,CT64+CS65-DB64)))</f>
        <v>313.38461538461536</v>
      </c>
      <c r="CU65" s="17">
        <f>CT65*VLOOKUP('Données projet'!$B$13,Paramètres!$A$1:$I$89,3,0)*VLOOKUP('Données projet'!$B$13,Paramètres!$A$1:$I$89,5,0)</f>
        <v>150.738</v>
      </c>
      <c r="CV65" s="13">
        <f t="shared" si="41"/>
        <v>38.746250833110665</v>
      </c>
      <c r="CW65" s="20">
        <f t="shared" si="13"/>
        <v>330.01840353433437</v>
      </c>
      <c r="CX65" s="59">
        <f t="shared" si="14"/>
        <v>623.35173686766768</v>
      </c>
      <c r="CY65" s="59">
        <f ca="1">AVERAGE(OFFSET($CX$3,0,0,'Données projet'!$E$13+1,1))-AVERAGE(OFFSET($H$3,0,0,'Données projet'!$E$13+1,1))</f>
        <v>304.15237106473313</v>
      </c>
      <c r="CZ65" s="59">
        <f t="shared" si="42"/>
        <v>120.85458928724336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>
        <f>EXP(-LN(2)/35)*DF64+(1-EXP(-LN(2)/35))/(LN(2)/35)*DB65*DC65*VLOOKUP('Données projet'!$B$13,Paramètres!$A$1:$I$89,3,0)*0.475*44/12</f>
        <v>0</v>
      </c>
      <c r="DG65" s="21">
        <f>EXP(-LN(2)/25)*DG64+(1-EXP(-LN(2)/25))/(LN(2)/25)*Calculateur!DB65*Calculateur!DD65*VLOOKUP('Données projet'!$B$13,Paramètres!$A$1:$I$89,3,0)*0.475*44/12</f>
        <v>0</v>
      </c>
      <c r="DH65" s="21">
        <f>EXP(-LN(2)/2)*DH64+(1-EXP(-LN(2)/2))/(LN(2)/2)*DB65*DE65*VLOOKUP('Données projet'!$B$13,Paramètres!$A$1:$I$89,3,0)*0.475*44/12</f>
        <v>0</v>
      </c>
      <c r="DI65" s="22">
        <f t="shared" si="15"/>
        <v>0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8.2307692307692299</v>
      </c>
      <c r="DO65" s="12">
        <f>IF('Données projet'!$A$166&gt;35,DO64+DN65-DW64,IF(A65&lt;'Données projet'!$A$166,$DL$205^A65,IF(A65='Données projet'!$A$166,'Données projet'!$B$166,DO64+DN65-DW64)))</f>
        <v>172.61538461538456</v>
      </c>
      <c r="DP65" s="17">
        <f>DO65*VLOOKUP('Données projet'!$B$14,Paramètres!$A$1:$I$89,3,0)*VLOOKUP('Données projet'!$B$14,Paramètres!$A$1:$I$89,5,0)</f>
        <v>83.027999999999977</v>
      </c>
      <c r="DQ65" s="13">
        <f t="shared" si="43"/>
        <v>22.875937472111318</v>
      </c>
      <c r="DR65" s="20">
        <f t="shared" si="16"/>
        <v>184.44935776392717</v>
      </c>
      <c r="DS65" s="59">
        <f t="shared" si="17"/>
        <v>477.78269109726045</v>
      </c>
      <c r="DT65" s="59">
        <f ca="1">AVERAGE(OFFSET($DS$3,0,0,'Données projet'!$E$14+1,1))-AVERAGE(OFFSET($H$3,0,0,'Données projet'!$E$14+1,1))</f>
        <v>91.053246648097399</v>
      </c>
      <c r="DU65" s="59">
        <f t="shared" si="44"/>
        <v>64.716270355703955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>
        <f>EXP(-LN(2)/35)*EA64+(1-EXP(-LN(2)/35))/(LN(2)/35)*DW65*DX65*VLOOKUP('Données projet'!$B$14,Paramètres!$A$1:$I$89,3,0)*0.475*44/12</f>
        <v>0</v>
      </c>
      <c r="EB65" s="21">
        <f>EXP(-LN(2)/25)*EB64+(1-EXP(-LN(2)/25))/(LN(2)/25)*Calculateur!DW65*Calculateur!DY65*VLOOKUP('Données projet'!$B$14,Paramètres!$A$1:$I$89,3,0)*0.475*44/12</f>
        <v>0</v>
      </c>
      <c r="EC65" s="21">
        <f>EXP(-LN(2)/2)*EC64+(1-EXP(-LN(2)/2))/(LN(2)/2)*DW65*DZ65*VLOOKUP('Données projet'!$B$14,Paramètres!$A$1:$I$89,3,0)*0.475*44/12</f>
        <v>0</v>
      </c>
      <c r="ED65" s="22">
        <f t="shared" si="18"/>
        <v>0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16.399999999999999</v>
      </c>
      <c r="EJ65" s="12">
        <f>IF('Données projet'!$A$192&gt;35,EJ64+EI65-ER64,IF(A65&lt;'Données projet'!$A$192,$EG$205^A65,IF(A65='Données projet'!$A$192,'Données projet'!$B$192,EJ64+EI65-ER64)))</f>
        <v>432.79999999999973</v>
      </c>
      <c r="EK65" s="17">
        <f>EJ65*VLOOKUP('Données projet'!$B$15,Paramètres!$A$1:$I$89,3,0)*VLOOKUP('Données projet'!$B$15,Paramètres!$A$1:$I$89,5,0)</f>
        <v>258.81439999999986</v>
      </c>
      <c r="EL65" s="13">
        <f t="shared" si="45"/>
        <v>62.469588762855253</v>
      </c>
      <c r="EM65" s="20">
        <f t="shared" si="19"/>
        <v>559.56961376197262</v>
      </c>
      <c r="EN65" s="59">
        <f t="shared" si="20"/>
        <v>852.90294709530599</v>
      </c>
      <c r="EO65" s="59">
        <f ca="1">AVERAGE(OFFSET($EN$3,0,0,'Données projet'!$E$15+1,1))-AVERAGE(OFFSET($H$3,0,0,'Données projet'!$E$15+1,1))</f>
        <v>316.58509520829671</v>
      </c>
      <c r="EP65" s="59">
        <f t="shared" si="46"/>
        <v>240.71332110643596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>
        <f>EXP(-LN(2)/35)*EV64+(1-EXP(-LN(2)/35))/(LN(2)/35)*ER65*ES65*VLOOKUP('Données projet'!$B$15,Paramètres!$A$1:$I$89,3,0)*0.475*44/12</f>
        <v>1.3448473090457238</v>
      </c>
      <c r="EW65" s="21">
        <f>EXP(-LN(2)/25)*EW64+(1-EXP(-LN(2)/25))/(LN(2)/25)*Calculateur!ER65*Calculateur!ET65*VLOOKUP('Données projet'!$B$15,Paramètres!$A$1:$I$89,3,0)*0.475*44/12</f>
        <v>6.2872636496910204</v>
      </c>
      <c r="EX65" s="21">
        <f>EXP(-LN(2)/2)*EX64+(1-EXP(-LN(2)/2))/(LN(2)/2)*ER65*EU65*VLOOKUP('Données projet'!$B$15,Paramètres!$A$1:$I$89,3,0)*0.475*44/12</f>
        <v>3.3476780807710022E-4</v>
      </c>
      <c r="EY65" s="22">
        <f t="shared" si="21"/>
        <v>7.6324457265448213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14.1</v>
      </c>
      <c r="FE65" s="12">
        <f>IF('Données projet'!$A$218&gt;35,FE64+FD65-FM64,IF(A65&lt;'Données projet'!$A$218,$FB$205^A65,IF(A65='Données projet'!$A$218,'Données projet'!$B$218,FE64+FD65-FM64)))</f>
        <v>385.2000000000001</v>
      </c>
      <c r="FF65" s="17">
        <f>FE65*VLOOKUP('Données projet'!$B$16,Paramètres!$A$1:$I$89,3,0)*VLOOKUP('Données projet'!$B$16,Paramètres!$A$1:$I$89,5,0)</f>
        <v>230.34960000000009</v>
      </c>
      <c r="FG65" s="13">
        <f t="shared" si="47"/>
        <v>56.35826654142631</v>
      </c>
      <c r="FH65" s="20">
        <f t="shared" si="22"/>
        <v>499.34953422631764</v>
      </c>
      <c r="FI65" s="59">
        <f t="shared" si="23"/>
        <v>792.68286755965096</v>
      </c>
      <c r="FJ65" s="59">
        <f ca="1">AVERAGE(OFFSET($FI$3,0,0,'Données projet'!$E$16+1,1))-AVERAGE(OFFSET($H$3,0,0,'Données projet'!$E$16+1,1))</f>
        <v>270.30888762640245</v>
      </c>
      <c r="FK65" s="59">
        <f t="shared" si="48"/>
        <v>202.23783851977691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>
        <f>EXP(-LN(2)/35)*FQ64+(1-EXP(-LN(2)/35))/(LN(2)/35)*FM65*FN65*VLOOKUP('Données projet'!$B$16,Paramètres!$A$1:$I$89,3,0)*0.475*44/12</f>
        <v>1.1364906837006121</v>
      </c>
      <c r="FR65" s="21">
        <f>EXP(-LN(2)/25)*FR64+(1-EXP(-LN(2)/25))/(LN(2)/25)*Calculateur!FM65*Calculateur!FO65*VLOOKUP('Données projet'!$B$16,Paramètres!$A$1:$I$89,3,0)*0.475*44/12</f>
        <v>5.0631115030461666</v>
      </c>
      <c r="FS65" s="21">
        <f>EXP(-LN(2)/2)*FS64+(1-EXP(-LN(2)/2))/(LN(2)/2)*FM65*FP65*VLOOKUP('Données projet'!$B$16,Paramètres!$A$1:$I$89,3,0)*0.475*44/12</f>
        <v>2.8217481363620886E-4</v>
      </c>
      <c r="FT65" s="22">
        <f t="shared" si="24"/>
        <v>6.1998843615604144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4.9000000000000004</v>
      </c>
      <c r="FZ65" s="12">
        <f>IF('Données projet'!$A$244&gt;35,FZ64+FY65-GH64,IF(A65&lt;'Données projet'!$A$244,$FW$205^A65,IF(A65='Données projet'!$A$244,'Données projet'!$B$244,FZ64+FY65-GH64)))</f>
        <v>289.7999999999999</v>
      </c>
      <c r="GA65" s="17">
        <f>FZ65*VLOOKUP('Données projet'!$B$17,Paramètres!$A$1:$I$89,3,0)*VLOOKUP('Données projet'!$B$17,Paramètres!$A$1:$I$89,5,0)</f>
        <v>230.56487999999993</v>
      </c>
      <c r="GB65" s="13">
        <f t="shared" si="49"/>
        <v>56.404804351341944</v>
      </c>
      <c r="GC65" s="20">
        <f t="shared" si="25"/>
        <v>499.80553357858707</v>
      </c>
      <c r="GD65" s="59">
        <f t="shared" si="26"/>
        <v>793.13886691192033</v>
      </c>
      <c r="GE65" s="59">
        <f ca="1">AVERAGE(OFFSET($GD$3,0,0,'Données projet'!$E$17+1,1))-AVERAGE(OFFSET($H$3,0,0,'Données projet'!$E$17+1,1))</f>
        <v>260.20517190557814</v>
      </c>
      <c r="GF65" s="59">
        <f t="shared" si="50"/>
        <v>307.22009971147133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>
        <f>EXP(-LN(2)/35)*GL64+(1-EXP(-LN(2)/35))/(LN(2)/35)*GH65*GI65*VLOOKUP('Données projet'!$B$17,Paramètres!$A$1:$I$89,3,0)*0.475*44/12</f>
        <v>1.7313639473670921</v>
      </c>
      <c r="GM65" s="21">
        <f>EXP(-LN(2)/25)*GM64+(1-EXP(-LN(2)/25))/(LN(2)/25)*Calculateur!GH65*Calculateur!GJ65*VLOOKUP('Données projet'!$B$17,Paramètres!$A$1:$I$89,3,0)*0.475*44/12</f>
        <v>8.4498802410210132</v>
      </c>
      <c r="GN65" s="21">
        <f>EXP(-LN(2)/2)*GN64+(1-EXP(-LN(2)/2))/(LN(2)/2)*GH65*GK65*VLOOKUP('Données projet'!$B$17,Paramètres!$A$1:$I$89,3,0)*0.475*44/12</f>
        <v>3.6680655292903574E-4</v>
      </c>
      <c r="GO65" s="21">
        <f t="shared" si="27"/>
        <v>10.181610994941034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4.0999999999999996</v>
      </c>
      <c r="GU65" s="12">
        <f>IF('Données projet'!$A$270&gt;35,GU64+GT65-HC64,IF(A65&lt;'Données projet'!$A$270,$GR$205^A65,IF(A65='Données projet'!$A$270,'Données projet'!$B$270,GU64+GT65-HC64)))</f>
        <v>241.19999999999973</v>
      </c>
      <c r="GV65" s="17">
        <f>GU65*VLOOKUP('Données projet'!$B$18,Paramètres!$A$1:$I$89,3,0)*VLOOKUP('Données projet'!$B$18,Paramètres!$A$1:$I$89,5,0)</f>
        <v>191.8987199999998</v>
      </c>
      <c r="GW65" s="13">
        <f t="shared" si="51"/>
        <v>47.959489640575512</v>
      </c>
      <c r="GX65" s="20">
        <f t="shared" si="28"/>
        <v>417.7530484573353</v>
      </c>
      <c r="GY65" s="59">
        <f t="shared" si="29"/>
        <v>711.08638179066861</v>
      </c>
      <c r="GZ65" s="59">
        <f ca="1">AVERAGE(OFFSET($GY$3,0,0,'Données projet'!$E$18+1,1))-AVERAGE(OFFSET($H$3,0,0,'Données projet'!$E$18+1,1))</f>
        <v>199.58763537752952</v>
      </c>
      <c r="HA65" s="59">
        <f t="shared" si="52"/>
        <v>242.62852778451929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>
        <f>EXP(-LN(2)/35)*HG64+(1-EXP(-LN(2)/35))/(LN(2)/35)*HC65*HD65*VLOOKUP('Données projet'!$B$18,Paramètres!$A$1:$I$89,3,0)*0.475*44/12</f>
        <v>0</v>
      </c>
      <c r="HH65" s="21">
        <f>EXP(-LN(2)/25)*HH64+(1-EXP(-LN(2)/25))/(LN(2)/25)*Calculateur!HC65*Calculateur!HE65*VLOOKUP('Données projet'!$B$18,Paramètres!$A$1:$I$89,3,0)*0.475*44/12</f>
        <v>4.2344835254906998</v>
      </c>
      <c r="HI65" s="21">
        <f>EXP(-LN(2)/2)*HI64+(1-EXP(-LN(2)/2))/(LN(2)/2)*HC65*HF65*VLOOKUP('Données projet'!$B$18,Paramètres!$A$1:$I$89,3,0)*0.475*44/12</f>
        <v>1.6420834950592377E-4</v>
      </c>
      <c r="HJ65" s="22">
        <f t="shared" si="30"/>
        <v>4.2346477338402062</v>
      </c>
    </row>
    <row r="66" spans="1:218" x14ac:dyDescent="0.2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56.019600000000054</v>
      </c>
      <c r="D66" s="11">
        <f t="shared" si="32"/>
        <v>16.157913987449295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557.15975709610018</v>
      </c>
      <c r="H66" s="67">
        <f t="shared" si="1"/>
        <v>419.04250352814091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-2.2737367544323206E-13</v>
      </c>
      <c r="O66" s="13">
        <f>N66*VLOOKUP('Données projet'!$B$9,Paramètres!$A$1:$I$89,3,0)*VLOOKUP('Données projet'!$B$9,Paramètres!$A$1:$I$89,5,0)</f>
        <v>-1.2710188457276673E-13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255.5374979188561</v>
      </c>
      <c r="T66" s="59">
        <f t="shared" si="34"/>
        <v>343.10418468620901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1.6074443210223974</v>
      </c>
      <c r="AA66" s="21">
        <f>EXP(-LN(2)/25)*AA65+(1-EXP(-LN(2)/25))/(LN(2)/25)*Calculateur!V66*Calculateur!X66*VLOOKUP('Données projet'!$B$9,Paramètres!$A$1:$I$89,3,0)*0.475*44/12</f>
        <v>6.3926414138912229</v>
      </c>
      <c r="AB66" s="21">
        <f>EXP(-LN(2)/2)*AB65+(1-EXP(-LN(2)/2))/(LN(2)/2)*V66*Y66*VLOOKUP('Données projet'!$B$9,Paramètres!$A$1:$I$89,3,0)*0.475*44/12</f>
        <v>1.8263027398246474E-5</v>
      </c>
      <c r="AC66" s="22">
        <f t="shared" si="3"/>
        <v>8.000103997941018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>
        <f>VLOOKUP(A66,'Données projet'!$A$61:$I$81,2,0)</f>
        <v>455.71538461538455</v>
      </c>
      <c r="AG66" s="12">
        <f>VLOOKUP(A66,'Données projet'!$A$61:$I$81,9,0)</f>
        <v>14.839560439560435</v>
      </c>
      <c r="AH66" s="12">
        <f t="array" ref="AH66">INDEX(AG:AG,MIN(IF(ISNUMBER(AG66:AG262),ROW(AG66:AG262),"")))</f>
        <v>14.839560439560435</v>
      </c>
      <c r="AI66" s="13">
        <f>IF('Données projet'!$A$62&gt;35,AI65+AH66-AQ65,IF(A66&lt;'Données projet'!$A$62,$AF$205^A66,IF(A66='Données projet'!$A$62,'Données projet'!$B$62,AI65+AH66-AQ65)))</f>
        <v>455.71538461538466</v>
      </c>
      <c r="AJ66" s="13">
        <f>AI66*VLOOKUP('Données projet'!$B$10,Paramètres!$A$1:$I$89,3,0)*VLOOKUP('Données projet'!$B$10,Paramètres!$A$1:$I$89,5,0)</f>
        <v>254.74490000000003</v>
      </c>
      <c r="AK66" s="13">
        <f t="shared" si="35"/>
        <v>61.600875281297732</v>
      </c>
      <c r="AL66" s="20">
        <f t="shared" si="4"/>
        <v>550.96889194826019</v>
      </c>
      <c r="AM66" s="59">
        <f t="shared" si="5"/>
        <v>844.30222528159356</v>
      </c>
      <c r="AN66" s="59">
        <f ca="1">AVERAGE(OFFSET($AM$3,0,0,'Données projet'!$E$10+1,1))-AVERAGE(OFFSET($H$3,0,0,'Données projet'!$E$10+1,1))</f>
        <v>224.7049802939942</v>
      </c>
      <c r="AO66" s="59">
        <f t="shared" si="36"/>
        <v>203.48513862195352</v>
      </c>
      <c r="AP66" s="15">
        <f>IF(ISNA(VLOOKUP(A66,'Données projet'!$A$61:$I$81,3,0)),0,VLOOKUP(A66,'Données projet'!$A$61:$I$81,3,0))</f>
        <v>7</v>
      </c>
      <c r="AQ66" s="15">
        <f>IF(ISNA(VLOOKUP(A66,'Données projet'!$A$61:$I$81,4,0)),0,VLOOKUP(A66,'Données projet'!$A$61:$I$81,4,0))</f>
        <v>79.723076923076917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1.1606533604855127</v>
      </c>
      <c r="AV66" s="21">
        <f>EXP(-LN(2)/25)*AV65+(1-EXP(-LN(2)/25))/(LN(2)/25)*Calculateur!AQ66*Calculateur!AS66*VLOOKUP('Données projet'!$B$10,Paramètres!$A$1:$I$89,3,0)*0.475*44/12</f>
        <v>7.8202554421583015</v>
      </c>
      <c r="AW66" s="21">
        <f>EXP(-LN(2)/2)*AW65+(1-EXP(-LN(2)/2))/(LN(2)/2)*AQ66*AT66*VLOOKUP('Données projet'!$B$10,Paramètres!$A$1:$I$89,3,0)*0.475*44/12</f>
        <v>9.6681364848997319E-5</v>
      </c>
      <c r="AX66" s="21">
        <f t="shared" si="6"/>
        <v>8.9810054840086622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8.5</v>
      </c>
      <c r="BD66" s="12">
        <f>IF('Données projet'!$A$88&gt;35,BD65+BC66-BL65,IF(A66&lt;'Données projet'!$A$88,$BA$205^A66,IF(A66='Données projet'!$A$88,'Données projet'!$B$88,BD65+BC66-BL65)))</f>
        <v>351.50000000000023</v>
      </c>
      <c r="BE66" s="13">
        <f>BD66*VLOOKUP('Données projet'!$B$11,Paramètres!$A$1:$I$89,3,0)*VLOOKUP('Données projet'!$B$11,Paramètres!$A$1:$I$89,5,0)</f>
        <v>191.91900000000012</v>
      </c>
      <c r="BF66" s="13">
        <f t="shared" si="37"/>
        <v>47.963968046563231</v>
      </c>
      <c r="BG66" s="20">
        <f t="shared" si="7"/>
        <v>417.79616934776453</v>
      </c>
      <c r="BH66" s="59">
        <f t="shared" si="8"/>
        <v>711.12950268109785</v>
      </c>
      <c r="BI66" s="59">
        <f ca="1">AVERAGE(OFFSET($BH$3,0,0,'Données projet'!$E$11+1,1))-AVERAGE(OFFSET($H$3,0,0,'Données projet'!$E$11+1,1))</f>
        <v>210.04871822652808</v>
      </c>
      <c r="BJ66" s="59">
        <f t="shared" si="38"/>
        <v>250.17540614049324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3.7979850389301926</v>
      </c>
      <c r="BQ66" s="21">
        <f>EXP(-LN(2)/25)*BQ65+(1-EXP(-LN(2)/25))/(LN(2)/25)*Calculateur!BL66*Calculateur!BN66*VLOOKUP('Données projet'!$B$11,Paramètres!$A$1:$I$89,3,0)*0.475*44/12</f>
        <v>11.147173162046416</v>
      </c>
      <c r="BR66" s="21">
        <f>EXP(-LN(2)/2)*BR65+(1-EXP(-LN(2)/2))/(LN(2)/2)*BL66*BO66*VLOOKUP('Données projet'!$B$11,Paramètres!$A$1:$I$89,3,0)*0.475*44/12</f>
        <v>2.3255769175905947E-4</v>
      </c>
      <c r="BS66" s="22">
        <f t="shared" si="9"/>
        <v>14.945390758668369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7.1</v>
      </c>
      <c r="BY66" s="12">
        <f>IF('Données projet'!$A$114&gt;35,BY65+BX66-CG65,IF(A66&lt;'Données projet'!$A$114,$BV$205^A66,IF(A66='Données projet'!$A$114,'Données projet'!$B$114,BY65+BX66-CG65)))</f>
        <v>304.29999999999984</v>
      </c>
      <c r="BZ66" s="13">
        <f>BY66*VLOOKUP('Données projet'!$B$12,Paramètres!$A$1:$I$89,3,0)*VLOOKUP('Données projet'!$B$12,Paramètres!$A$1:$I$89,5,0)</f>
        <v>166.1477999999999</v>
      </c>
      <c r="CA66" s="13">
        <f t="shared" si="39"/>
        <v>42.226111395422294</v>
      </c>
      <c r="CB66" s="20">
        <f t="shared" si="10"/>
        <v>362.91789568036029</v>
      </c>
      <c r="CC66" s="59">
        <f t="shared" si="11"/>
        <v>656.25122901369355</v>
      </c>
      <c r="CD66" s="59">
        <f ca="1">AVERAGE(OFFSET($CC$3,0,0,'Données projet'!$E$12+1,1))-AVERAGE(OFFSET($H$3,0,0,'Données projet'!$E$12+1,1))</f>
        <v>168.72306536277267</v>
      </c>
      <c r="CE66" s="59">
        <f t="shared" si="40"/>
        <v>203.35476578922339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1.582493766220914</v>
      </c>
      <c r="CL66" s="21">
        <f>EXP(-LN(2)/25)*CL65+(1-EXP(-LN(2)/25))/(LN(2)/25)*Calculateur!CG66*Calculateur!CI66*VLOOKUP('Données projet'!$B$12,Paramètres!$A$1:$I$89,3,0)*0.475*44/12</f>
        <v>9.206304198279927</v>
      </c>
      <c r="CM66" s="21">
        <f>EXP(-LN(2)/2)*CM65+(1-EXP(-LN(2)/2))/(LN(2)/2)*CG66*CJ66*VLOOKUP('Données projet'!$B$12,Paramètres!$A$1:$I$89,3,0)*0.475*44/12</f>
        <v>2.1604915972776281E-4</v>
      </c>
      <c r="CN66" s="22">
        <f t="shared" si="12"/>
        <v>10.789014013660568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14</v>
      </c>
      <c r="CT66" s="12">
        <f>IF('Données projet'!$A$140&gt;35,CT65+CS66-DB65,IF(A66&lt;'Données projet'!$A$140,$CQ$205^A66,IF(A66='Données projet'!$A$140,'Données projet'!$B$140,CT65+CS66-DB65)))</f>
        <v>327.38461538461536</v>
      </c>
      <c r="CU66" s="17">
        <f>CT66*VLOOKUP('Données projet'!$B$13,Paramètres!$A$1:$I$89,3,0)*VLOOKUP('Données projet'!$B$13,Paramètres!$A$1:$I$89,5,0)</f>
        <v>157.47199999999998</v>
      </c>
      <c r="CV66" s="13">
        <f t="shared" si="41"/>
        <v>40.271790510491527</v>
      </c>
      <c r="CW66" s="20">
        <f t="shared" si="13"/>
        <v>344.40376847243942</v>
      </c>
      <c r="CX66" s="59">
        <f t="shared" si="14"/>
        <v>637.73710180577268</v>
      </c>
      <c r="CY66" s="59">
        <f ca="1">AVERAGE(OFFSET($CX$3,0,0,'Données projet'!$E$13+1,1))-AVERAGE(OFFSET($H$3,0,0,'Données projet'!$E$13+1,1))</f>
        <v>304.15237106473313</v>
      </c>
      <c r="CZ66" s="59">
        <f t="shared" si="42"/>
        <v>120.85458928724336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>
        <f>EXP(-LN(2)/35)*DF65+(1-EXP(-LN(2)/35))/(LN(2)/35)*DB66*DC66*VLOOKUP('Données projet'!$B$13,Paramètres!$A$1:$I$89,3,0)*0.475*44/12</f>
        <v>0</v>
      </c>
      <c r="DG66" s="21">
        <f>EXP(-LN(2)/25)*DG65+(1-EXP(-LN(2)/25))/(LN(2)/25)*Calculateur!DB66*Calculateur!DD66*VLOOKUP('Données projet'!$B$13,Paramètres!$A$1:$I$89,3,0)*0.475*44/12</f>
        <v>0</v>
      </c>
      <c r="DH66" s="21">
        <f>EXP(-LN(2)/2)*DH65+(1-EXP(-LN(2)/2))/(LN(2)/2)*DB66*DE66*VLOOKUP('Données projet'!$B$13,Paramètres!$A$1:$I$89,3,0)*0.475*44/12</f>
        <v>0</v>
      </c>
      <c r="DI66" s="22">
        <f t="shared" si="15"/>
        <v>0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8.2307692307692299</v>
      </c>
      <c r="DO66" s="12">
        <f>IF('Données projet'!$A$166&gt;35,DO65+DN66-DW65,IF(A66&lt;'Données projet'!$A$166,$DL$205^A66,IF(A66='Données projet'!$A$166,'Données projet'!$B$166,DO65+DN66-DW65)))</f>
        <v>180.84615384615378</v>
      </c>
      <c r="DP66" s="17">
        <f>DO66*VLOOKUP('Données projet'!$B$14,Paramètres!$A$1:$I$89,3,0)*VLOOKUP('Données projet'!$B$14,Paramètres!$A$1:$I$89,5,0)</f>
        <v>86.986999999999981</v>
      </c>
      <c r="DQ66" s="13">
        <f t="shared" si="43"/>
        <v>23.837128153806777</v>
      </c>
      <c r="DR66" s="20">
        <f t="shared" si="16"/>
        <v>193.01868986788008</v>
      </c>
      <c r="DS66" s="59">
        <f t="shared" si="17"/>
        <v>486.3520232012134</v>
      </c>
      <c r="DT66" s="59">
        <f ca="1">AVERAGE(OFFSET($DS$3,0,0,'Données projet'!$E$14+1,1))-AVERAGE(OFFSET($H$3,0,0,'Données projet'!$E$14+1,1))</f>
        <v>91.053246648097399</v>
      </c>
      <c r="DU66" s="59">
        <f t="shared" si="44"/>
        <v>64.716270355703955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>
        <f>EXP(-LN(2)/35)*EA65+(1-EXP(-LN(2)/35))/(LN(2)/35)*DW66*DX66*VLOOKUP('Données projet'!$B$14,Paramètres!$A$1:$I$89,3,0)*0.475*44/12</f>
        <v>0</v>
      </c>
      <c r="EB66" s="21">
        <f>EXP(-LN(2)/25)*EB65+(1-EXP(-LN(2)/25))/(LN(2)/25)*Calculateur!DW66*Calculateur!DY66*VLOOKUP('Données projet'!$B$14,Paramètres!$A$1:$I$89,3,0)*0.475*44/12</f>
        <v>0</v>
      </c>
      <c r="EC66" s="21">
        <f>EXP(-LN(2)/2)*EC65+(1-EXP(-LN(2)/2))/(LN(2)/2)*DW66*DZ66*VLOOKUP('Données projet'!$B$14,Paramètres!$A$1:$I$89,3,0)*0.475*44/12</f>
        <v>0</v>
      </c>
      <c r="ED66" s="22">
        <f t="shared" si="18"/>
        <v>0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16.399999999999999</v>
      </c>
      <c r="EJ66" s="12">
        <f>IF('Données projet'!$A$192&gt;35,EJ65+EI66-ER65,IF(A66&lt;'Données projet'!$A$192,$EG$205^A66,IF(A66='Données projet'!$A$192,'Données projet'!$B$192,EJ65+EI66-ER65)))</f>
        <v>449.1999999999997</v>
      </c>
      <c r="EK66" s="17">
        <f>EJ66*VLOOKUP('Données projet'!$B$15,Paramètres!$A$1:$I$89,3,0)*VLOOKUP('Données projet'!$B$15,Paramètres!$A$1:$I$89,5,0)</f>
        <v>268.62159999999983</v>
      </c>
      <c r="EL66" s="13">
        <f t="shared" si="45"/>
        <v>64.556650936372577</v>
      </c>
      <c r="EM66" s="20">
        <f t="shared" si="19"/>
        <v>580.28545371418193</v>
      </c>
      <c r="EN66" s="59">
        <f t="shared" si="20"/>
        <v>873.6187870475153</v>
      </c>
      <c r="EO66" s="59">
        <f ca="1">AVERAGE(OFFSET($EN$3,0,0,'Données projet'!$E$15+1,1))-AVERAGE(OFFSET($H$3,0,0,'Données projet'!$E$15+1,1))</f>
        <v>316.58509520829671</v>
      </c>
      <c r="EP66" s="59">
        <f t="shared" si="46"/>
        <v>240.71332110643596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>
        <f>EXP(-LN(2)/35)*EV65+(1-EXP(-LN(2)/35))/(LN(2)/35)*ER66*ES66*VLOOKUP('Données projet'!$B$15,Paramètres!$A$1:$I$89,3,0)*0.475*44/12</f>
        <v>1.3184756735912002</v>
      </c>
      <c r="EW66" s="21">
        <f>EXP(-LN(2)/25)*EW65+(1-EXP(-LN(2)/25))/(LN(2)/25)*Calculateur!ER66*Calculateur!ET66*VLOOKUP('Données projet'!$B$15,Paramètres!$A$1:$I$89,3,0)*0.475*44/12</f>
        <v>6.1153380945573934</v>
      </c>
      <c r="EX66" s="21">
        <f>EXP(-LN(2)/2)*EX65+(1-EXP(-LN(2)/2))/(LN(2)/2)*ER66*EU66*VLOOKUP('Données projet'!$B$15,Paramètres!$A$1:$I$89,3,0)*0.475*44/12</f>
        <v>2.3671658721427426E-4</v>
      </c>
      <c r="EY66" s="22">
        <f t="shared" si="21"/>
        <v>7.434050484735808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14.1</v>
      </c>
      <c r="FE66" s="12">
        <f>IF('Données projet'!$A$218&gt;35,FE65+FD66-FM65,IF(A66&lt;'Données projet'!$A$218,$FB$205^A66,IF(A66='Données projet'!$A$218,'Données projet'!$B$218,FE65+FD66-FM65)))</f>
        <v>399.30000000000013</v>
      </c>
      <c r="FF66" s="17">
        <f>FE66*VLOOKUP('Données projet'!$B$16,Paramètres!$A$1:$I$89,3,0)*VLOOKUP('Données projet'!$B$16,Paramètres!$A$1:$I$89,5,0)</f>
        <v>238.78140000000008</v>
      </c>
      <c r="FG66" s="13">
        <f t="shared" si="47"/>
        <v>58.177265129918027</v>
      </c>
      <c r="FH66" s="20">
        <f t="shared" si="22"/>
        <v>517.20300843460734</v>
      </c>
      <c r="FI66" s="59">
        <f t="shared" si="23"/>
        <v>810.53634176794071</v>
      </c>
      <c r="FJ66" s="59">
        <f ca="1">AVERAGE(OFFSET($FI$3,0,0,'Données projet'!$E$16+1,1))-AVERAGE(OFFSET($H$3,0,0,'Données projet'!$E$16+1,1))</f>
        <v>270.30888762640245</v>
      </c>
      <c r="FK66" s="59">
        <f t="shared" si="48"/>
        <v>202.23783851977691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>
        <f>EXP(-LN(2)/35)*FQ65+(1-EXP(-LN(2)/35))/(LN(2)/35)*FM66*FN66*VLOOKUP('Données projet'!$B$16,Paramètres!$A$1:$I$89,3,0)*0.475*44/12</f>
        <v>1.1142047945841134</v>
      </c>
      <c r="FR66" s="21">
        <f>EXP(-LN(2)/25)*FR65+(1-EXP(-LN(2)/25))/(LN(2)/25)*Calculateur!FM66*Calculateur!FO66*VLOOKUP('Données projet'!$B$16,Paramètres!$A$1:$I$89,3,0)*0.475*44/12</f>
        <v>4.924660452737907</v>
      </c>
      <c r="FS66" s="21">
        <f>EXP(-LN(2)/2)*FS65+(1-EXP(-LN(2)/2))/(LN(2)/2)*FM66*FP66*VLOOKUP('Données projet'!$B$16,Paramètres!$A$1:$I$89,3,0)*0.475*44/12</f>
        <v>1.9952772420221357E-4</v>
      </c>
      <c r="FT66" s="22">
        <f t="shared" si="24"/>
        <v>6.0390647750462225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4.9000000000000004</v>
      </c>
      <c r="FZ66" s="12">
        <f>IF('Données projet'!$A$244&gt;35,FZ65+FY66-GH65,IF(A66&lt;'Données projet'!$A$244,$FW$205^A66,IF(A66='Données projet'!$A$244,'Données projet'!$B$244,FZ65+FY66-GH65)))</f>
        <v>294.69999999999987</v>
      </c>
      <c r="GA66" s="17">
        <f>FZ66*VLOOKUP('Données projet'!$B$17,Paramètres!$A$1:$I$89,3,0)*VLOOKUP('Données projet'!$B$17,Paramètres!$A$1:$I$89,5,0)</f>
        <v>234.46331999999992</v>
      </c>
      <c r="GB66" s="13">
        <f t="shared" si="49"/>
        <v>57.24667349069928</v>
      </c>
      <c r="GC66" s="20">
        <f t="shared" si="25"/>
        <v>508.06157199630115</v>
      </c>
      <c r="GD66" s="59">
        <f t="shared" si="26"/>
        <v>801.39490532963441</v>
      </c>
      <c r="GE66" s="59">
        <f ca="1">AVERAGE(OFFSET($GD$3,0,0,'Données projet'!$E$17+1,1))-AVERAGE(OFFSET($H$3,0,0,'Données projet'!$E$17+1,1))</f>
        <v>260.20517190557814</v>
      </c>
      <c r="GF66" s="59">
        <f t="shared" si="50"/>
        <v>307.22009971147133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>
        <f>EXP(-LN(2)/35)*GL65+(1-EXP(-LN(2)/35))/(LN(2)/35)*GH66*GI66*VLOOKUP('Données projet'!$B$17,Paramètres!$A$1:$I$89,3,0)*0.475*44/12</f>
        <v>1.6974129563869573</v>
      </c>
      <c r="GM66" s="21">
        <f>EXP(-LN(2)/25)*GM65+(1-EXP(-LN(2)/25))/(LN(2)/25)*Calculateur!GH66*Calculateur!GJ66*VLOOKUP('Données projet'!$B$17,Paramètres!$A$1:$I$89,3,0)*0.475*44/12</f>
        <v>8.2188178214704042</v>
      </c>
      <c r="GN66" s="21">
        <f>EXP(-LN(2)/2)*GN65+(1-EXP(-LN(2)/2))/(LN(2)/2)*GH66*GK66*VLOOKUP('Données projet'!$B$17,Paramètres!$A$1:$I$89,3,0)*0.475*44/12</f>
        <v>2.5937140095978344E-4</v>
      </c>
      <c r="GO66" s="21">
        <f t="shared" si="27"/>
        <v>9.9164901492583208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4.0999999999999996</v>
      </c>
      <c r="GU66" s="12">
        <f>IF('Données projet'!$A$270&gt;35,GU65+GT66-HC65,IF(A66&lt;'Données projet'!$A$270,$GR$205^A66,IF(A66='Données projet'!$A$270,'Données projet'!$B$270,GU65+GT66-HC65)))</f>
        <v>245.29999999999973</v>
      </c>
      <c r="GV66" s="17">
        <f>GU66*VLOOKUP('Données projet'!$B$18,Paramètres!$A$1:$I$89,3,0)*VLOOKUP('Données projet'!$B$18,Paramètres!$A$1:$I$89,5,0)</f>
        <v>195.16067999999979</v>
      </c>
      <c r="GW66" s="13">
        <f t="shared" si="51"/>
        <v>48.679120283467881</v>
      </c>
      <c r="GX66" s="20">
        <f t="shared" si="28"/>
        <v>424.68765216037281</v>
      </c>
      <c r="GY66" s="59">
        <f t="shared" si="29"/>
        <v>718.02098549370612</v>
      </c>
      <c r="GZ66" s="59">
        <f ca="1">AVERAGE(OFFSET($GY$3,0,0,'Données projet'!$E$18+1,1))-AVERAGE(OFFSET($H$3,0,0,'Données projet'!$E$18+1,1))</f>
        <v>199.58763537752952</v>
      </c>
      <c r="HA66" s="59">
        <f t="shared" si="52"/>
        <v>242.62852778451929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>
        <f>EXP(-LN(2)/35)*HG65+(1-EXP(-LN(2)/35))/(LN(2)/35)*HC66*HD66*VLOOKUP('Données projet'!$B$18,Paramètres!$A$1:$I$89,3,0)*0.475*44/12</f>
        <v>0</v>
      </c>
      <c r="HH66" s="21">
        <f>EXP(-LN(2)/25)*HH65+(1-EXP(-LN(2)/25))/(LN(2)/25)*Calculateur!HC66*Calculateur!HE66*VLOOKUP('Données projet'!$B$18,Paramètres!$A$1:$I$89,3,0)*0.475*44/12</f>
        <v>4.1186913508043457</v>
      </c>
      <c r="HI66" s="21">
        <f>EXP(-LN(2)/2)*HI65+(1-EXP(-LN(2)/2))/(LN(2)/2)*HC66*HF66*VLOOKUP('Données projet'!$B$18,Paramètres!$A$1:$I$89,3,0)*0.475*44/12</f>
        <v>1.1611283746308936E-4</v>
      </c>
      <c r="HJ66" s="22">
        <f t="shared" si="30"/>
        <v>4.1188074636418088</v>
      </c>
    </row>
    <row r="67" spans="1:218" x14ac:dyDescent="0.2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56.908800000000056</v>
      </c>
      <c r="D67" s="11">
        <f t="shared" si="32"/>
        <v>16.384327014561212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565.77150677906945</v>
      </c>
      <c r="H67" s="67">
        <f t="shared" si="1"/>
        <v>420.98552955036087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-2.2737367544323206E-13</v>
      </c>
      <c r="O67" s="13">
        <f>N67*VLOOKUP('Données projet'!$B$9,Paramètres!$A$1:$I$89,3,0)*VLOOKUP('Données projet'!$B$9,Paramètres!$A$1:$I$89,5,0)</f>
        <v>-1.2710188457276673E-13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255.5374979188561</v>
      </c>
      <c r="T67" s="59">
        <f t="shared" si="34"/>
        <v>343.10418468620901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1.5759233183313732</v>
      </c>
      <c r="AA67" s="21">
        <f>EXP(-LN(2)/25)*AA66+(1-EXP(-LN(2)/25))/(LN(2)/25)*Calculateur!V67*Calculateur!X67*VLOOKUP('Données projet'!$B$9,Paramètres!$A$1:$I$89,3,0)*0.475*44/12</f>
        <v>6.2178342982539663</v>
      </c>
      <c r="AB67" s="21">
        <f>EXP(-LN(2)/2)*AB66+(1-EXP(-LN(2)/2))/(LN(2)/2)*V67*Y67*VLOOKUP('Données projet'!$B$9,Paramètres!$A$1:$I$89,3,0)*0.475*44/12</f>
        <v>1.2913910518295792E-5</v>
      </c>
      <c r="AC67" s="22">
        <f t="shared" si="3"/>
        <v>7.7937705304958582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13.296703296703299</v>
      </c>
      <c r="AI67" s="13">
        <f>IF('Données projet'!$A$62&gt;35,AI66+AH67-AQ66,IF(A67&lt;'Données projet'!$A$62,$AF$205^A67,IF(A67='Données projet'!$A$62,'Données projet'!$B$62,AI66+AH67-AQ66)))</f>
        <v>389.28901098901105</v>
      </c>
      <c r="AJ67" s="13">
        <f>AI67*VLOOKUP('Données projet'!$B$10,Paramètres!$A$1:$I$89,3,0)*VLOOKUP('Données projet'!$B$10,Paramètres!$A$1:$I$89,5,0)</f>
        <v>217.61255714285718</v>
      </c>
      <c r="AK67" s="13">
        <f t="shared" si="35"/>
        <v>53.595657750447323</v>
      </c>
      <c r="AL67" s="20">
        <f t="shared" si="4"/>
        <v>472.35430760583859</v>
      </c>
      <c r="AM67" s="59">
        <f t="shared" si="5"/>
        <v>765.68764093917184</v>
      </c>
      <c r="AN67" s="59">
        <f ca="1">AVERAGE(OFFSET($AM$3,0,0,'Données projet'!$E$10+1,1))-AVERAGE(OFFSET($H$3,0,0,'Données projet'!$E$10+1,1))</f>
        <v>224.7049802939942</v>
      </c>
      <c r="AO67" s="59">
        <f t="shared" si="36"/>
        <v>203.48513862195352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1.1378936560150394</v>
      </c>
      <c r="AV67" s="21">
        <f>EXP(-LN(2)/25)*AV66+(1-EXP(-LN(2)/25))/(LN(2)/25)*Calculateur!AQ67*Calculateur!AS67*VLOOKUP('Données projet'!$B$10,Paramètres!$A$1:$I$89,3,0)*0.475*44/12</f>
        <v>7.6064101458431228</v>
      </c>
      <c r="AW67" s="21">
        <f>EXP(-LN(2)/2)*AW66+(1-EXP(-LN(2)/2))/(LN(2)/2)*AQ67*AT67*VLOOKUP('Données projet'!$B$10,Paramètres!$A$1:$I$89,3,0)*0.475*44/12</f>
        <v>6.8364048699096715E-5</v>
      </c>
      <c r="AX67" s="21">
        <f t="shared" si="6"/>
        <v>8.7443721659068618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8.5</v>
      </c>
      <c r="BD67" s="12">
        <f>IF('Données projet'!$A$88&gt;35,BD66+BC67-BL66,IF(A67&lt;'Données projet'!$A$88,$BA$205^A67,IF(A67='Données projet'!$A$88,'Données projet'!$B$88,BD66+BC67-BL66)))</f>
        <v>360.00000000000023</v>
      </c>
      <c r="BE67" s="13">
        <f>BD67*VLOOKUP('Données projet'!$B$11,Paramètres!$A$1:$I$89,3,0)*VLOOKUP('Données projet'!$B$11,Paramètres!$A$1:$I$89,5,0)</f>
        <v>196.56000000000014</v>
      </c>
      <c r="BF67" s="13">
        <f t="shared" si="37"/>
        <v>48.987398161128134</v>
      </c>
      <c r="BG67" s="20">
        <f t="shared" si="7"/>
        <v>427.66171846396509</v>
      </c>
      <c r="BH67" s="59">
        <f t="shared" si="8"/>
        <v>720.9950517972984</v>
      </c>
      <c r="BI67" s="59">
        <f ca="1">AVERAGE(OFFSET($BH$3,0,0,'Données projet'!$E$11+1,1))-AVERAGE(OFFSET($H$3,0,0,'Données projet'!$E$11+1,1))</f>
        <v>210.04871822652808</v>
      </c>
      <c r="BJ67" s="59">
        <f t="shared" si="38"/>
        <v>250.17540614049324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3.7235088688589055</v>
      </c>
      <c r="BQ67" s="21">
        <f>EXP(-LN(2)/25)*BQ66+(1-EXP(-LN(2)/25))/(LN(2)/25)*Calculateur!BL67*Calculateur!BN67*VLOOKUP('Données projet'!$B$11,Paramètres!$A$1:$I$89,3,0)*0.475*44/12</f>
        <v>10.842353125725896</v>
      </c>
      <c r="BR67" s="21">
        <f>EXP(-LN(2)/2)*BR66+(1-EXP(-LN(2)/2))/(LN(2)/2)*BL67*BO67*VLOOKUP('Données projet'!$B$11,Paramètres!$A$1:$I$89,3,0)*0.475*44/12</f>
        <v>1.6444312085992185E-4</v>
      </c>
      <c r="BS67" s="22">
        <f t="shared" si="9"/>
        <v>14.566026437705663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7.1</v>
      </c>
      <c r="BY67" s="12">
        <f>IF('Données projet'!$A$114&gt;35,BY66+BX67-CG66,IF(A67&lt;'Données projet'!$A$114,$BV$205^A67,IF(A67='Données projet'!$A$114,'Données projet'!$B$114,BY66+BX67-CG66)))</f>
        <v>311.39999999999986</v>
      </c>
      <c r="BZ67" s="13">
        <f>BY67*VLOOKUP('Données projet'!$B$12,Paramètres!$A$1:$I$89,3,0)*VLOOKUP('Données projet'!$B$12,Paramètres!$A$1:$I$89,5,0)</f>
        <v>170.0243999999999</v>
      </c>
      <c r="CA67" s="13">
        <f t="shared" si="39"/>
        <v>43.095488327983141</v>
      </c>
      <c r="CB67" s="20">
        <f t="shared" si="10"/>
        <v>371.18380550457044</v>
      </c>
      <c r="CC67" s="59">
        <f t="shared" si="11"/>
        <v>664.51713883790376</v>
      </c>
      <c r="CD67" s="59">
        <f ca="1">AVERAGE(OFFSET($CC$3,0,0,'Données projet'!$E$12+1,1))-AVERAGE(OFFSET($H$3,0,0,'Données projet'!$E$12+1,1))</f>
        <v>168.72306536277267</v>
      </c>
      <c r="CE67" s="59">
        <f t="shared" si="40"/>
        <v>203.35476578922339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1.5514620286912111</v>
      </c>
      <c r="CL67" s="21">
        <f>EXP(-LN(2)/25)*CL66+(1-EXP(-LN(2)/25))/(LN(2)/25)*Calculateur!CG67*Calculateur!CI67*VLOOKUP('Données projet'!$B$12,Paramètres!$A$1:$I$89,3,0)*0.475*44/12</f>
        <v>8.9545573258394651</v>
      </c>
      <c r="CM67" s="21">
        <f>EXP(-LN(2)/2)*CM66+(1-EXP(-LN(2)/2))/(LN(2)/2)*CG67*CJ67*VLOOKUP('Données projet'!$B$12,Paramètres!$A$1:$I$89,3,0)*0.475*44/12</f>
        <v>1.5276982591315663E-4</v>
      </c>
      <c r="CN67" s="22">
        <f t="shared" si="12"/>
        <v>10.506172124356588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14</v>
      </c>
      <c r="CT67" s="12">
        <f>IF('Données projet'!$A$140&gt;35,CT66+CS67-DB66,IF(A67&lt;'Données projet'!$A$140,$CQ$205^A67,IF(A67='Données projet'!$A$140,'Données projet'!$B$140,CT66+CS67-DB66)))</f>
        <v>341.38461538461536</v>
      </c>
      <c r="CU67" s="17">
        <f>CT67*VLOOKUP('Données projet'!$B$13,Paramètres!$A$1:$I$89,3,0)*VLOOKUP('Données projet'!$B$13,Paramètres!$A$1:$I$89,5,0)</f>
        <v>164.20599999999999</v>
      </c>
      <c r="CV67" s="13">
        <f t="shared" si="41"/>
        <v>41.789753042306963</v>
      </c>
      <c r="CW67" s="20">
        <f t="shared" si="13"/>
        <v>358.77593654868457</v>
      </c>
      <c r="CX67" s="59">
        <f t="shared" si="14"/>
        <v>652.10926988201788</v>
      </c>
      <c r="CY67" s="59">
        <f ca="1">AVERAGE(OFFSET($CX$3,0,0,'Données projet'!$E$13+1,1))-AVERAGE(OFFSET($H$3,0,0,'Données projet'!$E$13+1,1))</f>
        <v>304.15237106473313</v>
      </c>
      <c r="CZ67" s="59">
        <f t="shared" si="42"/>
        <v>120.85458928724336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>
        <f>EXP(-LN(2)/35)*DF66+(1-EXP(-LN(2)/35))/(LN(2)/35)*DB67*DC67*VLOOKUP('Données projet'!$B$13,Paramètres!$A$1:$I$89,3,0)*0.475*44/12</f>
        <v>0</v>
      </c>
      <c r="DG67" s="21">
        <f>EXP(-LN(2)/25)*DG66+(1-EXP(-LN(2)/25))/(LN(2)/25)*Calculateur!DB67*Calculateur!DD67*VLOOKUP('Données projet'!$B$13,Paramètres!$A$1:$I$89,3,0)*0.475*44/12</f>
        <v>0</v>
      </c>
      <c r="DH67" s="21">
        <f>EXP(-LN(2)/2)*DH66+(1-EXP(-LN(2)/2))/(LN(2)/2)*DB67*DE67*VLOOKUP('Données projet'!$B$13,Paramètres!$A$1:$I$89,3,0)*0.475*44/12</f>
        <v>0</v>
      </c>
      <c r="DI67" s="22">
        <f t="shared" si="15"/>
        <v>0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8.2307692307692299</v>
      </c>
      <c r="DO67" s="12">
        <f>IF('Données projet'!$A$166&gt;35,DO66+DN67-DW66,IF(A67&lt;'Données projet'!$A$166,$DL$205^A67,IF(A67='Données projet'!$A$166,'Données projet'!$B$166,DO66+DN67-DW66)))</f>
        <v>189.07692307692301</v>
      </c>
      <c r="DP67" s="17">
        <f>DO67*VLOOKUP('Données projet'!$B$14,Paramètres!$A$1:$I$89,3,0)*VLOOKUP('Données projet'!$B$14,Paramètres!$A$1:$I$89,5,0)</f>
        <v>90.945999999999955</v>
      </c>
      <c r="DQ67" s="13">
        <f t="shared" si="43"/>
        <v>24.793238385717576</v>
      </c>
      <c r="DR67" s="20">
        <f t="shared" si="16"/>
        <v>201.57917352179132</v>
      </c>
      <c r="DS67" s="59">
        <f t="shared" si="17"/>
        <v>494.91250685512466</v>
      </c>
      <c r="DT67" s="59">
        <f ca="1">AVERAGE(OFFSET($DS$3,0,0,'Données projet'!$E$14+1,1))-AVERAGE(OFFSET($H$3,0,0,'Données projet'!$E$14+1,1))</f>
        <v>91.053246648097399</v>
      </c>
      <c r="DU67" s="59">
        <f t="shared" si="44"/>
        <v>64.716270355703955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>
        <f>EXP(-LN(2)/35)*EA66+(1-EXP(-LN(2)/35))/(LN(2)/35)*DW67*DX67*VLOOKUP('Données projet'!$B$14,Paramètres!$A$1:$I$89,3,0)*0.475*44/12</f>
        <v>0</v>
      </c>
      <c r="EB67" s="21">
        <f>EXP(-LN(2)/25)*EB66+(1-EXP(-LN(2)/25))/(LN(2)/25)*Calculateur!DW67*Calculateur!DY67*VLOOKUP('Données projet'!$B$14,Paramètres!$A$1:$I$89,3,0)*0.475*44/12</f>
        <v>0</v>
      </c>
      <c r="EC67" s="21">
        <f>EXP(-LN(2)/2)*EC66+(1-EXP(-LN(2)/2))/(LN(2)/2)*DW67*DZ67*VLOOKUP('Données projet'!$B$14,Paramètres!$A$1:$I$89,3,0)*0.475*44/12</f>
        <v>0</v>
      </c>
      <c r="ED67" s="22">
        <f t="shared" si="18"/>
        <v>0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16.399999999999999</v>
      </c>
      <c r="EJ67" s="12">
        <f>IF('Données projet'!$A$192&gt;35,EJ66+EI67-ER66,IF(A67&lt;'Données projet'!$A$192,$EG$205^A67,IF(A67='Données projet'!$A$192,'Données projet'!$B$192,EJ66+EI67-ER66)))</f>
        <v>465.59999999999968</v>
      </c>
      <c r="EK67" s="17">
        <f>EJ67*VLOOKUP('Données projet'!$B$15,Paramètres!$A$1:$I$89,3,0)*VLOOKUP('Données projet'!$B$15,Paramètres!$A$1:$I$89,5,0)</f>
        <v>278.42879999999985</v>
      </c>
      <c r="EL67" s="13">
        <f t="shared" si="45"/>
        <v>66.634860488094674</v>
      </c>
      <c r="EM67" s="20">
        <f t="shared" si="19"/>
        <v>600.9858753500979</v>
      </c>
      <c r="EN67" s="59">
        <f t="shared" si="20"/>
        <v>894.31920868343127</v>
      </c>
      <c r="EO67" s="59">
        <f ca="1">AVERAGE(OFFSET($EN$3,0,0,'Données projet'!$E$15+1,1))-AVERAGE(OFFSET($H$3,0,0,'Données projet'!$E$15+1,1))</f>
        <v>316.58509520829671</v>
      </c>
      <c r="EP67" s="59">
        <f t="shared" si="46"/>
        <v>240.71332110643596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>
        <f>EXP(-LN(2)/35)*EV66+(1-EXP(-LN(2)/35))/(LN(2)/35)*ER67*ES67*VLOOKUP('Données projet'!$B$15,Paramètres!$A$1:$I$89,3,0)*0.475*44/12</f>
        <v>1.2926211698228305</v>
      </c>
      <c r="EW67" s="21">
        <f>EXP(-LN(2)/25)*EW66+(1-EXP(-LN(2)/25))/(LN(2)/25)*Calculateur!ER67*Calculateur!ET67*VLOOKUP('Données projet'!$B$15,Paramètres!$A$1:$I$89,3,0)*0.475*44/12</f>
        <v>5.9481138527700681</v>
      </c>
      <c r="EX67" s="21">
        <f>EXP(-LN(2)/2)*EX66+(1-EXP(-LN(2)/2))/(LN(2)/2)*ER67*EU67*VLOOKUP('Données projet'!$B$15,Paramètres!$A$1:$I$89,3,0)*0.475*44/12</f>
        <v>1.6738390403855014E-4</v>
      </c>
      <c r="EY67" s="22">
        <f t="shared" si="21"/>
        <v>7.2409024064969376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14.1</v>
      </c>
      <c r="FE67" s="12">
        <f>IF('Données projet'!$A$218&gt;35,FE66+FD67-FM66,IF(A67&lt;'Données projet'!$A$218,$FB$205^A67,IF(A67='Données projet'!$A$218,'Données projet'!$B$218,FE66+FD67-FM66)))</f>
        <v>413.40000000000015</v>
      </c>
      <c r="FF67" s="17">
        <f>FE67*VLOOKUP('Données projet'!$B$16,Paramètres!$A$1:$I$89,3,0)*VLOOKUP('Données projet'!$B$16,Paramètres!$A$1:$I$89,5,0)</f>
        <v>247.21320000000011</v>
      </c>
      <c r="FG67" s="13">
        <f t="shared" si="47"/>
        <v>59.988800807398761</v>
      </c>
      <c r="FH67" s="20">
        <f t="shared" si="22"/>
        <v>535.04348473955304</v>
      </c>
      <c r="FI67" s="59">
        <f t="shared" si="23"/>
        <v>828.37681807288641</v>
      </c>
      <c r="FJ67" s="59">
        <f ca="1">AVERAGE(OFFSET($FI$3,0,0,'Données projet'!$E$16+1,1))-AVERAGE(OFFSET($H$3,0,0,'Données projet'!$E$16+1,1))</f>
        <v>270.30888762640245</v>
      </c>
      <c r="FK67" s="59">
        <f t="shared" si="48"/>
        <v>202.23783851977691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>
        <f>EXP(-LN(2)/35)*FQ66+(1-EXP(-LN(2)/35))/(LN(2)/35)*FM67*FN67*VLOOKUP('Données projet'!$B$16,Paramètres!$A$1:$I$89,3,0)*0.475*44/12</f>
        <v>1.092355918160139</v>
      </c>
      <c r="FR67" s="21">
        <f>EXP(-LN(2)/25)*FR66+(1-EXP(-LN(2)/25))/(LN(2)/25)*Calculateur!FM67*Calculateur!FO67*VLOOKUP('Données projet'!$B$16,Paramètres!$A$1:$I$89,3,0)*0.475*44/12</f>
        <v>4.7899953536811513</v>
      </c>
      <c r="FS67" s="21">
        <f>EXP(-LN(2)/2)*FS66+(1-EXP(-LN(2)/2))/(LN(2)/2)*FM67*FP67*VLOOKUP('Données projet'!$B$16,Paramètres!$A$1:$I$89,3,0)*0.475*44/12</f>
        <v>1.4108740681810443E-4</v>
      </c>
      <c r="FT67" s="22">
        <f t="shared" si="24"/>
        <v>5.8824923592481086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4.9000000000000004</v>
      </c>
      <c r="FZ67" s="12">
        <f>IF('Données projet'!$A$244&gt;35,FZ66+FY67-GH66,IF(A67&lt;'Données projet'!$A$244,$FW$205^A67,IF(A67='Données projet'!$A$244,'Données projet'!$B$244,FZ66+FY67-GH66)))</f>
        <v>299.59999999999985</v>
      </c>
      <c r="GA67" s="17">
        <f>FZ67*VLOOKUP('Données projet'!$B$17,Paramètres!$A$1:$I$89,3,0)*VLOOKUP('Données projet'!$B$17,Paramètres!$A$1:$I$89,5,0)</f>
        <v>238.36175999999992</v>
      </c>
      <c r="GB67" s="13">
        <f t="shared" si="49"/>
        <v>58.086914779719031</v>
      </c>
      <c r="GC67" s="20">
        <f t="shared" si="25"/>
        <v>516.3147752413438</v>
      </c>
      <c r="GD67" s="59">
        <f t="shared" si="26"/>
        <v>809.64810857467705</v>
      </c>
      <c r="GE67" s="59">
        <f ca="1">AVERAGE(OFFSET($GD$3,0,0,'Données projet'!$E$17+1,1))-AVERAGE(OFFSET($H$3,0,0,'Données projet'!$E$17+1,1))</f>
        <v>260.20517190557814</v>
      </c>
      <c r="GF67" s="59">
        <f t="shared" si="50"/>
        <v>307.22009971147133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>
        <f>EXP(-LN(2)/35)*GL66+(1-EXP(-LN(2)/35))/(LN(2)/35)*GH67*GI67*VLOOKUP('Données projet'!$B$17,Paramètres!$A$1:$I$89,3,0)*0.475*44/12</f>
        <v>1.6641277236318832</v>
      </c>
      <c r="GM67" s="21">
        <f>EXP(-LN(2)/25)*GM66+(1-EXP(-LN(2)/25))/(LN(2)/25)*Calculateur!GH67*Calculateur!GJ67*VLOOKUP('Données projet'!$B$17,Paramètres!$A$1:$I$89,3,0)*0.475*44/12</f>
        <v>7.9940738159334508</v>
      </c>
      <c r="GN67" s="21">
        <f>EXP(-LN(2)/2)*GN66+(1-EXP(-LN(2)/2))/(LN(2)/2)*GH67*GK67*VLOOKUP('Données projet'!$B$17,Paramètres!$A$1:$I$89,3,0)*0.475*44/12</f>
        <v>1.8340327646451787E-4</v>
      </c>
      <c r="GO67" s="21">
        <f t="shared" si="27"/>
        <v>9.6583849428417992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4.0999999999999996</v>
      </c>
      <c r="GU67" s="12">
        <f>IF('Données projet'!$A$270&gt;35,GU66+GT67-HC66,IF(A67&lt;'Données projet'!$A$270,$GR$205^A67,IF(A67='Données projet'!$A$270,'Données projet'!$B$270,GU66+GT67-HC66)))</f>
        <v>249.39999999999972</v>
      </c>
      <c r="GV67" s="17">
        <f>GU67*VLOOKUP('Données projet'!$B$18,Paramètres!$A$1:$I$89,3,0)*VLOOKUP('Données projet'!$B$18,Paramètres!$A$1:$I$89,5,0)</f>
        <v>198.4226399999998</v>
      </c>
      <c r="GW67" s="13">
        <f t="shared" si="51"/>
        <v>49.397352151183213</v>
      </c>
      <c r="GX67" s="20">
        <f t="shared" si="28"/>
        <v>431.61981966331041</v>
      </c>
      <c r="GY67" s="59">
        <f t="shared" si="29"/>
        <v>724.95315299664367</v>
      </c>
      <c r="GZ67" s="59">
        <f ca="1">AVERAGE(OFFSET($GY$3,0,0,'Données projet'!$E$18+1,1))-AVERAGE(OFFSET($H$3,0,0,'Données projet'!$E$18+1,1))</f>
        <v>199.58763537752952</v>
      </c>
      <c r="HA67" s="59">
        <f t="shared" si="52"/>
        <v>242.62852778451929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>
        <f>EXP(-LN(2)/35)*HG66+(1-EXP(-LN(2)/35))/(LN(2)/35)*HC67*HD67*VLOOKUP('Données projet'!$B$18,Paramètres!$A$1:$I$89,3,0)*0.475*44/12</f>
        <v>0</v>
      </c>
      <c r="HH67" s="21">
        <f>EXP(-LN(2)/25)*HH66+(1-EXP(-LN(2)/25))/(LN(2)/25)*Calculateur!HC67*Calculateur!HE67*VLOOKUP('Données projet'!$B$18,Paramètres!$A$1:$I$89,3,0)*0.475*44/12</f>
        <v>4.0060655192240358</v>
      </c>
      <c r="HI67" s="21">
        <f>EXP(-LN(2)/2)*HI66+(1-EXP(-LN(2)/2))/(LN(2)/2)*HC67*HF67*VLOOKUP('Données projet'!$B$18,Paramètres!$A$1:$I$89,3,0)*0.475*44/12</f>
        <v>8.2104174752961883E-5</v>
      </c>
      <c r="HJ67" s="22">
        <f t="shared" si="30"/>
        <v>4.0061476233987889</v>
      </c>
    </row>
    <row r="68" spans="1:218" x14ac:dyDescent="0.2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57.798000000000059</v>
      </c>
      <c r="D68" s="11">
        <f t="shared" si="32"/>
        <v>16.610328609523005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574.38008049456403</v>
      </c>
      <c r="H68" s="67">
        <f t="shared" ref="H68:H131" si="56">(B68+E68+F68)*44/12+(C68+D68)*0.475*44/12</f>
        <v>422.92783899491928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-2.2737367544323206E-13</v>
      </c>
      <c r="O68" s="13">
        <f>N68*VLOOKUP('Données projet'!$B$9,Paramètres!$A$1:$I$89,3,0)*VLOOKUP('Données projet'!$B$9,Paramètres!$A$1:$I$89,5,0)</f>
        <v>-1.2710188457276673E-13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255.5374979188561</v>
      </c>
      <c r="T68" s="59">
        <f t="shared" si="34"/>
        <v>343.10418468620901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1.5450204232772067</v>
      </c>
      <c r="AA68" s="21">
        <f>EXP(-LN(2)/25)*AA67+(1-EXP(-LN(2)/25))/(LN(2)/25)*Calculateur!V68*Calculateur!X68*VLOOKUP('Données projet'!$B$9,Paramètres!$A$1:$I$89,3,0)*0.475*44/12</f>
        <v>6.0478072923865165</v>
      </c>
      <c r="AB68" s="21">
        <f>EXP(-LN(2)/2)*AB67+(1-EXP(-LN(2)/2))/(LN(2)/2)*V68*Y68*VLOOKUP('Données projet'!$B$9,Paramètres!$A$1:$I$89,3,0)*0.475*44/12</f>
        <v>9.1315136991232369E-6</v>
      </c>
      <c r="AC68" s="22">
        <f t="shared" ref="AC68:AC131" si="57">SUM(Z68:AB68)</f>
        <v>7.5928368471774226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13.296703296703299</v>
      </c>
      <c r="AI68" s="13">
        <f>IF('Données projet'!$A$62&gt;35,AI67+AH68-AQ67,IF(A68&lt;'Données projet'!$A$62,$AF$205^A68,IF(A68='Données projet'!$A$62,'Données projet'!$B$62,AI67+AH68-AQ67)))</f>
        <v>402.58571428571435</v>
      </c>
      <c r="AJ68" s="13">
        <f>AI68*VLOOKUP('Données projet'!$B$10,Paramètres!$A$1:$I$89,3,0)*VLOOKUP('Données projet'!$B$10,Paramètres!$A$1:$I$89,5,0)</f>
        <v>225.04541428571432</v>
      </c>
      <c r="AK68" s="13">
        <f t="shared" si="35"/>
        <v>55.210030257376133</v>
      </c>
      <c r="AL68" s="20">
        <f t="shared" ref="AL68:AL131" si="58">(AJ68+AK68)*0.475*44/12</f>
        <v>488.11156591254917</v>
      </c>
      <c r="AM68" s="59">
        <f t="shared" ref="AM68:AM131" si="59">AL68+(AD68+AE68)*44/12</f>
        <v>781.44489924588243</v>
      </c>
      <c r="AN68" s="59">
        <f ca="1">AVERAGE(OFFSET($AM$3,0,0,'Données projet'!$E$10+1,1))-AVERAGE(OFFSET($H$3,0,0,'Données projet'!$E$10+1,1))</f>
        <v>224.7049802939942</v>
      </c>
      <c r="AO68" s="59">
        <f t="shared" si="36"/>
        <v>203.48513862195352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1.1155802554671832</v>
      </c>
      <c r="AV68" s="21">
        <f>EXP(-LN(2)/25)*AV67+(1-EXP(-LN(2)/25))/(LN(2)/25)*Calculateur!AQ68*Calculateur!AS68*VLOOKUP('Données projet'!$B$10,Paramètres!$A$1:$I$89,3,0)*0.475*44/12</f>
        <v>7.3984124604013175</v>
      </c>
      <c r="AW68" s="21">
        <f>EXP(-LN(2)/2)*AW67+(1-EXP(-LN(2)/2))/(LN(2)/2)*AQ68*AT68*VLOOKUP('Données projet'!$B$10,Paramètres!$A$1:$I$89,3,0)*0.475*44/12</f>
        <v>4.8340682424498659E-5</v>
      </c>
      <c r="AX68" s="21">
        <f t="shared" ref="AX68:AX131" si="60">SUM(AU68:AW68)</f>
        <v>8.5140410565509246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8.5</v>
      </c>
      <c r="BD68" s="12">
        <f>IF('Données projet'!$A$88&gt;35,BD67+BC68-BL67,IF(A68&lt;'Données projet'!$A$88,$BA$205^A68,IF(A68='Données projet'!$A$88,'Données projet'!$B$88,BD67+BC68-BL67)))</f>
        <v>368.50000000000023</v>
      </c>
      <c r="BE68" s="13">
        <f>BD68*VLOOKUP('Données projet'!$B$11,Paramètres!$A$1:$I$89,3,0)*VLOOKUP('Données projet'!$B$11,Paramètres!$A$1:$I$89,5,0)</f>
        <v>201.20100000000014</v>
      </c>
      <c r="BF68" s="13">
        <f t="shared" si="37"/>
        <v>50.008019134354747</v>
      </c>
      <c r="BG68" s="20">
        <f t="shared" ref="BG68:BG131" si="61">(BE68+BF68)*0.475*44/12</f>
        <v>437.52237499233479</v>
      </c>
      <c r="BH68" s="59">
        <f t="shared" ref="BH68:BH131" si="62">BG68+(AY68+AZ68)*44/12</f>
        <v>730.85570832566805</v>
      </c>
      <c r="BI68" s="59">
        <f ca="1">AVERAGE(OFFSET($BH$3,0,0,'Données projet'!$E$11+1,1))-AVERAGE(OFFSET($H$3,0,0,'Données projet'!$E$11+1,1))</f>
        <v>210.04871822652808</v>
      </c>
      <c r="BJ68" s="59">
        <f t="shared" si="38"/>
        <v>250.17540614049324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3.6504931310567383</v>
      </c>
      <c r="BQ68" s="21">
        <f>EXP(-LN(2)/25)*BQ67+(1-EXP(-LN(2)/25))/(LN(2)/25)*Calculateur!BL68*Calculateur!BN68*VLOOKUP('Données projet'!$B$11,Paramètres!$A$1:$I$89,3,0)*0.475*44/12</f>
        <v>10.545868409328351</v>
      </c>
      <c r="BR68" s="21">
        <f>EXP(-LN(2)/2)*BR67+(1-EXP(-LN(2)/2))/(LN(2)/2)*BL68*BO68*VLOOKUP('Données projet'!$B$11,Paramètres!$A$1:$I$89,3,0)*0.475*44/12</f>
        <v>1.1627884587952976E-4</v>
      </c>
      <c r="BS68" s="22">
        <f t="shared" ref="BS68:BS131" si="63">SUM(BP68:BR68)</f>
        <v>14.196477819230969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7.1</v>
      </c>
      <c r="BY68" s="12">
        <f>IF('Données projet'!$A$114&gt;35,BY67+BX68-CG67,IF(A68&lt;'Données projet'!$A$114,$BV$205^A68,IF(A68='Données projet'!$A$114,'Données projet'!$B$114,BY67+BX68-CG67)))</f>
        <v>318.49999999999989</v>
      </c>
      <c r="BZ68" s="13">
        <f>BY68*VLOOKUP('Données projet'!$B$12,Paramètres!$A$1:$I$89,3,0)*VLOOKUP('Données projet'!$B$12,Paramètres!$A$1:$I$89,5,0)</f>
        <v>173.90099999999995</v>
      </c>
      <c r="CA68" s="13">
        <f t="shared" si="39"/>
        <v>43.962560825689998</v>
      </c>
      <c r="CB68" s="20">
        <f t="shared" ref="CB68:CB131" si="64">(BZ68+CA68)*0.475*44/12</f>
        <v>379.44570177141003</v>
      </c>
      <c r="CC68" s="59">
        <f t="shared" ref="CC68:CC131" si="65">CB68+(BT68+BU68)*44/12</f>
        <v>672.77903510474334</v>
      </c>
      <c r="CD68" s="59">
        <f ca="1">AVERAGE(OFFSET($CC$3,0,0,'Données projet'!$E$12+1,1))-AVERAGE(OFFSET($H$3,0,0,'Données projet'!$E$12+1,1))</f>
        <v>168.72306536277267</v>
      </c>
      <c r="CE68" s="59">
        <f t="shared" si="40"/>
        <v>203.35476578922339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1.5210388046069747</v>
      </c>
      <c r="CL68" s="21">
        <f>EXP(-LN(2)/25)*CL67+(1-EXP(-LN(2)/25))/(LN(2)/25)*Calculateur!CG68*Calculateur!CI68*VLOOKUP('Données projet'!$B$12,Paramètres!$A$1:$I$89,3,0)*0.475*44/12</f>
        <v>8.7096944848646807</v>
      </c>
      <c r="CM68" s="21">
        <f>EXP(-LN(2)/2)*CM67+(1-EXP(-LN(2)/2))/(LN(2)/2)*CG68*CJ68*VLOOKUP('Données projet'!$B$12,Paramètres!$A$1:$I$89,3,0)*0.475*44/12</f>
        <v>1.0802457986388141E-4</v>
      </c>
      <c r="CN68" s="22">
        <f t="shared" ref="CN68:CN131" si="66">SUM(CK68:CM68)</f>
        <v>10.230841314051519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14</v>
      </c>
      <c r="CT68" s="12">
        <f>IF('Données projet'!$A$140&gt;35,CT67+CS68-DB67,IF(A68&lt;'Données projet'!$A$140,$CQ$205^A68,IF(A68='Données projet'!$A$140,'Données projet'!$B$140,CT67+CS68-DB67)))</f>
        <v>355.38461538461536</v>
      </c>
      <c r="CU68" s="17">
        <f>CT68*VLOOKUP('Données projet'!$B$13,Paramètres!$A$1:$I$89,3,0)*VLOOKUP('Données projet'!$B$13,Paramètres!$A$1:$I$89,5,0)</f>
        <v>170.94</v>
      </c>
      <c r="CV68" s="13">
        <f t="shared" si="41"/>
        <v>43.300484703984118</v>
      </c>
      <c r="CW68" s="20">
        <f t="shared" ref="CW68:CW131" si="67">(CU68+CV68)*0.475*44/12</f>
        <v>373.13551085943897</v>
      </c>
      <c r="CX68" s="59">
        <f t="shared" ref="CX68:CX131" si="68">CW68+(CO68+CP68)*44/12</f>
        <v>666.46884419277228</v>
      </c>
      <c r="CY68" s="59">
        <f ca="1">AVERAGE(OFFSET($CX$3,0,0,'Données projet'!$E$13+1,1))-AVERAGE(OFFSET($H$3,0,0,'Données projet'!$E$13+1,1))</f>
        <v>304.15237106473313</v>
      </c>
      <c r="CZ68" s="59">
        <f t="shared" si="42"/>
        <v>120.85458928724336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>
        <f>EXP(-LN(2)/35)*DF67+(1-EXP(-LN(2)/35))/(LN(2)/35)*DB68*DC68*VLOOKUP('Données projet'!$B$13,Paramètres!$A$1:$I$89,3,0)*0.475*44/12</f>
        <v>0</v>
      </c>
      <c r="DG68" s="21">
        <f>EXP(-LN(2)/25)*DG67+(1-EXP(-LN(2)/25))/(LN(2)/25)*Calculateur!DB68*Calculateur!DD68*VLOOKUP('Données projet'!$B$13,Paramètres!$A$1:$I$89,3,0)*0.475*44/12</f>
        <v>0</v>
      </c>
      <c r="DH68" s="21">
        <f>EXP(-LN(2)/2)*DH67+(1-EXP(-LN(2)/2))/(LN(2)/2)*DB68*DE68*VLOOKUP('Données projet'!$B$13,Paramètres!$A$1:$I$89,3,0)*0.475*44/12</f>
        <v>0</v>
      </c>
      <c r="DI68" s="22">
        <f t="shared" ref="DI68:DI131" si="69">SUM(DF68:DH68)</f>
        <v>0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8.2307692307692299</v>
      </c>
      <c r="DO68" s="12">
        <f>IF('Données projet'!$A$166&gt;35,DO67+DN68-DW67,IF(A68&lt;'Données projet'!$A$166,$DL$205^A68,IF(A68='Données projet'!$A$166,'Données projet'!$B$166,DO67+DN68-DW67)))</f>
        <v>197.30769230769224</v>
      </c>
      <c r="DP68" s="17">
        <f>DO68*VLOOKUP('Données projet'!$B$14,Paramètres!$A$1:$I$89,3,0)*VLOOKUP('Données projet'!$B$14,Paramètres!$A$1:$I$89,5,0)</f>
        <v>94.904999999999973</v>
      </c>
      <c r="DQ68" s="13">
        <f t="shared" si="43"/>
        <v>25.744514603850263</v>
      </c>
      <c r="DR68" s="20">
        <f t="shared" ref="DR68:DR131" si="70">(DP68+DQ68)*0.475*44/12</f>
        <v>210.13123793503917</v>
      </c>
      <c r="DS68" s="59">
        <f t="shared" ref="DS68:DS131" si="71">DR68+(DJ68+DK68)*44/12</f>
        <v>503.46457126837248</v>
      </c>
      <c r="DT68" s="59">
        <f ca="1">AVERAGE(OFFSET($DS$3,0,0,'Données projet'!$E$14+1,1))-AVERAGE(OFFSET($H$3,0,0,'Données projet'!$E$14+1,1))</f>
        <v>91.053246648097399</v>
      </c>
      <c r="DU68" s="59">
        <f t="shared" si="44"/>
        <v>64.716270355703955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>
        <f>EXP(-LN(2)/35)*EA67+(1-EXP(-LN(2)/35))/(LN(2)/35)*DW68*DX68*VLOOKUP('Données projet'!$B$14,Paramètres!$A$1:$I$89,3,0)*0.475*44/12</f>
        <v>0</v>
      </c>
      <c r="EB68" s="21">
        <f>EXP(-LN(2)/25)*EB67+(1-EXP(-LN(2)/25))/(LN(2)/25)*Calculateur!DW68*Calculateur!DY68*VLOOKUP('Données projet'!$B$14,Paramètres!$A$1:$I$89,3,0)*0.475*44/12</f>
        <v>0</v>
      </c>
      <c r="EC68" s="21">
        <f>EXP(-LN(2)/2)*EC67+(1-EXP(-LN(2)/2))/(LN(2)/2)*DW68*DZ68*VLOOKUP('Données projet'!$B$14,Paramètres!$A$1:$I$89,3,0)*0.475*44/12</f>
        <v>0</v>
      </c>
      <c r="ED68" s="22">
        <f t="shared" ref="ED68:ED131" si="72">SUM(EA68:EC68)</f>
        <v>0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16.399999999999999</v>
      </c>
      <c r="EJ68" s="12">
        <f>IF('Données projet'!$A$192&gt;35,EJ67+EI68-ER67,IF(A68&lt;'Données projet'!$A$192,$EG$205^A68,IF(A68='Données projet'!$A$192,'Données projet'!$B$192,EJ67+EI68-ER67)))</f>
        <v>481.99999999999966</v>
      </c>
      <c r="EK68" s="17">
        <f>EJ68*VLOOKUP('Données projet'!$B$15,Paramètres!$A$1:$I$89,3,0)*VLOOKUP('Données projet'!$B$15,Paramètres!$A$1:$I$89,5,0)</f>
        <v>288.23599999999982</v>
      </c>
      <c r="EL68" s="13">
        <f t="shared" si="45"/>
        <v>68.704564966369475</v>
      </c>
      <c r="EM68" s="20">
        <f t="shared" ref="EM68:EM131" si="73">(EK68+EL68)*0.475*44/12</f>
        <v>621.67148398309314</v>
      </c>
      <c r="EN68" s="59">
        <f t="shared" ref="EN68:EN131" si="74">EM68+(EE68+EF68)*44/12</f>
        <v>915.0048173164264</v>
      </c>
      <c r="EO68" s="59">
        <f ca="1">AVERAGE(OFFSET($EN$3,0,0,'Données projet'!$E$15+1,1))-AVERAGE(OFFSET($H$3,0,0,'Données projet'!$E$15+1,1))</f>
        <v>316.58509520829671</v>
      </c>
      <c r="EP68" s="59">
        <f t="shared" si="46"/>
        <v>240.71332110643596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>
        <f>EXP(-LN(2)/35)*EV67+(1-EXP(-LN(2)/35))/(LN(2)/35)*ER68*ES68*VLOOKUP('Données projet'!$B$15,Paramètres!$A$1:$I$89,3,0)*0.475*44/12</f>
        <v>1.2672736571036682</v>
      </c>
      <c r="EW68" s="21">
        <f>EXP(-LN(2)/25)*EW67+(1-EXP(-LN(2)/25))/(LN(2)/25)*Calculateur!ER68*Calculateur!ET68*VLOOKUP('Données projet'!$B$15,Paramètres!$A$1:$I$89,3,0)*0.475*44/12</f>
        <v>5.7854623666683578</v>
      </c>
      <c r="EX68" s="21">
        <f>EXP(-LN(2)/2)*EX67+(1-EXP(-LN(2)/2))/(LN(2)/2)*ER68*EU68*VLOOKUP('Données projet'!$B$15,Paramètres!$A$1:$I$89,3,0)*0.475*44/12</f>
        <v>1.1835829360713715E-4</v>
      </c>
      <c r="EY68" s="22">
        <f t="shared" ref="EY68:EY131" si="75">SUM(EV68:EX68)</f>
        <v>7.0528543820656324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14.1</v>
      </c>
      <c r="FE68" s="12">
        <f>IF('Données projet'!$A$218&gt;35,FE67+FD68-FM67,IF(A68&lt;'Données projet'!$A$218,$FB$205^A68,IF(A68='Données projet'!$A$218,'Données projet'!$B$218,FE67+FD68-FM67)))</f>
        <v>427.50000000000017</v>
      </c>
      <c r="FF68" s="17">
        <f>FE68*VLOOKUP('Données projet'!$B$16,Paramètres!$A$1:$I$89,3,0)*VLOOKUP('Données projet'!$B$16,Paramètres!$A$1:$I$89,5,0)</f>
        <v>255.64500000000012</v>
      </c>
      <c r="FG68" s="13">
        <f t="shared" si="47"/>
        <v>61.793157291319226</v>
      </c>
      <c r="FH68" s="20">
        <f t="shared" ref="FH68:FH131" si="76">(FF68+FG68)*0.475*44/12</f>
        <v>552.87145728238113</v>
      </c>
      <c r="FI68" s="59">
        <f t="shared" ref="FI68:FI131" si="77">FH68+(EZ68+FA68)*44/12</f>
        <v>846.2047906157145</v>
      </c>
      <c r="FJ68" s="59">
        <f ca="1">AVERAGE(OFFSET($FI$3,0,0,'Données projet'!$E$16+1,1))-AVERAGE(OFFSET($H$3,0,0,'Données projet'!$E$16+1,1))</f>
        <v>270.30888762640245</v>
      </c>
      <c r="FK68" s="59">
        <f t="shared" si="48"/>
        <v>202.23783851977691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>
        <f>EXP(-LN(2)/35)*FQ67+(1-EXP(-LN(2)/35))/(LN(2)/35)*FM68*FN68*VLOOKUP('Données projet'!$B$16,Paramètres!$A$1:$I$89,3,0)*0.475*44/12</f>
        <v>1.0709354848763399</v>
      </c>
      <c r="FR68" s="21">
        <f>EXP(-LN(2)/25)*FR67+(1-EXP(-LN(2)/25))/(LN(2)/25)*Calculateur!FM68*Calculateur!FO68*VLOOKUP('Données projet'!$B$16,Paramètres!$A$1:$I$89,3,0)*0.475*44/12</f>
        <v>4.6590126788398321</v>
      </c>
      <c r="FS68" s="21">
        <f>EXP(-LN(2)/2)*FS67+(1-EXP(-LN(2)/2))/(LN(2)/2)*FM68*FP68*VLOOKUP('Données projet'!$B$16,Paramètres!$A$1:$I$89,3,0)*0.475*44/12</f>
        <v>9.9763862101106784E-5</v>
      </c>
      <c r="FT68" s="22">
        <f t="shared" ref="FT68:FT131" si="78">SUM(FQ68:FS68)</f>
        <v>5.7300479275782727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4.9000000000000004</v>
      </c>
      <c r="FZ68" s="12">
        <f>IF('Données projet'!$A$244&gt;35,FZ67+FY68-GH67,IF(A68&lt;'Données projet'!$A$244,$FW$205^A68,IF(A68='Données projet'!$A$244,'Données projet'!$B$244,FZ67+FY68-GH67)))</f>
        <v>304.49999999999983</v>
      </c>
      <c r="GA68" s="17">
        <f>FZ68*VLOOKUP('Données projet'!$B$17,Paramètres!$A$1:$I$89,3,0)*VLOOKUP('Données projet'!$B$17,Paramètres!$A$1:$I$89,5,0)</f>
        <v>242.26019999999986</v>
      </c>
      <c r="GB68" s="13">
        <f t="shared" si="49"/>
        <v>58.925557915516166</v>
      </c>
      <c r="GC68" s="20">
        <f t="shared" ref="GC68:GC131" si="79">(GA68+GB68)*0.475*44/12</f>
        <v>524.5651950361904</v>
      </c>
      <c r="GD68" s="59">
        <f t="shared" ref="GD68:GD131" si="80">GC68+(FU68+FV68)*44/12</f>
        <v>817.89852836952377</v>
      </c>
      <c r="GE68" s="59">
        <f ca="1">AVERAGE(OFFSET($GD$3,0,0,'Données projet'!$E$17+1,1))-AVERAGE(OFFSET($H$3,0,0,'Données projet'!$E$17+1,1))</f>
        <v>260.20517190557814</v>
      </c>
      <c r="GF68" s="59">
        <f t="shared" si="50"/>
        <v>307.22009971147133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>
        <f>EXP(-LN(2)/35)*GL67+(1-EXP(-LN(2)/35))/(LN(2)/35)*GH68*GI68*VLOOKUP('Données projet'!$B$17,Paramètres!$A$1:$I$89,3,0)*0.475*44/12</f>
        <v>1.6314951939891487</v>
      </c>
      <c r="GM68" s="21">
        <f>EXP(-LN(2)/25)*GM67+(1-EXP(-LN(2)/25))/(LN(2)/25)*Calculateur!GH68*Calculateur!GJ68*VLOOKUP('Données projet'!$B$17,Paramètres!$A$1:$I$89,3,0)*0.475*44/12</f>
        <v>7.7754754470466789</v>
      </c>
      <c r="GN68" s="21">
        <f>EXP(-LN(2)/2)*GN67+(1-EXP(-LN(2)/2))/(LN(2)/2)*GH68*GK68*VLOOKUP('Données projet'!$B$17,Paramètres!$A$1:$I$89,3,0)*0.475*44/12</f>
        <v>1.2968570047989172E-4</v>
      </c>
      <c r="GO68" s="21">
        <f t="shared" ref="GO68:GO131" si="81">SUM(GL68:GN68)</f>
        <v>9.4071003267363089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4.0999999999999996</v>
      </c>
      <c r="GU68" s="12">
        <f>IF('Données projet'!$A$270&gt;35,GU67+GT68-HC67,IF(A68&lt;'Données projet'!$A$270,$GR$205^A68,IF(A68='Données projet'!$A$270,'Données projet'!$B$270,GU67+GT68-HC67)))</f>
        <v>253.49999999999972</v>
      </c>
      <c r="GV68" s="17">
        <f>GU68*VLOOKUP('Données projet'!$B$18,Paramètres!$A$1:$I$89,3,0)*VLOOKUP('Données projet'!$B$18,Paramètres!$A$1:$I$89,5,0)</f>
        <v>201.68459999999979</v>
      </c>
      <c r="GW68" s="13">
        <f t="shared" si="51"/>
        <v>50.114210893233739</v>
      </c>
      <c r="GX68" s="20">
        <f t="shared" ref="GX68:GX131" si="82">(GV68+GW68)*0.475*44/12</f>
        <v>438.54959563904839</v>
      </c>
      <c r="GY68" s="59">
        <f t="shared" ref="GY68:GY131" si="83">GX68+(GP68+GQ68)*44/12</f>
        <v>731.88292897238171</v>
      </c>
      <c r="GZ68" s="59">
        <f ca="1">AVERAGE(OFFSET($GY$3,0,0,'Données projet'!$E$18+1,1))-AVERAGE(OFFSET($H$3,0,0,'Données projet'!$E$18+1,1))</f>
        <v>199.58763537752952</v>
      </c>
      <c r="HA68" s="59">
        <f t="shared" si="52"/>
        <v>242.62852778451929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>
        <f>EXP(-LN(2)/35)*HG67+(1-EXP(-LN(2)/35))/(LN(2)/35)*HC68*HD68*VLOOKUP('Données projet'!$B$18,Paramètres!$A$1:$I$89,3,0)*0.475*44/12</f>
        <v>0</v>
      </c>
      <c r="HH68" s="21">
        <f>EXP(-LN(2)/25)*HH67+(1-EXP(-LN(2)/25))/(LN(2)/25)*Calculateur!HC68*Calculateur!HE68*VLOOKUP('Données projet'!$B$18,Paramètres!$A$1:$I$89,3,0)*0.475*44/12</f>
        <v>3.8965194469310247</v>
      </c>
      <c r="HI68" s="21">
        <f>EXP(-LN(2)/2)*HI67+(1-EXP(-LN(2)/2))/(LN(2)/2)*HC68*HF68*VLOOKUP('Données projet'!$B$18,Paramètres!$A$1:$I$89,3,0)*0.475*44/12</f>
        <v>5.8056418731544678E-5</v>
      </c>
      <c r="HJ68" s="22">
        <f t="shared" ref="HJ68:HJ131" si="84">SUM(HG68:HI68)</f>
        <v>3.8965775033497563</v>
      </c>
    </row>
    <row r="69" spans="1:218" x14ac:dyDescent="0.2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58.687200000000061</v>
      </c>
      <c r="D69" s="11">
        <f t="shared" ref="D69:D132" si="86">IFERROR(EXP(-1.0587+0.8836*LN(C69)+0.284),0)</f>
        <v>16.835925833077553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582.98553274656399</v>
      </c>
      <c r="H69" s="67">
        <f t="shared" si="56"/>
        <v>424.86944415927678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-2.2737367544323206E-13</v>
      </c>
      <c r="O69" s="13">
        <f>N69*VLOOKUP('Données projet'!$B$9,Paramètres!$A$1:$I$89,3,0)*VLOOKUP('Données projet'!$B$9,Paramètres!$A$1:$I$89,5,0)</f>
        <v>-1.2710188457276673E-13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255.5374979188561</v>
      </c>
      <c r="T69" s="59">
        <f t="shared" ref="T69:T132" si="88">$T$3</f>
        <v>343.10418468620901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1.5147235151461476</v>
      </c>
      <c r="AA69" s="21">
        <f>EXP(-LN(2)/25)*AA68+(1-EXP(-LN(2)/25))/(LN(2)/25)*Calculateur!V69*Calculateur!X69*VLOOKUP('Données projet'!$B$9,Paramètres!$A$1:$I$89,3,0)*0.475*44/12</f>
        <v>5.8824296839358441</v>
      </c>
      <c r="AB69" s="21">
        <f>EXP(-LN(2)/2)*AB68+(1-EXP(-LN(2)/2))/(LN(2)/2)*V69*Y69*VLOOKUP('Données projet'!$B$9,Paramètres!$A$1:$I$89,3,0)*0.475*44/12</f>
        <v>6.456955259147896E-6</v>
      </c>
      <c r="AC69" s="22">
        <f t="shared" si="57"/>
        <v>7.3971596560372506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13.296703296703299</v>
      </c>
      <c r="AI69" s="13">
        <f>IF('Données projet'!$A$62&gt;35,AI68+AH69-AQ68,IF(A69&lt;'Données projet'!$A$62,$AF$205^A69,IF(A69='Données projet'!$A$62,'Données projet'!$B$62,AI68+AH69-AQ68)))</f>
        <v>415.88241758241765</v>
      </c>
      <c r="AJ69" s="13">
        <f>AI69*VLOOKUP('Données projet'!$B$10,Paramètres!$A$1:$I$89,3,0)*VLOOKUP('Données projet'!$B$10,Paramètres!$A$1:$I$89,5,0)</f>
        <v>232.47827142857147</v>
      </c>
      <c r="AK69" s="13">
        <f t="shared" ref="AK69:AK132" si="89">EXP(-1.0587+0.8836*LN(AJ69)+0.284)</f>
        <v>56.818207052289068</v>
      </c>
      <c r="AL69" s="20">
        <f t="shared" si="58"/>
        <v>503.85803335416534</v>
      </c>
      <c r="AM69" s="59">
        <f t="shared" si="59"/>
        <v>797.19136668749866</v>
      </c>
      <c r="AN69" s="59">
        <f ca="1">AVERAGE(OFFSET($AM$3,0,0,'Données projet'!$E$10+1,1))-AVERAGE(OFFSET($H$3,0,0,'Données projet'!$E$10+1,1))</f>
        <v>224.7049802939942</v>
      </c>
      <c r="AO69" s="59">
        <f t="shared" ref="AO69:AO132" si="90">$AO$3</f>
        <v>203.48513862195352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1.0937044070942401</v>
      </c>
      <c r="AV69" s="21">
        <f>EXP(-LN(2)/25)*AV68+(1-EXP(-LN(2)/25))/(LN(2)/25)*Calculateur!AQ69*Calculateur!AS69*VLOOKUP('Données projet'!$B$10,Paramètres!$A$1:$I$89,3,0)*0.475*44/12</f>
        <v>7.1961024826060411</v>
      </c>
      <c r="AW69" s="21">
        <f>EXP(-LN(2)/2)*AW68+(1-EXP(-LN(2)/2))/(LN(2)/2)*AQ69*AT69*VLOOKUP('Données projet'!$B$10,Paramètres!$A$1:$I$89,3,0)*0.475*44/12</f>
        <v>3.4182024349548357E-5</v>
      </c>
      <c r="AX69" s="21">
        <f t="shared" si="60"/>
        <v>8.2898410717246307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8.5</v>
      </c>
      <c r="BD69" s="12">
        <f>IF('Données projet'!$A$88&gt;35,BD68+BC69-BL68,IF(A69&lt;'Données projet'!$A$88,$BA$205^A69,IF(A69='Données projet'!$A$88,'Données projet'!$B$88,BD68+BC69-BL68)))</f>
        <v>377.00000000000023</v>
      </c>
      <c r="BE69" s="13">
        <f>BD69*VLOOKUP('Données projet'!$B$11,Paramètres!$A$1:$I$89,3,0)*VLOOKUP('Données projet'!$B$11,Paramètres!$A$1:$I$89,5,0)</f>
        <v>205.84200000000013</v>
      </c>
      <c r="BF69" s="13">
        <f t="shared" ref="BF69:BF132" si="91">EXP(-1.0587+0.8836*LN(BE69)+0.284)</f>
        <v>51.02590322155848</v>
      </c>
      <c r="BG69" s="20">
        <f t="shared" si="61"/>
        <v>447.37826477754788</v>
      </c>
      <c r="BH69" s="59">
        <f t="shared" si="62"/>
        <v>740.71159811088114</v>
      </c>
      <c r="BI69" s="59">
        <f ca="1">AVERAGE(OFFSET($BH$3,0,0,'Données projet'!$E$11+1,1))-AVERAGE(OFFSET($H$3,0,0,'Données projet'!$E$11+1,1))</f>
        <v>210.04871822652808</v>
      </c>
      <c r="BJ69" s="59">
        <f t="shared" ref="BJ69:BJ132" si="92">$BJ$3</f>
        <v>250.17540614049324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3.5789091873376688</v>
      </c>
      <c r="BQ69" s="21">
        <f>EXP(-LN(2)/25)*BQ68+(1-EXP(-LN(2)/25))/(LN(2)/25)*Calculateur!BL69*Calculateur!BN69*VLOOKUP('Données projet'!$B$11,Paramètres!$A$1:$I$89,3,0)*0.475*44/12</f>
        <v>10.25749108309215</v>
      </c>
      <c r="BR69" s="21">
        <f>EXP(-LN(2)/2)*BR68+(1-EXP(-LN(2)/2))/(LN(2)/2)*BL69*BO69*VLOOKUP('Données projet'!$B$11,Paramètres!$A$1:$I$89,3,0)*0.475*44/12</f>
        <v>8.222156042996094E-5</v>
      </c>
      <c r="BS69" s="22">
        <f t="shared" si="63"/>
        <v>13.836482491990248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7.1</v>
      </c>
      <c r="BY69" s="12">
        <f>IF('Données projet'!$A$114&gt;35,BY68+BX69-CG68,IF(A69&lt;'Données projet'!$A$114,$BV$205^A69,IF(A69='Données projet'!$A$114,'Données projet'!$B$114,BY68+BX69-CG68)))</f>
        <v>325.59999999999991</v>
      </c>
      <c r="BZ69" s="13">
        <f>BY69*VLOOKUP('Données projet'!$B$12,Paramètres!$A$1:$I$89,3,0)*VLOOKUP('Données projet'!$B$12,Paramètres!$A$1:$I$89,5,0)</f>
        <v>177.77759999999995</v>
      </c>
      <c r="CA69" s="13">
        <f t="shared" ref="CA69:CA132" si="93">EXP(-1.0587+0.8836*LN(BZ69)+0.284)</f>
        <v>44.827386173754917</v>
      </c>
      <c r="CB69" s="20">
        <f t="shared" si="64"/>
        <v>387.70368425262308</v>
      </c>
      <c r="CC69" s="59">
        <f t="shared" si="65"/>
        <v>681.03701758595639</v>
      </c>
      <c r="CD69" s="59">
        <f ca="1">AVERAGE(OFFSET($CC$3,0,0,'Données projet'!$E$12+1,1))-AVERAGE(OFFSET($H$3,0,0,'Données projet'!$E$12+1,1))</f>
        <v>168.72306536277267</v>
      </c>
      <c r="CE69" s="59">
        <f t="shared" ref="CE69:CE132" si="94">$CE$3</f>
        <v>203.35476578922339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1.4912121613906959</v>
      </c>
      <c r="CL69" s="21">
        <f>EXP(-LN(2)/25)*CL68+(1-EXP(-LN(2)/25))/(LN(2)/25)*Calculateur!CG69*Calculateur!CI69*VLOOKUP('Données projet'!$B$12,Paramètres!$A$1:$I$89,3,0)*0.475*44/12</f>
        <v>8.4715274311531292</v>
      </c>
      <c r="CM69" s="21">
        <f>EXP(-LN(2)/2)*CM68+(1-EXP(-LN(2)/2))/(LN(2)/2)*CG69*CJ69*VLOOKUP('Données projet'!$B$12,Paramètres!$A$1:$I$89,3,0)*0.475*44/12</f>
        <v>7.6384912956578316E-5</v>
      </c>
      <c r="CN69" s="22">
        <f t="shared" si="66"/>
        <v>9.9628159774567813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14</v>
      </c>
      <c r="CT69" s="12">
        <f>IF('Données projet'!$A$140&gt;35,CT68+CS69-DB68,IF(A69&lt;'Données projet'!$A$140,$CQ$205^A69,IF(A69='Données projet'!$A$140,'Données projet'!$B$140,CT68+CS69-DB68)))</f>
        <v>369.38461538461536</v>
      </c>
      <c r="CU69" s="17">
        <f>CT69*VLOOKUP('Données projet'!$B$13,Paramètres!$A$1:$I$89,3,0)*VLOOKUP('Données projet'!$B$13,Paramètres!$A$1:$I$89,5,0)</f>
        <v>177.67399999999998</v>
      </c>
      <c r="CV69" s="13">
        <f t="shared" ref="CV69:CV132" si="95">EXP(-1.0587+0.8836*LN(CU69)+0.284)</f>
        <v>44.804302944085329</v>
      </c>
      <c r="CW69" s="20">
        <f t="shared" si="67"/>
        <v>387.48304429428185</v>
      </c>
      <c r="CX69" s="59">
        <f t="shared" si="68"/>
        <v>680.81637762761511</v>
      </c>
      <c r="CY69" s="59">
        <f ca="1">AVERAGE(OFFSET($CX$3,0,0,'Données projet'!$E$13+1,1))-AVERAGE(OFFSET($H$3,0,0,'Données projet'!$E$13+1,1))</f>
        <v>304.15237106473313</v>
      </c>
      <c r="CZ69" s="59">
        <f t="shared" ref="CZ69:CZ132" si="96">$CZ$3</f>
        <v>120.85458928724336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>
        <f>EXP(-LN(2)/35)*DF68+(1-EXP(-LN(2)/35))/(LN(2)/35)*DB69*DC69*VLOOKUP('Données projet'!$B$13,Paramètres!$A$1:$I$89,3,0)*0.475*44/12</f>
        <v>0</v>
      </c>
      <c r="DG69" s="21">
        <f>EXP(-LN(2)/25)*DG68+(1-EXP(-LN(2)/25))/(LN(2)/25)*Calculateur!DB69*Calculateur!DD69*VLOOKUP('Données projet'!$B$13,Paramètres!$A$1:$I$89,3,0)*0.475*44/12</f>
        <v>0</v>
      </c>
      <c r="DH69" s="21">
        <f>EXP(-LN(2)/2)*DH68+(1-EXP(-LN(2)/2))/(LN(2)/2)*DB69*DE69*VLOOKUP('Données projet'!$B$13,Paramètres!$A$1:$I$89,3,0)*0.475*44/12</f>
        <v>0</v>
      </c>
      <c r="DI69" s="22">
        <f t="shared" si="69"/>
        <v>0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8.2307692307692299</v>
      </c>
      <c r="DO69" s="12">
        <f>IF('Données projet'!$A$166&gt;35,DO68+DN69-DW68,IF(A69&lt;'Données projet'!$A$166,$DL$205^A69,IF(A69='Données projet'!$A$166,'Données projet'!$B$166,DO68+DN69-DW68)))</f>
        <v>205.53846153846146</v>
      </c>
      <c r="DP69" s="17">
        <f>DO69*VLOOKUP('Données projet'!$B$14,Paramètres!$A$1:$I$89,3,0)*VLOOKUP('Données projet'!$B$14,Paramètres!$A$1:$I$89,5,0)</f>
        <v>98.863999999999976</v>
      </c>
      <c r="DQ69" s="13">
        <f t="shared" ref="DQ69:DQ132" si="97">EXP(-1.0587+0.8836*LN(DP69)+0.284)</f>
        <v>26.691181520652496</v>
      </c>
      <c r="DR69" s="20">
        <f t="shared" si="70"/>
        <v>218.67527448180306</v>
      </c>
      <c r="DS69" s="59">
        <f t="shared" si="71"/>
        <v>512.00860781513643</v>
      </c>
      <c r="DT69" s="59">
        <f ca="1">AVERAGE(OFFSET($DS$3,0,0,'Données projet'!$E$14+1,1))-AVERAGE(OFFSET($H$3,0,0,'Données projet'!$E$14+1,1))</f>
        <v>91.053246648097399</v>
      </c>
      <c r="DU69" s="59">
        <f t="shared" ref="DU69:DU132" si="98">$DU$3</f>
        <v>64.716270355703955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>
        <f>EXP(-LN(2)/35)*EA68+(1-EXP(-LN(2)/35))/(LN(2)/35)*DW69*DX69*VLOOKUP('Données projet'!$B$14,Paramètres!$A$1:$I$89,3,0)*0.475*44/12</f>
        <v>0</v>
      </c>
      <c r="EB69" s="21">
        <f>EXP(-LN(2)/25)*EB68+(1-EXP(-LN(2)/25))/(LN(2)/25)*Calculateur!DW69*Calculateur!DY69*VLOOKUP('Données projet'!$B$14,Paramètres!$A$1:$I$89,3,0)*0.475*44/12</f>
        <v>0</v>
      </c>
      <c r="EC69" s="21">
        <f>EXP(-LN(2)/2)*EC68+(1-EXP(-LN(2)/2))/(LN(2)/2)*DW69*DZ69*VLOOKUP('Données projet'!$B$14,Paramètres!$A$1:$I$89,3,0)*0.475*44/12</f>
        <v>0</v>
      </c>
      <c r="ED69" s="22">
        <f t="shared" si="72"/>
        <v>0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16.399999999999999</v>
      </c>
      <c r="EJ69" s="12">
        <f>IF('Données projet'!$A$192&gt;35,EJ68+EI69-ER68,IF(A69&lt;'Données projet'!$A$192,$EG$205^A69,IF(A69='Données projet'!$A$192,'Données projet'!$B$192,EJ68+EI69-ER68)))</f>
        <v>498.39999999999964</v>
      </c>
      <c r="EK69" s="17">
        <f>EJ69*VLOOKUP('Données projet'!$B$15,Paramètres!$A$1:$I$89,3,0)*VLOOKUP('Données projet'!$B$15,Paramètres!$A$1:$I$89,5,0)</f>
        <v>298.04319999999979</v>
      </c>
      <c r="EL69" s="13">
        <f t="shared" ref="EL69:EL132" si="99">EXP(-1.0587+0.8836*LN(EK69)+0.284)</f>
        <v>70.766086927307597</v>
      </c>
      <c r="EM69" s="20">
        <f t="shared" si="73"/>
        <v>642.3428413983936</v>
      </c>
      <c r="EN69" s="59">
        <f t="shared" si="74"/>
        <v>935.67617473172686</v>
      </c>
      <c r="EO69" s="59">
        <f ca="1">AVERAGE(OFFSET($EN$3,0,0,'Données projet'!$E$15+1,1))-AVERAGE(OFFSET($H$3,0,0,'Données projet'!$E$15+1,1))</f>
        <v>316.58509520829671</v>
      </c>
      <c r="EP69" s="59">
        <f t="shared" ref="EP69:EP132" si="100">$EP$3</f>
        <v>240.71332110643596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>
        <f>EXP(-LN(2)/35)*EV68+(1-EXP(-LN(2)/35))/(LN(2)/35)*ER69*ES69*VLOOKUP('Données projet'!$B$15,Paramètres!$A$1:$I$89,3,0)*0.475*44/12</f>
        <v>1.2424231936484726</v>
      </c>
      <c r="EW69" s="21">
        <f>EXP(-LN(2)/25)*EW68+(1-EXP(-LN(2)/25))/(LN(2)/25)*Calculateur!ER69*Calculateur!ET69*VLOOKUP('Données projet'!$B$15,Paramètres!$A$1:$I$89,3,0)*0.475*44/12</f>
        <v>5.6272585940075688</v>
      </c>
      <c r="EX69" s="21">
        <f>EXP(-LN(2)/2)*EX68+(1-EXP(-LN(2)/2))/(LN(2)/2)*ER69*EU69*VLOOKUP('Données projet'!$B$15,Paramètres!$A$1:$I$89,3,0)*0.475*44/12</f>
        <v>8.3691952019275081E-5</v>
      </c>
      <c r="EY69" s="22">
        <f t="shared" si="75"/>
        <v>6.8697654796080609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14.1</v>
      </c>
      <c r="FE69" s="12">
        <f>IF('Données projet'!$A$218&gt;35,FE68+FD69-FM68,IF(A69&lt;'Données projet'!$A$218,$FB$205^A69,IF(A69='Données projet'!$A$218,'Données projet'!$B$218,FE68+FD69-FM68)))</f>
        <v>441.60000000000019</v>
      </c>
      <c r="FF69" s="17">
        <f>FE69*VLOOKUP('Données projet'!$B$16,Paramètres!$A$1:$I$89,3,0)*VLOOKUP('Données projet'!$B$16,Paramètres!$A$1:$I$89,5,0)</f>
        <v>264.07680000000016</v>
      </c>
      <c r="FG69" s="13">
        <f t="shared" ref="FG69:FG132" si="101">EXP(-1.0587+0.8836*LN(FF69)+0.284)</f>
        <v>63.590598521565674</v>
      </c>
      <c r="FH69" s="20">
        <f t="shared" si="76"/>
        <v>570.6873857583937</v>
      </c>
      <c r="FI69" s="59">
        <f t="shared" si="77"/>
        <v>864.02071909172696</v>
      </c>
      <c r="FJ69" s="59">
        <f ca="1">AVERAGE(OFFSET($FI$3,0,0,'Données projet'!$E$16+1,1))-AVERAGE(OFFSET($H$3,0,0,'Données projet'!$E$16+1,1))</f>
        <v>270.30888762640245</v>
      </c>
      <c r="FK69" s="59">
        <f t="shared" ref="FK69:FK132" si="102">$FK$3</f>
        <v>202.23783851977691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>
        <f>EXP(-LN(2)/35)*FQ68+(1-EXP(-LN(2)/35))/(LN(2)/35)*FM69*FN69*VLOOKUP('Données projet'!$B$16,Paramètres!$A$1:$I$89,3,0)*0.475*44/12</f>
        <v>1.0499350932240619</v>
      </c>
      <c r="FR69" s="21">
        <f>EXP(-LN(2)/25)*FR68+(1-EXP(-LN(2)/25))/(LN(2)/25)*Calculateur!FM69*Calculateur!FO69*VLOOKUP('Données projet'!$B$16,Paramètres!$A$1:$I$89,3,0)*0.475*44/12</f>
        <v>4.5316117321301288</v>
      </c>
      <c r="FS69" s="21">
        <f>EXP(-LN(2)/2)*FS68+(1-EXP(-LN(2)/2))/(LN(2)/2)*FM69*FP69*VLOOKUP('Données projet'!$B$16,Paramètres!$A$1:$I$89,3,0)*0.475*44/12</f>
        <v>7.0543703409052216E-5</v>
      </c>
      <c r="FT69" s="22">
        <f t="shared" si="78"/>
        <v>5.5816173690576001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4.9000000000000004</v>
      </c>
      <c r="FZ69" s="12">
        <f>IF('Données projet'!$A$244&gt;35,FZ68+FY69-GH68,IF(A69&lt;'Données projet'!$A$244,$FW$205^A69,IF(A69='Données projet'!$A$244,'Données projet'!$B$244,FZ68+FY69-GH68)))</f>
        <v>309.39999999999981</v>
      </c>
      <c r="GA69" s="17">
        <f>FZ69*VLOOKUP('Données projet'!$B$17,Paramètres!$A$1:$I$89,3,0)*VLOOKUP('Données projet'!$B$17,Paramètres!$A$1:$I$89,5,0)</f>
        <v>246.15863999999985</v>
      </c>
      <c r="GB69" s="13">
        <f t="shared" ref="GB69:GB132" si="103">EXP(-1.0587+0.8836*LN(GA69)+0.284)</f>
        <v>59.762631584626781</v>
      </c>
      <c r="GC69" s="20">
        <f t="shared" si="79"/>
        <v>532.8128813432246</v>
      </c>
      <c r="GD69" s="59">
        <f t="shared" si="80"/>
        <v>826.14621467655797</v>
      </c>
      <c r="GE69" s="59">
        <f ca="1">AVERAGE(OFFSET($GD$3,0,0,'Données projet'!$E$17+1,1))-AVERAGE(OFFSET($H$3,0,0,'Données projet'!$E$17+1,1))</f>
        <v>260.20517190557814</v>
      </c>
      <c r="GF69" s="59">
        <f t="shared" ref="GF69:GF132" si="104">$GF$3</f>
        <v>307.22009971147133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>
        <f>EXP(-LN(2)/35)*GL68+(1-EXP(-LN(2)/35))/(LN(2)/35)*GH69*GI69*VLOOKUP('Données projet'!$B$17,Paramètres!$A$1:$I$89,3,0)*0.475*44/12</f>
        <v>1.5995025683488304</v>
      </c>
      <c r="GM69" s="21">
        <f>EXP(-LN(2)/25)*GM68+(1-EXP(-LN(2)/25))/(LN(2)/25)*Calculateur!GH69*Calculateur!GJ69*VLOOKUP('Données projet'!$B$17,Paramètres!$A$1:$I$89,3,0)*0.475*44/12</f>
        <v>7.5628546620527048</v>
      </c>
      <c r="GN69" s="21">
        <f>EXP(-LN(2)/2)*GN68+(1-EXP(-LN(2)/2))/(LN(2)/2)*GH69*GK69*VLOOKUP('Données projet'!$B$17,Paramètres!$A$1:$I$89,3,0)*0.475*44/12</f>
        <v>9.1701638232258935E-5</v>
      </c>
      <c r="GO69" s="21">
        <f t="shared" si="81"/>
        <v>9.1624489320397693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4.0999999999999996</v>
      </c>
      <c r="GU69" s="12">
        <f>IF('Données projet'!$A$270&gt;35,GU68+GT69-HC68,IF(A69&lt;'Données projet'!$A$270,$GR$205^A69,IF(A69='Données projet'!$A$270,'Données projet'!$B$270,GU68+GT69-HC68)))</f>
        <v>257.59999999999974</v>
      </c>
      <c r="GV69" s="17">
        <f>GU69*VLOOKUP('Données projet'!$B$18,Paramètres!$A$1:$I$89,3,0)*VLOOKUP('Données projet'!$B$18,Paramètres!$A$1:$I$89,5,0)</f>
        <v>204.94655999999981</v>
      </c>
      <c r="GW69" s="13">
        <f t="shared" ref="GW69:GW132" si="105">EXP(-1.0587+0.8836*LN(GV69)+0.284)</f>
        <v>50.829721281867194</v>
      </c>
      <c r="GX69" s="20">
        <f t="shared" si="82"/>
        <v>445.477023232585</v>
      </c>
      <c r="GY69" s="59">
        <f t="shared" si="83"/>
        <v>738.81035656591826</v>
      </c>
      <c r="GZ69" s="59">
        <f ca="1">AVERAGE(OFFSET($GY$3,0,0,'Données projet'!$E$18+1,1))-AVERAGE(OFFSET($H$3,0,0,'Données projet'!$E$18+1,1))</f>
        <v>199.58763537752952</v>
      </c>
      <c r="HA69" s="59">
        <f t="shared" ref="HA69:HA132" si="106">$HA$3</f>
        <v>242.62852778451929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>
        <f>EXP(-LN(2)/35)*HG68+(1-EXP(-LN(2)/35))/(LN(2)/35)*HC69*HD69*VLOOKUP('Données projet'!$B$18,Paramètres!$A$1:$I$89,3,0)*0.475*44/12</f>
        <v>0</v>
      </c>
      <c r="HH69" s="21">
        <f>EXP(-LN(2)/25)*HH68+(1-EXP(-LN(2)/25))/(LN(2)/25)*Calculateur!HC69*Calculateur!HE69*VLOOKUP('Données projet'!$B$18,Paramètres!$A$1:$I$89,3,0)*0.475*44/12</f>
        <v>3.7899689177456439</v>
      </c>
      <c r="HI69" s="21">
        <f>EXP(-LN(2)/2)*HI68+(1-EXP(-LN(2)/2))/(LN(2)/2)*HC69*HF69*VLOOKUP('Données projet'!$B$18,Paramètres!$A$1:$I$89,3,0)*0.475*44/12</f>
        <v>4.1052087376480941E-5</v>
      </c>
      <c r="HJ69" s="22">
        <f t="shared" si="84"/>
        <v>3.7900099698330205</v>
      </c>
    </row>
    <row r="70" spans="1:218" x14ac:dyDescent="0.2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59.576400000000064</v>
      </c>
      <c r="D70" s="11">
        <f t="shared" si="86"/>
        <v>17.061125519726964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591.58791629262976</v>
      </c>
      <c r="H70" s="67">
        <f t="shared" si="56"/>
        <v>426.81035694685789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-2.2737367544323206E-13</v>
      </c>
      <c r="O70" s="13">
        <f>N70*VLOOKUP('Données projet'!$B$9,Paramètres!$A$1:$I$89,3,0)*VLOOKUP('Données projet'!$B$9,Paramètres!$A$1:$I$89,5,0)</f>
        <v>-1.2710188457276673E-13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255.5374979188561</v>
      </c>
      <c r="T70" s="59">
        <f t="shared" si="88"/>
        <v>343.10418468620901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1.4850207109042493</v>
      </c>
      <c r="AA70" s="21">
        <f>EXP(-LN(2)/25)*AA69+(1-EXP(-LN(2)/25))/(LN(2)/25)*Calculateur!V70*Calculateur!X70*VLOOKUP('Données projet'!$B$9,Paramètres!$A$1:$I$89,3,0)*0.475*44/12</f>
        <v>5.7215743348850863</v>
      </c>
      <c r="AB70" s="21">
        <f>EXP(-LN(2)/2)*AB69+(1-EXP(-LN(2)/2))/(LN(2)/2)*V70*Y70*VLOOKUP('Données projet'!$B$9,Paramètres!$A$1:$I$89,3,0)*0.475*44/12</f>
        <v>4.5657568495616185E-6</v>
      </c>
      <c r="AC70" s="22">
        <f t="shared" si="57"/>
        <v>7.206599611546185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13.296703296703299</v>
      </c>
      <c r="AI70" s="13">
        <f>IF('Données projet'!$A$62&gt;35,AI69+AH70-AQ69,IF(A70&lt;'Données projet'!$A$62,$AF$205^A70,IF(A70='Données projet'!$A$62,'Données projet'!$B$62,AI69+AH70-AQ69)))</f>
        <v>429.17912087912094</v>
      </c>
      <c r="AJ70" s="13">
        <f>AI70*VLOOKUP('Données projet'!$B$10,Paramètres!$A$1:$I$89,3,0)*VLOOKUP('Données projet'!$B$10,Paramètres!$A$1:$I$89,5,0)</f>
        <v>239.91112857142861</v>
      </c>
      <c r="AK70" s="13">
        <f t="shared" si="89"/>
        <v>58.420408949287598</v>
      </c>
      <c r="AL70" s="20">
        <f t="shared" si="58"/>
        <v>519.59409451524732</v>
      </c>
      <c r="AM70" s="59">
        <f t="shared" si="59"/>
        <v>812.92742784858069</v>
      </c>
      <c r="AN70" s="59">
        <f ca="1">AVERAGE(OFFSET($AM$3,0,0,'Données projet'!$E$10+1,1))-AVERAGE(OFFSET($H$3,0,0,'Données projet'!$E$10+1,1))</f>
        <v>224.7049802939942</v>
      </c>
      <c r="AO70" s="59">
        <f t="shared" si="90"/>
        <v>203.48513862195352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1.0722575307649402</v>
      </c>
      <c r="AV70" s="21">
        <f>EXP(-LN(2)/25)*AV69+(1-EXP(-LN(2)/25))/(LN(2)/25)*Calculateur!AQ70*Calculateur!AS70*VLOOKUP('Données projet'!$B$10,Paramètres!$A$1:$I$89,3,0)*0.475*44/12</f>
        <v>6.9993246817925963</v>
      </c>
      <c r="AW70" s="21">
        <f>EXP(-LN(2)/2)*AW69+(1-EXP(-LN(2)/2))/(LN(2)/2)*AQ70*AT70*VLOOKUP('Données projet'!$B$10,Paramètres!$A$1:$I$89,3,0)*0.475*44/12</f>
        <v>2.417034121224933E-5</v>
      </c>
      <c r="AX70" s="21">
        <f t="shared" si="60"/>
        <v>8.0716063828987501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8.5</v>
      </c>
      <c r="BD70" s="12">
        <f>IF('Données projet'!$A$88&gt;35,BD69+BC70-BL69,IF(A70&lt;'Données projet'!$A$88,$BA$205^A70,IF(A70='Données projet'!$A$88,'Données projet'!$B$88,BD69+BC70-BL69)))</f>
        <v>385.50000000000023</v>
      </c>
      <c r="BE70" s="13">
        <f>BD70*VLOOKUP('Données projet'!$B$11,Paramètres!$A$1:$I$89,3,0)*VLOOKUP('Données projet'!$B$11,Paramètres!$A$1:$I$89,5,0)</f>
        <v>210.48300000000012</v>
      </c>
      <c r="BF70" s="13">
        <f t="shared" si="91"/>
        <v>52.041119233873296</v>
      </c>
      <c r="BG70" s="20">
        <f t="shared" si="61"/>
        <v>457.22950766566288</v>
      </c>
      <c r="BH70" s="59">
        <f t="shared" si="62"/>
        <v>750.56284099899619</v>
      </c>
      <c r="BI70" s="59">
        <f ca="1">AVERAGE(OFFSET($BH$3,0,0,'Données projet'!$E$11+1,1))-AVERAGE(OFFSET($H$3,0,0,'Données projet'!$E$11+1,1))</f>
        <v>210.04871822652808</v>
      </c>
      <c r="BJ70" s="59">
        <f t="shared" si="92"/>
        <v>250.17540614049324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3.5087289610930359</v>
      </c>
      <c r="BQ70" s="21">
        <f>EXP(-LN(2)/25)*BQ69+(1-EXP(-LN(2)/25))/(LN(2)/25)*Calculateur!BL70*Calculateur!BN70*VLOOKUP('Données projet'!$B$11,Paramètres!$A$1:$I$89,3,0)*0.475*44/12</f>
        <v>9.9769994500069821</v>
      </c>
      <c r="BR70" s="21">
        <f>EXP(-LN(2)/2)*BR69+(1-EXP(-LN(2)/2))/(LN(2)/2)*BL70*BO70*VLOOKUP('Données projet'!$B$11,Paramètres!$A$1:$I$89,3,0)*0.475*44/12</f>
        <v>5.8139422939764889E-5</v>
      </c>
      <c r="BS70" s="22">
        <f t="shared" si="63"/>
        <v>13.485786550522958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7.1</v>
      </c>
      <c r="BY70" s="12">
        <f>IF('Données projet'!$A$114&gt;35,BY69+BX70-CG69,IF(A70&lt;'Données projet'!$A$114,$BV$205^A70,IF(A70='Données projet'!$A$114,'Données projet'!$B$114,BY69+BX70-CG69)))</f>
        <v>332.69999999999993</v>
      </c>
      <c r="BZ70" s="13">
        <f>BY70*VLOOKUP('Données projet'!$B$12,Paramètres!$A$1:$I$89,3,0)*VLOOKUP('Données projet'!$B$12,Paramètres!$A$1:$I$89,5,0)</f>
        <v>181.65419999999995</v>
      </c>
      <c r="CA70" s="13">
        <f t="shared" si="93"/>
        <v>45.690019016400768</v>
      </c>
      <c r="CB70" s="20">
        <f t="shared" si="64"/>
        <v>395.95784812023118</v>
      </c>
      <c r="CC70" s="59">
        <f t="shared" si="65"/>
        <v>689.29118145356449</v>
      </c>
      <c r="CD70" s="59">
        <f ca="1">AVERAGE(OFFSET($CC$3,0,0,'Données projet'!$E$12+1,1))-AVERAGE(OFFSET($H$3,0,0,'Données projet'!$E$12+1,1))</f>
        <v>168.72306536277267</v>
      </c>
      <c r="CE70" s="59">
        <f t="shared" si="94"/>
        <v>203.35476578922339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1.4619704004554321</v>
      </c>
      <c r="CL70" s="21">
        <f>EXP(-LN(2)/25)*CL69+(1-EXP(-LN(2)/25))/(LN(2)/25)*Calculateur!CG70*Calculateur!CI70*VLOOKUP('Données projet'!$B$12,Paramètres!$A$1:$I$89,3,0)*0.475*44/12</f>
        <v>8.239873068049981</v>
      </c>
      <c r="CM70" s="21">
        <f>EXP(-LN(2)/2)*CM69+(1-EXP(-LN(2)/2))/(LN(2)/2)*CG70*CJ70*VLOOKUP('Données projet'!$B$12,Paramètres!$A$1:$I$89,3,0)*0.475*44/12</f>
        <v>5.4012289931940703E-5</v>
      </c>
      <c r="CN70" s="22">
        <f t="shared" si="66"/>
        <v>9.7018974807953438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14</v>
      </c>
      <c r="CT70" s="12">
        <f>IF('Données projet'!$A$140&gt;35,CT69+CS70-DB69,IF(A70&lt;'Données projet'!$A$140,$CQ$205^A70,IF(A70='Données projet'!$A$140,'Données projet'!$B$140,CT69+CS70-DB69)))</f>
        <v>383.38461538461536</v>
      </c>
      <c r="CU70" s="17">
        <f>CT70*VLOOKUP('Données projet'!$B$13,Paramètres!$A$1:$I$89,3,0)*VLOOKUP('Données projet'!$B$13,Paramètres!$A$1:$I$89,5,0)</f>
        <v>184.40799999999999</v>
      </c>
      <c r="CV70" s="13">
        <f t="shared" si="95"/>
        <v>46.301499785027048</v>
      </c>
      <c r="CW70" s="20">
        <f t="shared" si="67"/>
        <v>401.81904545892212</v>
      </c>
      <c r="CX70" s="59">
        <f t="shared" si="68"/>
        <v>695.15237879225538</v>
      </c>
      <c r="CY70" s="59">
        <f ca="1">AVERAGE(OFFSET($CX$3,0,0,'Données projet'!$E$13+1,1))-AVERAGE(OFFSET($H$3,0,0,'Données projet'!$E$13+1,1))</f>
        <v>304.15237106473313</v>
      </c>
      <c r="CZ70" s="59">
        <f t="shared" si="96"/>
        <v>120.85458928724336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>
        <f>EXP(-LN(2)/35)*DF69+(1-EXP(-LN(2)/35))/(LN(2)/35)*DB70*DC70*VLOOKUP('Données projet'!$B$13,Paramètres!$A$1:$I$89,3,0)*0.475*44/12</f>
        <v>0</v>
      </c>
      <c r="DG70" s="21">
        <f>EXP(-LN(2)/25)*DG69+(1-EXP(-LN(2)/25))/(LN(2)/25)*Calculateur!DB70*Calculateur!DD70*VLOOKUP('Données projet'!$B$13,Paramètres!$A$1:$I$89,3,0)*0.475*44/12</f>
        <v>0</v>
      </c>
      <c r="DH70" s="21">
        <f>EXP(-LN(2)/2)*DH69+(1-EXP(-LN(2)/2))/(LN(2)/2)*DB70*DE70*VLOOKUP('Données projet'!$B$13,Paramètres!$A$1:$I$89,3,0)*0.475*44/12</f>
        <v>0</v>
      </c>
      <c r="DI70" s="22">
        <f t="shared" si="69"/>
        <v>0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8.2307692307692299</v>
      </c>
      <c r="DO70" s="12">
        <f>IF('Données projet'!$A$166&gt;35,DO69+DN70-DW69,IF(A70&lt;'Données projet'!$A$166,$DL$205^A70,IF(A70='Données projet'!$A$166,'Données projet'!$B$166,DO69+DN70-DW69)))</f>
        <v>213.76923076923069</v>
      </c>
      <c r="DP70" s="17">
        <f>DO70*VLOOKUP('Données projet'!$B$14,Paramètres!$A$1:$I$89,3,0)*VLOOKUP('Données projet'!$B$14,Paramètres!$A$1:$I$89,5,0)</f>
        <v>102.82299999999996</v>
      </c>
      <c r="DQ70" s="13">
        <f t="shared" si="97"/>
        <v>27.63344483270858</v>
      </c>
      <c r="DR70" s="20">
        <f t="shared" si="70"/>
        <v>227.21164141696735</v>
      </c>
      <c r="DS70" s="59">
        <f t="shared" si="71"/>
        <v>520.54497475030064</v>
      </c>
      <c r="DT70" s="59">
        <f ca="1">AVERAGE(OFFSET($DS$3,0,0,'Données projet'!$E$14+1,1))-AVERAGE(OFFSET($H$3,0,0,'Données projet'!$E$14+1,1))</f>
        <v>91.053246648097399</v>
      </c>
      <c r="DU70" s="59">
        <f t="shared" si="98"/>
        <v>64.716270355703955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>
        <f>EXP(-LN(2)/35)*EA69+(1-EXP(-LN(2)/35))/(LN(2)/35)*DW70*DX70*VLOOKUP('Données projet'!$B$14,Paramètres!$A$1:$I$89,3,0)*0.475*44/12</f>
        <v>0</v>
      </c>
      <c r="EB70" s="21">
        <f>EXP(-LN(2)/25)*EB69+(1-EXP(-LN(2)/25))/(LN(2)/25)*Calculateur!DW70*Calculateur!DY70*VLOOKUP('Données projet'!$B$14,Paramètres!$A$1:$I$89,3,0)*0.475*44/12</f>
        <v>0</v>
      </c>
      <c r="EC70" s="21">
        <f>EXP(-LN(2)/2)*EC69+(1-EXP(-LN(2)/2))/(LN(2)/2)*DW70*DZ70*VLOOKUP('Données projet'!$B$14,Paramètres!$A$1:$I$89,3,0)*0.475*44/12</f>
        <v>0</v>
      </c>
      <c r="ED70" s="22">
        <f t="shared" si="72"/>
        <v>0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16.399999999999999</v>
      </c>
      <c r="EJ70" s="12">
        <f>IF('Données projet'!$A$192&gt;35,EJ69+EI70-ER69,IF(A70&lt;'Données projet'!$A$192,$EG$205^A70,IF(A70='Données projet'!$A$192,'Données projet'!$B$192,EJ69+EI70-ER69)))</f>
        <v>514.79999999999961</v>
      </c>
      <c r="EK70" s="17">
        <f>EJ70*VLOOKUP('Données projet'!$B$15,Paramètres!$A$1:$I$89,3,0)*VLOOKUP('Données projet'!$B$15,Paramètres!$A$1:$I$89,5,0)</f>
        <v>307.85039999999975</v>
      </c>
      <c r="EL70" s="13">
        <f t="shared" si="99"/>
        <v>72.819726494623737</v>
      </c>
      <c r="EM70" s="20">
        <f t="shared" si="73"/>
        <v>663.00047031146926</v>
      </c>
      <c r="EN70" s="59">
        <f t="shared" si="74"/>
        <v>956.33380364480263</v>
      </c>
      <c r="EO70" s="59">
        <f ca="1">AVERAGE(OFFSET($EN$3,0,0,'Données projet'!$E$15+1,1))-AVERAGE(OFFSET($H$3,0,0,'Données projet'!$E$15+1,1))</f>
        <v>316.58509520829671</v>
      </c>
      <c r="EP70" s="59">
        <f t="shared" si="100"/>
        <v>240.71332110643596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>
        <f>EXP(-LN(2)/35)*EV69+(1-EXP(-LN(2)/35))/(LN(2)/35)*ER70*ES70*VLOOKUP('Données projet'!$B$15,Paramètres!$A$1:$I$89,3,0)*0.475*44/12</f>
        <v>1.2180600326243474</v>
      </c>
      <c r="EW70" s="21">
        <f>EXP(-LN(2)/25)*EW69+(1-EXP(-LN(2)/25))/(LN(2)/25)*Calculateur!ER70*Calculateur!ET70*VLOOKUP('Données projet'!$B$15,Paramètres!$A$1:$I$89,3,0)*0.475*44/12</f>
        <v>5.4733809118297634</v>
      </c>
      <c r="EX70" s="21">
        <f>EXP(-LN(2)/2)*EX69+(1-EXP(-LN(2)/2))/(LN(2)/2)*ER70*EU70*VLOOKUP('Données projet'!$B$15,Paramètres!$A$1:$I$89,3,0)*0.475*44/12</f>
        <v>5.9179146803568586E-5</v>
      </c>
      <c r="EY70" s="22">
        <f t="shared" si="75"/>
        <v>6.691500123600914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14.1</v>
      </c>
      <c r="FE70" s="12">
        <f>IF('Données projet'!$A$218&gt;35,FE69+FD70-FM69,IF(A70&lt;'Données projet'!$A$218,$FB$205^A70,IF(A70='Données projet'!$A$218,'Données projet'!$B$218,FE69+FD70-FM69)))</f>
        <v>455.70000000000022</v>
      </c>
      <c r="FF70" s="17">
        <f>FE70*VLOOKUP('Données projet'!$B$16,Paramètres!$A$1:$I$89,3,0)*VLOOKUP('Données projet'!$B$16,Paramètres!$A$1:$I$89,5,0)</f>
        <v>272.50860000000011</v>
      </c>
      <c r="FG70" s="13">
        <f t="shared" si="101"/>
        <v>65.381370626128245</v>
      </c>
      <c r="FH70" s="20">
        <f t="shared" si="76"/>
        <v>588.49169884050696</v>
      </c>
      <c r="FI70" s="59">
        <f t="shared" si="77"/>
        <v>881.82503217384033</v>
      </c>
      <c r="FJ70" s="59">
        <f ca="1">AVERAGE(OFFSET($FI$3,0,0,'Données projet'!$E$16+1,1))-AVERAGE(OFFSET($H$3,0,0,'Données projet'!$E$16+1,1))</f>
        <v>270.30888762640245</v>
      </c>
      <c r="FK70" s="59">
        <f t="shared" si="102"/>
        <v>202.23783851977691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>
        <f>EXP(-LN(2)/35)*FQ69+(1-EXP(-LN(2)/35))/(LN(2)/35)*FM70*FN70*VLOOKUP('Données projet'!$B$16,Paramètres!$A$1:$I$89,3,0)*0.475*44/12</f>
        <v>1.0293465064431109</v>
      </c>
      <c r="FR70" s="21">
        <f>EXP(-LN(2)/25)*FR69+(1-EXP(-LN(2)/25))/(LN(2)/25)*Calculateur!FM70*Calculateur!FO70*VLOOKUP('Données projet'!$B$16,Paramètres!$A$1:$I$89,3,0)*0.475*44/12</f>
        <v>4.4076945710079265</v>
      </c>
      <c r="FS70" s="21">
        <f>EXP(-LN(2)/2)*FS69+(1-EXP(-LN(2)/2))/(LN(2)/2)*FM70*FP70*VLOOKUP('Données projet'!$B$16,Paramètres!$A$1:$I$89,3,0)*0.475*44/12</f>
        <v>4.9881931050553392E-5</v>
      </c>
      <c r="FT70" s="22">
        <f t="shared" si="78"/>
        <v>5.437090959382088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4.9000000000000004</v>
      </c>
      <c r="FZ70" s="12">
        <f>IF('Données projet'!$A$244&gt;35,FZ69+FY70-GH69,IF(A70&lt;'Données projet'!$A$244,$FW$205^A70,IF(A70='Données projet'!$A$244,'Données projet'!$B$244,FZ69+FY70-GH69)))</f>
        <v>314.29999999999978</v>
      </c>
      <c r="GA70" s="17">
        <f>FZ70*VLOOKUP('Données projet'!$B$17,Paramètres!$A$1:$I$89,3,0)*VLOOKUP('Données projet'!$B$17,Paramètres!$A$1:$I$89,5,0)</f>
        <v>250.05707999999984</v>
      </c>
      <c r="GB70" s="13">
        <f t="shared" si="103"/>
        <v>60.598163512847748</v>
      </c>
      <c r="GC70" s="20">
        <f t="shared" si="79"/>
        <v>541.05788245154292</v>
      </c>
      <c r="GD70" s="59">
        <f t="shared" si="80"/>
        <v>834.39121578487629</v>
      </c>
      <c r="GE70" s="59">
        <f ca="1">AVERAGE(OFFSET($GD$3,0,0,'Données projet'!$E$17+1,1))-AVERAGE(OFFSET($H$3,0,0,'Données projet'!$E$17+1,1))</f>
        <v>260.20517190557814</v>
      </c>
      <c r="GF70" s="59">
        <f t="shared" si="104"/>
        <v>307.22009971147133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>
        <f>EXP(-LN(2)/35)*GL69+(1-EXP(-LN(2)/35))/(LN(2)/35)*GH70*GI70*VLOOKUP('Données projet'!$B$17,Paramètres!$A$1:$I$89,3,0)*0.475*44/12</f>
        <v>1.5681372985837441</v>
      </c>
      <c r="GM70" s="21">
        <f>EXP(-LN(2)/25)*GM69+(1-EXP(-LN(2)/25))/(LN(2)/25)*Calculateur!GH70*Calculateur!GJ70*VLOOKUP('Données projet'!$B$17,Paramètres!$A$1:$I$89,3,0)*0.475*44/12</f>
        <v>7.3560480036056317</v>
      </c>
      <c r="GN70" s="21">
        <f>EXP(-LN(2)/2)*GN69+(1-EXP(-LN(2)/2))/(LN(2)/2)*GH70*GK70*VLOOKUP('Données projet'!$B$17,Paramètres!$A$1:$I$89,3,0)*0.475*44/12</f>
        <v>6.4842850239945859E-5</v>
      </c>
      <c r="GO70" s="21">
        <f t="shared" si="81"/>
        <v>8.9242501450396148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4.0999999999999996</v>
      </c>
      <c r="GU70" s="12">
        <f>IF('Données projet'!$A$270&gt;35,GU69+GT70-HC69,IF(A70&lt;'Données projet'!$A$270,$GR$205^A70,IF(A70='Données projet'!$A$270,'Données projet'!$B$270,GU69+GT70-HC69)))</f>
        <v>261.69999999999976</v>
      </c>
      <c r="GV70" s="17">
        <f>GU70*VLOOKUP('Données projet'!$B$18,Paramètres!$A$1:$I$89,3,0)*VLOOKUP('Données projet'!$B$18,Paramètres!$A$1:$I$89,5,0)</f>
        <v>208.20851999999979</v>
      </c>
      <c r="GW70" s="13">
        <f t="shared" si="105"/>
        <v>51.543907255547111</v>
      </c>
      <c r="GX70" s="20">
        <f t="shared" si="82"/>
        <v>452.40214413674408</v>
      </c>
      <c r="GY70" s="59">
        <f t="shared" si="83"/>
        <v>745.7354774700774</v>
      </c>
      <c r="GZ70" s="59">
        <f ca="1">AVERAGE(OFFSET($GY$3,0,0,'Données projet'!$E$18+1,1))-AVERAGE(OFFSET($H$3,0,0,'Données projet'!$E$18+1,1))</f>
        <v>199.58763537752952</v>
      </c>
      <c r="HA70" s="59">
        <f t="shared" si="106"/>
        <v>242.62852778451929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>
        <f>EXP(-LN(2)/35)*HG69+(1-EXP(-LN(2)/35))/(LN(2)/35)*HC70*HD70*VLOOKUP('Données projet'!$B$18,Paramètres!$A$1:$I$89,3,0)*0.475*44/12</f>
        <v>0</v>
      </c>
      <c r="HH70" s="21">
        <f>EXP(-LN(2)/25)*HH69+(1-EXP(-LN(2)/25))/(LN(2)/25)*Calculateur!HC70*Calculateur!HE70*VLOOKUP('Données projet'!$B$18,Paramètres!$A$1:$I$89,3,0)*0.475*44/12</f>
        <v>3.686332018384086</v>
      </c>
      <c r="HI70" s="21">
        <f>EXP(-LN(2)/2)*HI69+(1-EXP(-LN(2)/2))/(LN(2)/2)*HC70*HF70*VLOOKUP('Données projet'!$B$18,Paramètres!$A$1:$I$89,3,0)*0.475*44/12</f>
        <v>2.9028209365772339E-5</v>
      </c>
      <c r="HJ70" s="22">
        <f t="shared" si="84"/>
        <v>3.6863610465934515</v>
      </c>
    </row>
    <row r="71" spans="1:218" x14ac:dyDescent="0.2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60.465600000000066</v>
      </c>
      <c r="D71" s="11">
        <f t="shared" si="86"/>
        <v>17.285934288248221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600.18728222507445</v>
      </c>
      <c r="H71" s="67">
        <f t="shared" si="56"/>
        <v>428.75058888536569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-2.2737367544323206E-13</v>
      </c>
      <c r="O71" s="13">
        <f>N71*VLOOKUP('Données projet'!$B$9,Paramètres!$A$1:$I$89,3,0)*VLOOKUP('Données projet'!$B$9,Paramètres!$A$1:$I$89,5,0)</f>
        <v>-1.2710188457276673E-13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255.5374979188561</v>
      </c>
      <c r="T71" s="59">
        <f t="shared" si="88"/>
        <v>343.10418468620901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1.455900360536613</v>
      </c>
      <c r="AA71" s="21">
        <f>EXP(-LN(2)/25)*AA70+(1-EXP(-LN(2)/25))/(LN(2)/25)*Calculateur!V71*Calculateur!X71*VLOOKUP('Données projet'!$B$9,Paramètres!$A$1:$I$89,3,0)*0.475*44/12</f>
        <v>5.5651175838131364</v>
      </c>
      <c r="AB71" s="21">
        <f>EXP(-LN(2)/2)*AB70+(1-EXP(-LN(2)/2))/(LN(2)/2)*V71*Y71*VLOOKUP('Données projet'!$B$9,Paramètres!$A$1:$I$89,3,0)*0.475*44/12</f>
        <v>3.228477629573948E-6</v>
      </c>
      <c r="AC71" s="22">
        <f t="shared" si="57"/>
        <v>7.0210211728273784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13.296703296703299</v>
      </c>
      <c r="AI71" s="13">
        <f>IF('Données projet'!$A$62&gt;35,AI70+AH71-AQ70,IF(A71&lt;'Données projet'!$A$62,$AF$205^A71,IF(A71='Données projet'!$A$62,'Données projet'!$B$62,AI70+AH71-AQ70)))</f>
        <v>442.47582417582424</v>
      </c>
      <c r="AJ71" s="13">
        <f>AI71*VLOOKUP('Données projet'!$B$10,Paramètres!$A$1:$I$89,3,0)*VLOOKUP('Données projet'!$B$10,Paramètres!$A$1:$I$89,5,0)</f>
        <v>247.34398571428574</v>
      </c>
      <c r="AK71" s="13">
        <f t="shared" si="89"/>
        <v>60.016842302819605</v>
      </c>
      <c r="AL71" s="20">
        <f t="shared" si="58"/>
        <v>535.32010879645838</v>
      </c>
      <c r="AM71" s="59">
        <f t="shared" si="59"/>
        <v>828.65344212979176</v>
      </c>
      <c r="AN71" s="59">
        <f ca="1">AVERAGE(OFFSET($AM$3,0,0,'Données projet'!$E$10+1,1))-AVERAGE(OFFSET($H$3,0,0,'Données projet'!$E$10+1,1))</f>
        <v>224.7049802939942</v>
      </c>
      <c r="AO71" s="59">
        <f t="shared" si="90"/>
        <v>203.48513862195352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1.0512312145991551</v>
      </c>
      <c r="AV71" s="21">
        <f>EXP(-LN(2)/25)*AV70+(1-EXP(-LN(2)/25))/(LN(2)/25)*Calculateur!AQ71*Calculateur!AS71*VLOOKUP('Données projet'!$B$10,Paramètres!$A$1:$I$89,3,0)*0.475*44/12</f>
        <v>6.8079277802904903</v>
      </c>
      <c r="AW71" s="21">
        <f>EXP(-LN(2)/2)*AW70+(1-EXP(-LN(2)/2))/(LN(2)/2)*AQ71*AT71*VLOOKUP('Données projet'!$B$10,Paramètres!$A$1:$I$89,3,0)*0.475*44/12</f>
        <v>1.7091012174774179E-5</v>
      </c>
      <c r="AX71" s="21">
        <f t="shared" si="60"/>
        <v>7.8591760859018196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8.5</v>
      </c>
      <c r="BD71" s="12">
        <f>IF('Données projet'!$A$88&gt;35,BD70+BC71-BL70,IF(A71&lt;'Données projet'!$A$88,$BA$205^A71,IF(A71='Données projet'!$A$88,'Données projet'!$B$88,BD70+BC71-BL70)))</f>
        <v>394.00000000000023</v>
      </c>
      <c r="BE71" s="13">
        <f>BD71*VLOOKUP('Données projet'!$B$11,Paramètres!$A$1:$I$89,3,0)*VLOOKUP('Données projet'!$B$11,Paramètres!$A$1:$I$89,5,0)</f>
        <v>215.12400000000014</v>
      </c>
      <c r="BF71" s="13">
        <f t="shared" si="91"/>
        <v>53.053732774689799</v>
      </c>
      <c r="BG71" s="20">
        <f t="shared" si="61"/>
        <v>467.07621791591828</v>
      </c>
      <c r="BH71" s="59">
        <f t="shared" si="62"/>
        <v>760.40955124925154</v>
      </c>
      <c r="BI71" s="59">
        <f ca="1">AVERAGE(OFFSET($BH$3,0,0,'Données projet'!$E$11+1,1))-AVERAGE(OFFSET($H$3,0,0,'Données projet'!$E$11+1,1))</f>
        <v>210.04871822652808</v>
      </c>
      <c r="BJ71" s="59">
        <f t="shared" si="92"/>
        <v>250.17540614049324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3.4399249262793492</v>
      </c>
      <c r="BQ71" s="21">
        <f>EXP(-LN(2)/25)*BQ70+(1-EXP(-LN(2)/25))/(LN(2)/25)*Calculateur!BL71*Calculateur!BN71*VLOOKUP('Données projet'!$B$11,Paramètres!$A$1:$I$89,3,0)*0.475*44/12</f>
        <v>9.7041778753789423</v>
      </c>
      <c r="BR71" s="21">
        <f>EXP(-LN(2)/2)*BR70+(1-EXP(-LN(2)/2))/(LN(2)/2)*BL71*BO71*VLOOKUP('Données projet'!$B$11,Paramètres!$A$1:$I$89,3,0)*0.475*44/12</f>
        <v>4.1110780214980477E-5</v>
      </c>
      <c r="BS71" s="22">
        <f t="shared" si="63"/>
        <v>13.144143912438507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7.1</v>
      </c>
      <c r="BY71" s="12">
        <f>IF('Données projet'!$A$114&gt;35,BY70+BX71-CG70,IF(A71&lt;'Données projet'!$A$114,$BV$205^A71,IF(A71='Données projet'!$A$114,'Données projet'!$B$114,BY70+BX71-CG70)))</f>
        <v>339.79999999999995</v>
      </c>
      <c r="BZ71" s="13">
        <f>BY71*VLOOKUP('Données projet'!$B$12,Paramètres!$A$1:$I$89,3,0)*VLOOKUP('Données projet'!$B$12,Paramètres!$A$1:$I$89,5,0)</f>
        <v>185.53079999999997</v>
      </c>
      <c r="CA71" s="13">
        <f t="shared" si="93"/>
        <v>46.550511532337509</v>
      </c>
      <c r="CB71" s="20">
        <f t="shared" si="64"/>
        <v>404.20828425215444</v>
      </c>
      <c r="CC71" s="59">
        <f t="shared" si="65"/>
        <v>697.54161758548776</v>
      </c>
      <c r="CD71" s="59">
        <f ca="1">AVERAGE(OFFSET($CC$3,0,0,'Données projet'!$E$12+1,1))-AVERAGE(OFFSET($H$3,0,0,'Données projet'!$E$12+1,1))</f>
        <v>168.72306536277267</v>
      </c>
      <c r="CE71" s="59">
        <f t="shared" si="94"/>
        <v>203.35476578922339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1.433302052616396</v>
      </c>
      <c r="CL71" s="21">
        <f>EXP(-LN(2)/25)*CL70+(1-EXP(-LN(2)/25))/(LN(2)/25)*Calculateur!CG71*Calculateur!CI71*VLOOKUP('Données projet'!$B$12,Paramètres!$A$1:$I$89,3,0)*0.475*44/12</f>
        <v>8.0145533056880627</v>
      </c>
      <c r="CM71" s="21">
        <f>EXP(-LN(2)/2)*CM70+(1-EXP(-LN(2)/2))/(LN(2)/2)*CG71*CJ71*VLOOKUP('Données projet'!$B$12,Paramètres!$A$1:$I$89,3,0)*0.475*44/12</f>
        <v>3.8192456478289158E-5</v>
      </c>
      <c r="CN71" s="22">
        <f t="shared" si="66"/>
        <v>9.4478935507609361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14</v>
      </c>
      <c r="CT71" s="12">
        <f>IF('Données projet'!$A$140&gt;35,CT70+CS71-DB70,IF(A71&lt;'Données projet'!$A$140,$CQ$205^A71,IF(A71='Données projet'!$A$140,'Données projet'!$B$140,CT70+CS71-DB70)))</f>
        <v>397.38461538461536</v>
      </c>
      <c r="CU71" s="17">
        <f>CT71*VLOOKUP('Données projet'!$B$13,Paramètres!$A$1:$I$89,3,0)*VLOOKUP('Données projet'!$B$13,Paramètres!$A$1:$I$89,5,0)</f>
        <v>191.142</v>
      </c>
      <c r="CV71" s="13">
        <f t="shared" si="95"/>
        <v>47.792344713101969</v>
      </c>
      <c r="CW71" s="20">
        <f t="shared" si="67"/>
        <v>416.14398370865251</v>
      </c>
      <c r="CX71" s="59">
        <f t="shared" si="68"/>
        <v>709.47731704198577</v>
      </c>
      <c r="CY71" s="59">
        <f ca="1">AVERAGE(OFFSET($CX$3,0,0,'Données projet'!$E$13+1,1))-AVERAGE(OFFSET($H$3,0,0,'Données projet'!$E$13+1,1))</f>
        <v>304.15237106473313</v>
      </c>
      <c r="CZ71" s="59">
        <f t="shared" si="96"/>
        <v>120.85458928724336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>
        <f>EXP(-LN(2)/35)*DF70+(1-EXP(-LN(2)/35))/(LN(2)/35)*DB71*DC71*VLOOKUP('Données projet'!$B$13,Paramètres!$A$1:$I$89,3,0)*0.475*44/12</f>
        <v>0</v>
      </c>
      <c r="DG71" s="21">
        <f>EXP(-LN(2)/25)*DG70+(1-EXP(-LN(2)/25))/(LN(2)/25)*Calculateur!DB71*Calculateur!DD71*VLOOKUP('Données projet'!$B$13,Paramètres!$A$1:$I$89,3,0)*0.475*44/12</f>
        <v>0</v>
      </c>
      <c r="DH71" s="21">
        <f>EXP(-LN(2)/2)*DH70+(1-EXP(-LN(2)/2))/(LN(2)/2)*DB71*DE71*VLOOKUP('Données projet'!$B$13,Paramètres!$A$1:$I$89,3,0)*0.475*44/12</f>
        <v>0</v>
      </c>
      <c r="DI71" s="22">
        <f t="shared" si="69"/>
        <v>0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8.2307692307692299</v>
      </c>
      <c r="DO71" s="12">
        <f>IF('Données projet'!$A$166&gt;35,DO70+DN71-DW70,IF(A71&lt;'Données projet'!$A$166,$DL$205^A71,IF(A71='Données projet'!$A$166,'Données projet'!$B$166,DO70+DN71-DW70)))</f>
        <v>221.99999999999991</v>
      </c>
      <c r="DP71" s="17">
        <f>DO71*VLOOKUP('Données projet'!$B$14,Paramètres!$A$1:$I$89,3,0)*VLOOKUP('Données projet'!$B$14,Paramètres!$A$1:$I$89,5,0)</f>
        <v>106.78199999999997</v>
      </c>
      <c r="DQ71" s="13">
        <f t="shared" si="97"/>
        <v>28.571493499686834</v>
      </c>
      <c r="DR71" s="20">
        <f t="shared" si="70"/>
        <v>235.74066784528785</v>
      </c>
      <c r="DS71" s="59">
        <f t="shared" si="71"/>
        <v>529.07400117862119</v>
      </c>
      <c r="DT71" s="59">
        <f ca="1">AVERAGE(OFFSET($DS$3,0,0,'Données projet'!$E$14+1,1))-AVERAGE(OFFSET($H$3,0,0,'Données projet'!$E$14+1,1))</f>
        <v>91.053246648097399</v>
      </c>
      <c r="DU71" s="59">
        <f t="shared" si="98"/>
        <v>64.716270355703955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>
        <f>EXP(-LN(2)/35)*EA70+(1-EXP(-LN(2)/35))/(LN(2)/35)*DW71*DX71*VLOOKUP('Données projet'!$B$14,Paramètres!$A$1:$I$89,3,0)*0.475*44/12</f>
        <v>0</v>
      </c>
      <c r="EB71" s="21">
        <f>EXP(-LN(2)/25)*EB70+(1-EXP(-LN(2)/25))/(LN(2)/25)*Calculateur!DW71*Calculateur!DY71*VLOOKUP('Données projet'!$B$14,Paramètres!$A$1:$I$89,3,0)*0.475*44/12</f>
        <v>0</v>
      </c>
      <c r="EC71" s="21">
        <f>EXP(-LN(2)/2)*EC70+(1-EXP(-LN(2)/2))/(LN(2)/2)*DW71*DZ71*VLOOKUP('Données projet'!$B$14,Paramètres!$A$1:$I$89,3,0)*0.475*44/12</f>
        <v>0</v>
      </c>
      <c r="ED71" s="22">
        <f t="shared" si="72"/>
        <v>0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16.399999999999999</v>
      </c>
      <c r="EJ71" s="12">
        <f>IF('Données projet'!$A$192&gt;35,EJ70+EI71-ER70,IF(A71&lt;'Données projet'!$A$192,$EG$205^A71,IF(A71='Données projet'!$A$192,'Données projet'!$B$192,EJ70+EI71-ER70)))</f>
        <v>531.19999999999959</v>
      </c>
      <c r="EK71" s="17">
        <f>EJ71*VLOOKUP('Données projet'!$B$15,Paramètres!$A$1:$I$89,3,0)*VLOOKUP('Données projet'!$B$15,Paramètres!$A$1:$I$89,5,0)</f>
        <v>317.65759999999977</v>
      </c>
      <c r="EL71" s="13">
        <f t="shared" si="99"/>
        <v>74.865763584117744</v>
      </c>
      <c r="EM71" s="20">
        <f t="shared" si="73"/>
        <v>683.64485824233805</v>
      </c>
      <c r="EN71" s="59">
        <f t="shared" si="74"/>
        <v>976.97819157567142</v>
      </c>
      <c r="EO71" s="59">
        <f ca="1">AVERAGE(OFFSET($EN$3,0,0,'Données projet'!$E$15+1,1))-AVERAGE(OFFSET($H$3,0,0,'Données projet'!$E$15+1,1))</f>
        <v>316.58509520829671</v>
      </c>
      <c r="EP71" s="59">
        <f t="shared" si="100"/>
        <v>240.71332110643596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>
        <f>EXP(-LN(2)/35)*EV70+(1-EXP(-LN(2)/35))/(LN(2)/35)*ER71*ES71*VLOOKUP('Données projet'!$B$15,Paramètres!$A$1:$I$89,3,0)*0.475*44/12</f>
        <v>1.1941746183278443</v>
      </c>
      <c r="EW71" s="21">
        <f>EXP(-LN(2)/25)*EW70+(1-EXP(-LN(2)/25))/(LN(2)/25)*Calculateur!ER71*Calculateur!ET71*VLOOKUP('Données projet'!$B$15,Paramètres!$A$1:$I$89,3,0)*0.475*44/12</f>
        <v>5.3237110229631863</v>
      </c>
      <c r="EX71" s="21">
        <f>EXP(-LN(2)/2)*EX70+(1-EXP(-LN(2)/2))/(LN(2)/2)*ER71*EU71*VLOOKUP('Données projet'!$B$15,Paramètres!$A$1:$I$89,3,0)*0.475*44/12</f>
        <v>4.1845976009637547E-5</v>
      </c>
      <c r="EY71" s="22">
        <f t="shared" si="75"/>
        <v>6.5179274872670403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14.1</v>
      </c>
      <c r="FE71" s="12">
        <f>IF('Données projet'!$A$218&gt;35,FE70+FD71-FM70,IF(A71&lt;'Données projet'!$A$218,$FB$205^A71,IF(A71='Données projet'!$A$218,'Données projet'!$B$218,FE70+FD71-FM70)))</f>
        <v>469.80000000000024</v>
      </c>
      <c r="FF71" s="17">
        <f>FE71*VLOOKUP('Données projet'!$B$16,Paramètres!$A$1:$I$89,3,0)*VLOOKUP('Données projet'!$B$16,Paramètres!$A$1:$I$89,5,0)</f>
        <v>280.94040000000018</v>
      </c>
      <c r="FG71" s="13">
        <f t="shared" si="101"/>
        <v>67.165703636653262</v>
      </c>
      <c r="FH71" s="20">
        <f t="shared" si="76"/>
        <v>606.2847971671714</v>
      </c>
      <c r="FI71" s="59">
        <f t="shared" si="77"/>
        <v>899.61813050050478</v>
      </c>
      <c r="FJ71" s="59">
        <f ca="1">AVERAGE(OFFSET($FI$3,0,0,'Données projet'!$E$16+1,1))-AVERAGE(OFFSET($H$3,0,0,'Données projet'!$E$16+1,1))</f>
        <v>270.30888762640245</v>
      </c>
      <c r="FK71" s="59">
        <f t="shared" si="102"/>
        <v>202.23783851977691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>
        <f>EXP(-LN(2)/35)*FQ70+(1-EXP(-LN(2)/35))/(LN(2)/35)*FM71*FN71*VLOOKUP('Données projet'!$B$16,Paramètres!$A$1:$I$89,3,0)*0.475*44/12</f>
        <v>1.0091616492911364</v>
      </c>
      <c r="FR71" s="21">
        <f>EXP(-LN(2)/25)*FR70+(1-EXP(-LN(2)/25))/(LN(2)/25)*Calculateur!FM71*Calculateur!FO71*VLOOKUP('Données projet'!$B$16,Paramètres!$A$1:$I$89,3,0)*0.475*44/12</f>
        <v>4.2871659311731314</v>
      </c>
      <c r="FS71" s="21">
        <f>EXP(-LN(2)/2)*FS70+(1-EXP(-LN(2)/2))/(LN(2)/2)*FM71*FP71*VLOOKUP('Données projet'!$B$16,Paramètres!$A$1:$I$89,3,0)*0.475*44/12</f>
        <v>3.5271851704526108E-5</v>
      </c>
      <c r="FT71" s="22">
        <f t="shared" si="78"/>
        <v>5.2963628523159718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4.9000000000000004</v>
      </c>
      <c r="FZ71" s="12">
        <f>IF('Données projet'!$A$244&gt;35,FZ70+FY71-GH70,IF(A71&lt;'Données projet'!$A$244,$FW$205^A71,IF(A71='Données projet'!$A$244,'Données projet'!$B$244,FZ70+FY71-GH70)))</f>
        <v>319.19999999999976</v>
      </c>
      <c r="GA71" s="17">
        <f>FZ71*VLOOKUP('Données projet'!$B$17,Paramètres!$A$1:$I$89,3,0)*VLOOKUP('Données projet'!$B$17,Paramètres!$A$1:$I$89,5,0)</f>
        <v>253.95551999999984</v>
      </c>
      <c r="GB71" s="13">
        <f t="shared" si="103"/>
        <v>61.432180511879196</v>
      </c>
      <c r="GC71" s="20">
        <f t="shared" si="79"/>
        <v>549.30024505818926</v>
      </c>
      <c r="GD71" s="59">
        <f t="shared" si="80"/>
        <v>842.63357839152263</v>
      </c>
      <c r="GE71" s="59">
        <f ca="1">AVERAGE(OFFSET($GD$3,0,0,'Données projet'!$E$17+1,1))-AVERAGE(OFFSET($H$3,0,0,'Données projet'!$E$17+1,1))</f>
        <v>260.20517190557814</v>
      </c>
      <c r="GF71" s="59">
        <f t="shared" si="104"/>
        <v>307.22009971147133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>
        <f>EXP(-LN(2)/35)*GL70+(1-EXP(-LN(2)/35))/(LN(2)/35)*GH71*GI71*VLOOKUP('Données projet'!$B$17,Paramètres!$A$1:$I$89,3,0)*0.475*44/12</f>
        <v>1.5373870826278255</v>
      </c>
      <c r="GM71" s="21">
        <f>EXP(-LN(2)/25)*GM70+(1-EXP(-LN(2)/25))/(LN(2)/25)*Calculateur!GH71*Calculateur!GJ71*VLOOKUP('Données projet'!$B$17,Paramètres!$A$1:$I$89,3,0)*0.475*44/12</f>
        <v>7.1548964841092833</v>
      </c>
      <c r="GN71" s="21">
        <f>EXP(-LN(2)/2)*GN70+(1-EXP(-LN(2)/2))/(LN(2)/2)*GH71*GK71*VLOOKUP('Données projet'!$B$17,Paramètres!$A$1:$I$89,3,0)*0.475*44/12</f>
        <v>4.5850819116129467E-5</v>
      </c>
      <c r="GO71" s="21">
        <f t="shared" si="81"/>
        <v>8.6923294175562251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4.0999999999999996</v>
      </c>
      <c r="GU71" s="12">
        <f>IF('Données projet'!$A$270&gt;35,GU70+GT71-HC70,IF(A71&lt;'Données projet'!$A$270,$GR$205^A71,IF(A71='Données projet'!$A$270,'Données projet'!$B$270,GU70+GT71-HC70)))</f>
        <v>265.79999999999978</v>
      </c>
      <c r="GV71" s="17">
        <f>GU71*VLOOKUP('Données projet'!$B$18,Paramètres!$A$1:$I$89,3,0)*VLOOKUP('Données projet'!$B$18,Paramètres!$A$1:$I$89,5,0)</f>
        <v>211.47047999999981</v>
      </c>
      <c r="GW71" s="13">
        <f t="shared" si="105"/>
        <v>52.256791959630746</v>
      </c>
      <c r="GX71" s="20">
        <f t="shared" si="82"/>
        <v>459.32499866302322</v>
      </c>
      <c r="GY71" s="59">
        <f t="shared" si="83"/>
        <v>752.65833199635654</v>
      </c>
      <c r="GZ71" s="59">
        <f ca="1">AVERAGE(OFFSET($GY$3,0,0,'Données projet'!$E$18+1,1))-AVERAGE(OFFSET($H$3,0,0,'Données projet'!$E$18+1,1))</f>
        <v>199.58763537752952</v>
      </c>
      <c r="HA71" s="59">
        <f t="shared" si="106"/>
        <v>242.62852778451929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>
        <f>EXP(-LN(2)/35)*HG70+(1-EXP(-LN(2)/35))/(LN(2)/35)*HC71*HD71*VLOOKUP('Données projet'!$B$18,Paramètres!$A$1:$I$89,3,0)*0.475*44/12</f>
        <v>0</v>
      </c>
      <c r="HH71" s="21">
        <f>EXP(-LN(2)/25)*HH70+(1-EXP(-LN(2)/25))/(LN(2)/25)*Calculateur!HC71*Calculateur!HE71*VLOOKUP('Données projet'!$B$18,Paramètres!$A$1:$I$89,3,0)*0.475*44/12</f>
        <v>3.5855290754855975</v>
      </c>
      <c r="HI71" s="21">
        <f>EXP(-LN(2)/2)*HI70+(1-EXP(-LN(2)/2))/(LN(2)/2)*HC71*HF71*VLOOKUP('Données projet'!$B$18,Paramètres!$A$1:$I$89,3,0)*0.475*44/12</f>
        <v>2.0526043688240471E-5</v>
      </c>
      <c r="HJ71" s="22">
        <f t="shared" si="84"/>
        <v>3.5855496015292858</v>
      </c>
    </row>
    <row r="72" spans="1:218" x14ac:dyDescent="0.2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61.354800000000068</v>
      </c>
      <c r="D72" s="11">
        <f t="shared" si="86"/>
        <v>17.510358551572637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608.7836800472279</v>
      </c>
      <c r="H72" s="67">
        <f t="shared" si="56"/>
        <v>430.69015114398906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-2.2737367544323206E-13</v>
      </c>
      <c r="O72" s="13">
        <f>N72*VLOOKUP('Données projet'!$B$9,Paramètres!$A$1:$I$89,3,0)*VLOOKUP('Données projet'!$B$9,Paramètres!$A$1:$I$89,5,0)</f>
        <v>-1.2710188457276673E-13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255.5374979188561</v>
      </c>
      <c r="T72" s="59">
        <f t="shared" si="88"/>
        <v>343.10418468620901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1.427351042478026</v>
      </c>
      <c r="AA72" s="21">
        <f>EXP(-LN(2)/25)*AA71+(1-EXP(-LN(2)/25))/(LN(2)/25)*Calculateur!V72*Calculateur!X72*VLOOKUP('Données projet'!$B$9,Paramètres!$A$1:$I$89,3,0)*0.475*44/12</f>
        <v>5.4129391508269515</v>
      </c>
      <c r="AB72" s="21">
        <f>EXP(-LN(2)/2)*AB71+(1-EXP(-LN(2)/2))/(LN(2)/2)*V72*Y72*VLOOKUP('Données projet'!$B$9,Paramètres!$A$1:$I$89,3,0)*0.475*44/12</f>
        <v>2.2828784247808092E-6</v>
      </c>
      <c r="AC72" s="22">
        <f t="shared" si="57"/>
        <v>6.8402924761834027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13.296703296703299</v>
      </c>
      <c r="AI72" s="13">
        <f>IF('Données projet'!$A$62&gt;35,AI71+AH72-AQ71,IF(A72&lt;'Données projet'!$A$62,$AF$205^A72,IF(A72='Données projet'!$A$62,'Données projet'!$B$62,AI71+AH72-AQ71)))</f>
        <v>455.77252747252754</v>
      </c>
      <c r="AJ72" s="13">
        <f>AI72*VLOOKUP('Données projet'!$B$10,Paramètres!$A$1:$I$89,3,0)*VLOOKUP('Données projet'!$B$10,Paramètres!$A$1:$I$89,5,0)</f>
        <v>254.7768428571429</v>
      </c>
      <c r="AK72" s="13">
        <f t="shared" si="89"/>
        <v>61.607700360287495</v>
      </c>
      <c r="AL72" s="20">
        <f t="shared" si="58"/>
        <v>551.03641277035797</v>
      </c>
      <c r="AM72" s="59">
        <f t="shared" si="59"/>
        <v>844.36974610369134</v>
      </c>
      <c r="AN72" s="59">
        <f ca="1">AVERAGE(OFFSET($AM$3,0,0,'Données projet'!$E$10+1,1))-AVERAGE(OFFSET($H$3,0,0,'Données projet'!$E$10+1,1))</f>
        <v>224.7049802939942</v>
      </c>
      <c r="AO72" s="59">
        <f t="shared" si="90"/>
        <v>203.48513862195352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1.0306172116685945</v>
      </c>
      <c r="AV72" s="21">
        <f>EXP(-LN(2)/25)*AV71+(1-EXP(-LN(2)/25))/(LN(2)/25)*Calculateur!AQ72*Calculateur!AS72*VLOOKUP('Données projet'!$B$10,Paramètres!$A$1:$I$89,3,0)*0.475*44/12</f>
        <v>6.6217646371250849</v>
      </c>
      <c r="AW72" s="21">
        <f>EXP(-LN(2)/2)*AW71+(1-EXP(-LN(2)/2))/(LN(2)/2)*AQ72*AT72*VLOOKUP('Données projet'!$B$10,Paramètres!$A$1:$I$89,3,0)*0.475*44/12</f>
        <v>1.2085170606124665E-5</v>
      </c>
      <c r="AX72" s="21">
        <f t="shared" si="60"/>
        <v>7.6523939339642855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8.5</v>
      </c>
      <c r="BD72" s="12">
        <f>IF('Données projet'!$A$88&gt;35,BD71+BC72-BL71,IF(A72&lt;'Données projet'!$A$88,$BA$205^A72,IF(A72='Données projet'!$A$88,'Données projet'!$B$88,BD71+BC72-BL71)))</f>
        <v>402.50000000000023</v>
      </c>
      <c r="BE72" s="13">
        <f>BD72*VLOOKUP('Données projet'!$B$11,Paramètres!$A$1:$I$89,3,0)*VLOOKUP('Données projet'!$B$11,Paramètres!$A$1:$I$89,5,0)</f>
        <v>219.76500000000013</v>
      </c>
      <c r="BF72" s="13">
        <f t="shared" si="91"/>
        <v>54.063806455114872</v>
      </c>
      <c r="BG72" s="20">
        <f t="shared" si="61"/>
        <v>476.91850457599202</v>
      </c>
      <c r="BH72" s="59">
        <f t="shared" si="62"/>
        <v>770.25183790932533</v>
      </c>
      <c r="BI72" s="59">
        <f ca="1">AVERAGE(OFFSET($BH$3,0,0,'Données projet'!$E$11+1,1))-AVERAGE(OFFSET($H$3,0,0,'Données projet'!$E$11+1,1))</f>
        <v>210.04871822652808</v>
      </c>
      <c r="BJ72" s="59">
        <f t="shared" si="92"/>
        <v>250.17540614049324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3.3724700966220413</v>
      </c>
      <c r="BQ72" s="21">
        <f>EXP(-LN(2)/25)*BQ71+(1-EXP(-LN(2)/25))/(LN(2)/25)*Calculateur!BL72*Calculateur!BN72*VLOOKUP('Données projet'!$B$11,Paramètres!$A$1:$I$89,3,0)*0.475*44/12</f>
        <v>9.4388166210561693</v>
      </c>
      <c r="BR72" s="21">
        <f>EXP(-LN(2)/2)*BR71+(1-EXP(-LN(2)/2))/(LN(2)/2)*BL72*BO72*VLOOKUP('Données projet'!$B$11,Paramètres!$A$1:$I$89,3,0)*0.475*44/12</f>
        <v>2.9069711469882448E-5</v>
      </c>
      <c r="BS72" s="22">
        <f t="shared" si="63"/>
        <v>12.811315787389681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7.1</v>
      </c>
      <c r="BY72" s="12">
        <f>IF('Données projet'!$A$114&gt;35,BY71+BX72-CG71,IF(A72&lt;'Données projet'!$A$114,$BV$205^A72,IF(A72='Données projet'!$A$114,'Données projet'!$B$114,BY71+BX72-CG71)))</f>
        <v>346.9</v>
      </c>
      <c r="BZ72" s="13">
        <f>BY72*VLOOKUP('Données projet'!$B$12,Paramètres!$A$1:$I$89,3,0)*VLOOKUP('Données projet'!$B$12,Paramètres!$A$1:$I$89,5,0)</f>
        <v>189.40739999999997</v>
      </c>
      <c r="CA72" s="13">
        <f t="shared" si="93"/>
        <v>47.408913595158396</v>
      </c>
      <c r="CB72" s="20">
        <f t="shared" si="64"/>
        <v>412.45507951156748</v>
      </c>
      <c r="CC72" s="59">
        <f t="shared" si="65"/>
        <v>705.78841284490079</v>
      </c>
      <c r="CD72" s="59">
        <f ca="1">AVERAGE(OFFSET($CC$3,0,0,'Données projet'!$E$12+1,1))-AVERAGE(OFFSET($H$3,0,0,'Données projet'!$E$12+1,1))</f>
        <v>168.72306536277267</v>
      </c>
      <c r="CE72" s="59">
        <f t="shared" si="94"/>
        <v>203.35476578922339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1.4051958735925176</v>
      </c>
      <c r="CL72" s="21">
        <f>EXP(-LN(2)/25)*CL71+(1-EXP(-LN(2)/25))/(LN(2)/25)*Calculateur!CG72*Calculateur!CI72*VLOOKUP('Données projet'!$B$12,Paramètres!$A$1:$I$89,3,0)*0.475*44/12</f>
        <v>7.795394924076982</v>
      </c>
      <c r="CM72" s="21">
        <f>EXP(-LN(2)/2)*CM71+(1-EXP(-LN(2)/2))/(LN(2)/2)*CG72*CJ72*VLOOKUP('Données projet'!$B$12,Paramètres!$A$1:$I$89,3,0)*0.475*44/12</f>
        <v>2.7006144965970352E-5</v>
      </c>
      <c r="CN72" s="22">
        <f t="shared" si="66"/>
        <v>9.2006178038144668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14</v>
      </c>
      <c r="CT72" s="12">
        <f>IF('Données projet'!$A$140&gt;35,CT71+CS72-DB71,IF(A72&lt;'Données projet'!$A$140,$CQ$205^A72,IF(A72='Données projet'!$A$140,'Données projet'!$B$140,CT71+CS72-DB71)))</f>
        <v>411.38461538461536</v>
      </c>
      <c r="CU72" s="17">
        <f>CT72*VLOOKUP('Données projet'!$B$13,Paramètres!$A$1:$I$89,3,0)*VLOOKUP('Données projet'!$B$13,Paramètres!$A$1:$I$89,5,0)</f>
        <v>197.876</v>
      </c>
      <c r="CV72" s="13">
        <f t="shared" si="95"/>
        <v>49.277087149792649</v>
      </c>
      <c r="CW72" s="20">
        <f t="shared" si="67"/>
        <v>430.45829345255555</v>
      </c>
      <c r="CX72" s="59">
        <f t="shared" si="68"/>
        <v>723.79162678588887</v>
      </c>
      <c r="CY72" s="59">
        <f ca="1">AVERAGE(OFFSET($CX$3,0,0,'Données projet'!$E$13+1,1))-AVERAGE(OFFSET($H$3,0,0,'Données projet'!$E$13+1,1))</f>
        <v>304.15237106473313</v>
      </c>
      <c r="CZ72" s="59">
        <f t="shared" si="96"/>
        <v>120.85458928724336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>
        <f>EXP(-LN(2)/35)*DF71+(1-EXP(-LN(2)/35))/(LN(2)/35)*DB72*DC72*VLOOKUP('Données projet'!$B$13,Paramètres!$A$1:$I$89,3,0)*0.475*44/12</f>
        <v>0</v>
      </c>
      <c r="DG72" s="21">
        <f>EXP(-LN(2)/25)*DG71+(1-EXP(-LN(2)/25))/(LN(2)/25)*Calculateur!DB72*Calculateur!DD72*VLOOKUP('Données projet'!$B$13,Paramètres!$A$1:$I$89,3,0)*0.475*44/12</f>
        <v>0</v>
      </c>
      <c r="DH72" s="21">
        <f>EXP(-LN(2)/2)*DH71+(1-EXP(-LN(2)/2))/(LN(2)/2)*DB72*DE72*VLOOKUP('Données projet'!$B$13,Paramètres!$A$1:$I$89,3,0)*0.475*44/12</f>
        <v>0</v>
      </c>
      <c r="DI72" s="22">
        <f t="shared" si="69"/>
        <v>0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8.2307692307692299</v>
      </c>
      <c r="DO72" s="12">
        <f>IF('Données projet'!$A$166&gt;35,DO71+DN72-DW71,IF(A72&lt;'Données projet'!$A$166,$DL$205^A72,IF(A72='Données projet'!$A$166,'Données projet'!$B$166,DO71+DN72-DW71)))</f>
        <v>230.23076923076914</v>
      </c>
      <c r="DP72" s="17">
        <f>DO72*VLOOKUP('Données projet'!$B$14,Paramètres!$A$1:$I$89,3,0)*VLOOKUP('Données projet'!$B$14,Paramètres!$A$1:$I$89,5,0)</f>
        <v>110.74099999999996</v>
      </c>
      <c r="DQ72" s="13">
        <f t="shared" si="97"/>
        <v>29.505501675812955</v>
      </c>
      <c r="DR72" s="20">
        <f t="shared" si="70"/>
        <v>244.26265708537414</v>
      </c>
      <c r="DS72" s="59">
        <f t="shared" si="71"/>
        <v>537.59599041870752</v>
      </c>
      <c r="DT72" s="59">
        <f ca="1">AVERAGE(OFFSET($DS$3,0,0,'Données projet'!$E$14+1,1))-AVERAGE(OFFSET($H$3,0,0,'Données projet'!$E$14+1,1))</f>
        <v>91.053246648097399</v>
      </c>
      <c r="DU72" s="59">
        <f t="shared" si="98"/>
        <v>64.716270355703955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>
        <f>EXP(-LN(2)/35)*EA71+(1-EXP(-LN(2)/35))/(LN(2)/35)*DW72*DX72*VLOOKUP('Données projet'!$B$14,Paramètres!$A$1:$I$89,3,0)*0.475*44/12</f>
        <v>0</v>
      </c>
      <c r="EB72" s="21">
        <f>EXP(-LN(2)/25)*EB71+(1-EXP(-LN(2)/25))/(LN(2)/25)*Calculateur!DW72*Calculateur!DY72*VLOOKUP('Données projet'!$B$14,Paramètres!$A$1:$I$89,3,0)*0.475*44/12</f>
        <v>0</v>
      </c>
      <c r="EC72" s="21">
        <f>EXP(-LN(2)/2)*EC71+(1-EXP(-LN(2)/2))/(LN(2)/2)*DW72*DZ72*VLOOKUP('Données projet'!$B$14,Paramètres!$A$1:$I$89,3,0)*0.475*44/12</f>
        <v>0</v>
      </c>
      <c r="ED72" s="22">
        <f t="shared" si="72"/>
        <v>0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16.399999999999999</v>
      </c>
      <c r="EJ72" s="12">
        <f>IF('Données projet'!$A$192&gt;35,EJ71+EI72-ER71,IF(A72&lt;'Données projet'!$A$192,$EG$205^A72,IF(A72='Données projet'!$A$192,'Données projet'!$B$192,EJ71+EI72-ER71)))</f>
        <v>547.59999999999957</v>
      </c>
      <c r="EK72" s="17">
        <f>EJ72*VLOOKUP('Données projet'!$B$15,Paramètres!$A$1:$I$89,3,0)*VLOOKUP('Données projet'!$B$15,Paramètres!$A$1:$I$89,5,0)</f>
        <v>327.4647999999998</v>
      </c>
      <c r="EL72" s="13">
        <f t="shared" si="99"/>
        <v>76.904459845729477</v>
      </c>
      <c r="EM72" s="20">
        <f t="shared" si="73"/>
        <v>704.27646089797838</v>
      </c>
      <c r="EN72" s="59">
        <f t="shared" si="74"/>
        <v>997.60979423131175</v>
      </c>
      <c r="EO72" s="59">
        <f ca="1">AVERAGE(OFFSET($EN$3,0,0,'Données projet'!$E$15+1,1))-AVERAGE(OFFSET($H$3,0,0,'Données projet'!$E$15+1,1))</f>
        <v>316.58509520829671</v>
      </c>
      <c r="EP72" s="59">
        <f t="shared" si="100"/>
        <v>240.71332110643596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>
        <f>EXP(-LN(2)/35)*EV71+(1-EXP(-LN(2)/35))/(LN(2)/35)*ER72*ES72*VLOOKUP('Données projet'!$B$15,Paramètres!$A$1:$I$89,3,0)*0.475*44/12</f>
        <v>1.1707575824370315</v>
      </c>
      <c r="EW72" s="21">
        <f>EXP(-LN(2)/25)*EW71+(1-EXP(-LN(2)/25))/(LN(2)/25)*Calculateur!ER72*Calculateur!ET72*VLOOKUP('Données projet'!$B$15,Paramètres!$A$1:$I$89,3,0)*0.475*44/12</f>
        <v>5.178133865078463</v>
      </c>
      <c r="EX72" s="21">
        <f>EXP(-LN(2)/2)*EX71+(1-EXP(-LN(2)/2))/(LN(2)/2)*ER72*EU72*VLOOKUP('Données projet'!$B$15,Paramètres!$A$1:$I$89,3,0)*0.475*44/12</f>
        <v>2.9589573401784297E-5</v>
      </c>
      <c r="EY72" s="22">
        <f t="shared" si="75"/>
        <v>6.3489210370888971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14.1</v>
      </c>
      <c r="FE72" s="12">
        <f>IF('Données projet'!$A$218&gt;35,FE71+FD72-FM71,IF(A72&lt;'Données projet'!$A$218,$FB$205^A72,IF(A72='Données projet'!$A$218,'Données projet'!$B$218,FE71+FD72-FM71)))</f>
        <v>483.90000000000026</v>
      </c>
      <c r="FF72" s="17">
        <f>FE72*VLOOKUP('Données projet'!$B$16,Paramètres!$A$1:$I$89,3,0)*VLOOKUP('Données projet'!$B$16,Paramètres!$A$1:$I$89,5,0)</f>
        <v>289.37220000000019</v>
      </c>
      <c r="FG72" s="13">
        <f t="shared" si="101"/>
        <v>68.943812992253996</v>
      </c>
      <c r="FH72" s="20">
        <f t="shared" si="76"/>
        <v>624.06705596150925</v>
      </c>
      <c r="FI72" s="59">
        <f t="shared" si="77"/>
        <v>917.40038929484263</v>
      </c>
      <c r="FJ72" s="59">
        <f ca="1">AVERAGE(OFFSET($FI$3,0,0,'Données projet'!$E$16+1,1))-AVERAGE(OFFSET($H$3,0,0,'Données projet'!$E$16+1,1))</f>
        <v>270.30888762640245</v>
      </c>
      <c r="FK72" s="59">
        <f t="shared" si="102"/>
        <v>202.23783851977691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>
        <f>EXP(-LN(2)/35)*FQ71+(1-EXP(-LN(2)/35))/(LN(2)/35)*FM72*FN72*VLOOKUP('Données projet'!$B$16,Paramètres!$A$1:$I$89,3,0)*0.475*44/12</f>
        <v>0.98937260487636491</v>
      </c>
      <c r="FR72" s="21">
        <f>EXP(-LN(2)/25)*FR71+(1-EXP(-LN(2)/25))/(LN(2)/25)*Calculateur!FM72*Calculateur!FO72*VLOOKUP('Données projet'!$B$16,Paramètres!$A$1:$I$89,3,0)*0.475*44/12</f>
        <v>4.169933153332944</v>
      </c>
      <c r="FS72" s="21">
        <f>EXP(-LN(2)/2)*FS71+(1-EXP(-LN(2)/2))/(LN(2)/2)*FM72*FP72*VLOOKUP('Données projet'!$B$16,Paramètres!$A$1:$I$89,3,0)*0.475*44/12</f>
        <v>2.4940965525276696E-5</v>
      </c>
      <c r="FT72" s="22">
        <f t="shared" si="78"/>
        <v>5.1593306991748333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4.9000000000000004</v>
      </c>
      <c r="FZ72" s="12">
        <f>IF('Données projet'!$A$244&gt;35,FZ71+FY72-GH71,IF(A72&lt;'Données projet'!$A$244,$FW$205^A72,IF(A72='Données projet'!$A$244,'Données projet'!$B$244,FZ71+FY72-GH71)))</f>
        <v>324.09999999999974</v>
      </c>
      <c r="GA72" s="17">
        <f>FZ72*VLOOKUP('Données projet'!$B$17,Paramètres!$A$1:$I$89,3,0)*VLOOKUP('Données projet'!$B$17,Paramètres!$A$1:$I$89,5,0)</f>
        <v>257.8539599999998</v>
      </c>
      <c r="GB72" s="13">
        <f t="shared" si="103"/>
        <v>62.26470852302274</v>
      </c>
      <c r="GC72" s="20">
        <f t="shared" si="79"/>
        <v>557.54001434426425</v>
      </c>
      <c r="GD72" s="59">
        <f t="shared" si="80"/>
        <v>850.87334767759762</v>
      </c>
      <c r="GE72" s="59">
        <f ca="1">AVERAGE(OFFSET($GD$3,0,0,'Données projet'!$E$17+1,1))-AVERAGE(OFFSET($H$3,0,0,'Données projet'!$E$17+1,1))</f>
        <v>260.20517190557814</v>
      </c>
      <c r="GF72" s="59">
        <f t="shared" si="104"/>
        <v>307.22009971147133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>
        <f>EXP(-LN(2)/35)*GL71+(1-EXP(-LN(2)/35))/(LN(2)/35)*GH72*GI72*VLOOKUP('Données projet'!$B$17,Paramètres!$A$1:$I$89,3,0)*0.475*44/12</f>
        <v>1.5072398596510228</v>
      </c>
      <c r="GM72" s="21">
        <f>EXP(-LN(2)/25)*GM71+(1-EXP(-LN(2)/25))/(LN(2)/25)*Calculateur!GH72*Calculateur!GJ72*VLOOKUP('Données projet'!$B$17,Paramètres!$A$1:$I$89,3,0)*0.475*44/12</f>
        <v>6.9592454634916612</v>
      </c>
      <c r="GN72" s="21">
        <f>EXP(-LN(2)/2)*GN71+(1-EXP(-LN(2)/2))/(LN(2)/2)*GH72*GK72*VLOOKUP('Données projet'!$B$17,Paramètres!$A$1:$I$89,3,0)*0.475*44/12</f>
        <v>3.2421425119972929E-5</v>
      </c>
      <c r="GO72" s="21">
        <f t="shared" si="81"/>
        <v>8.4665177445678044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4.0999999999999996</v>
      </c>
      <c r="GU72" s="12">
        <f>IF('Données projet'!$A$270&gt;35,GU71+GT72-HC71,IF(A72&lt;'Données projet'!$A$270,$GR$205^A72,IF(A72='Données projet'!$A$270,'Données projet'!$B$270,GU71+GT72-HC71)))</f>
        <v>269.89999999999981</v>
      </c>
      <c r="GV72" s="17">
        <f>GU72*VLOOKUP('Données projet'!$B$18,Paramètres!$A$1:$I$89,3,0)*VLOOKUP('Données projet'!$B$18,Paramètres!$A$1:$I$89,5,0)</f>
        <v>214.73243999999988</v>
      </c>
      <c r="GW72" s="13">
        <f t="shared" si="105"/>
        <v>52.968397784466582</v>
      </c>
      <c r="GX72" s="20">
        <f t="shared" si="82"/>
        <v>466.24562580794571</v>
      </c>
      <c r="GY72" s="59">
        <f t="shared" si="83"/>
        <v>759.57895914127903</v>
      </c>
      <c r="GZ72" s="59">
        <f ca="1">AVERAGE(OFFSET($GY$3,0,0,'Données projet'!$E$18+1,1))-AVERAGE(OFFSET($H$3,0,0,'Données projet'!$E$18+1,1))</f>
        <v>199.58763537752952</v>
      </c>
      <c r="HA72" s="59">
        <f t="shared" si="106"/>
        <v>242.62852778451929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>
        <f>EXP(-LN(2)/35)*HG71+(1-EXP(-LN(2)/35))/(LN(2)/35)*HC72*HD72*VLOOKUP('Données projet'!$B$18,Paramètres!$A$1:$I$89,3,0)*0.475*44/12</f>
        <v>0</v>
      </c>
      <c r="HH72" s="21">
        <f>EXP(-LN(2)/25)*HH71+(1-EXP(-LN(2)/25))/(LN(2)/25)*Calculateur!HC72*Calculateur!HE72*VLOOKUP('Données projet'!$B$18,Paramètres!$A$1:$I$89,3,0)*0.475*44/12</f>
        <v>3.4874825943616647</v>
      </c>
      <c r="HI72" s="21">
        <f>EXP(-LN(2)/2)*HI71+(1-EXP(-LN(2)/2))/(LN(2)/2)*HC72*HF72*VLOOKUP('Données projet'!$B$18,Paramètres!$A$1:$I$89,3,0)*0.475*44/12</f>
        <v>1.451410468288617E-5</v>
      </c>
      <c r="HJ72" s="22">
        <f t="shared" si="84"/>
        <v>3.4874971084663478</v>
      </c>
    </row>
    <row r="73" spans="1:218" x14ac:dyDescent="0.2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62.244000000000071</v>
      </c>
      <c r="D73" s="11">
        <f t="shared" si="86"/>
        <v>17.734404526076464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617.3771577451522</v>
      </c>
      <c r="H73" s="67">
        <f t="shared" si="56"/>
        <v>432.62905454958332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-2.2737367544323206E-13</v>
      </c>
      <c r="O73" s="13">
        <f>N73*VLOOKUP('Données projet'!$B$9,Paramètres!$A$1:$I$89,3,0)*VLOOKUP('Données projet'!$B$9,Paramètres!$A$1:$I$89,5,0)</f>
        <v>-1.2710188457276673E-13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255.5374979188561</v>
      </c>
      <c r="T73" s="59">
        <f t="shared" si="88"/>
        <v>343.10418468620901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1.3993615591332034</v>
      </c>
      <c r="AA73" s="21">
        <f>EXP(-LN(2)/25)*AA72+(1-EXP(-LN(2)/25))/(LN(2)/25)*Calculateur!V73*Calculateur!X73*VLOOKUP('Données projet'!$B$9,Paramètres!$A$1:$I$89,3,0)*0.475*44/12</f>
        <v>5.2649220450934902</v>
      </c>
      <c r="AB73" s="21">
        <f>EXP(-LN(2)/2)*AB72+(1-EXP(-LN(2)/2))/(LN(2)/2)*V73*Y73*VLOOKUP('Données projet'!$B$9,Paramètres!$A$1:$I$89,3,0)*0.475*44/12</f>
        <v>1.614238814786974E-6</v>
      </c>
      <c r="AC73" s="22">
        <f t="shared" si="57"/>
        <v>6.6642852184655084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469.06923076923073</v>
      </c>
      <c r="AG73" s="12">
        <f>VLOOKUP(A73,'Données projet'!$A$61:$I$81,9,0)</f>
        <v>13.296703296703299</v>
      </c>
      <c r="AH73" s="12">
        <f t="array" ref="AH73">INDEX(AG:AG,MIN(IF(ISNUMBER(AG73:AG269),ROW(AG73:AG269),"")))</f>
        <v>13.296703296703299</v>
      </c>
      <c r="AI73" s="13">
        <f>IF('Données projet'!$A$62&gt;35,AI72+AH73-AQ72,IF(A73&lt;'Données projet'!$A$62,$AF$205^A73,IF(A73='Données projet'!$A$62,'Données projet'!$B$62,AI72+AH73-AQ72)))</f>
        <v>469.06923076923084</v>
      </c>
      <c r="AJ73" s="13">
        <f>AI73*VLOOKUP('Données projet'!$B$10,Paramètres!$A$1:$I$89,3,0)*VLOOKUP('Données projet'!$B$10,Paramètres!$A$1:$I$89,5,0)</f>
        <v>262.20970000000005</v>
      </c>
      <c r="AK73" s="13">
        <f t="shared" si="89"/>
        <v>63.193164452376628</v>
      </c>
      <c r="AL73" s="20">
        <f t="shared" si="58"/>
        <v>566.74332225455601</v>
      </c>
      <c r="AM73" s="59">
        <f t="shared" si="59"/>
        <v>860.07665558788926</v>
      </c>
      <c r="AN73" s="59">
        <f ca="1">AVERAGE(OFFSET($AM$3,0,0,'Données projet'!$E$10+1,1))-AVERAGE(OFFSET($H$3,0,0,'Données projet'!$E$10+1,1))</f>
        <v>224.7049802939942</v>
      </c>
      <c r="AO73" s="59">
        <f t="shared" si="90"/>
        <v>203.48513862195352</v>
      </c>
      <c r="AP73" s="15">
        <f>IF(ISNA(VLOOKUP(A73,'Données projet'!$A$61:$I$81,3,0)),0,VLOOKUP(A73,'Données projet'!$A$61:$I$81,3,0))</f>
        <v>8</v>
      </c>
      <c r="AQ73" s="15">
        <f>IF(ISNA(VLOOKUP(A73,'Données projet'!$A$61:$I$81,4,0)),0,VLOOKUP(A73,'Données projet'!$A$61:$I$81,4,0))</f>
        <v>469.06923076923073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1.010407436762202</v>
      </c>
      <c r="AV73" s="21">
        <f>EXP(-LN(2)/25)*AV72+(1-EXP(-LN(2)/25))/(LN(2)/25)*Calculateur!AQ73*Calculateur!AS73*VLOOKUP('Données projet'!$B$10,Paramètres!$A$1:$I$89,3,0)*0.475*44/12</f>
        <v>6.4406921348994315</v>
      </c>
      <c r="AW73" s="21">
        <f>EXP(-LN(2)/2)*AW72+(1-EXP(-LN(2)/2))/(LN(2)/2)*AQ73*AT73*VLOOKUP('Données projet'!$B$10,Paramètres!$A$1:$I$89,3,0)*0.475*44/12</f>
        <v>8.5455060873870893E-6</v>
      </c>
      <c r="AX73" s="21">
        <f t="shared" si="60"/>
        <v>7.4511081171677214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>
        <f>VLOOKUP(A73,'Données projet'!$A$87:$I$107,2,0)</f>
        <v>411</v>
      </c>
      <c r="BB73" s="12">
        <f>VLOOKUP(A73,'Données projet'!$A$87:$I$107,9,0)</f>
        <v>8.5</v>
      </c>
      <c r="BC73" s="12">
        <f t="array" ref="BC73">INDEX(BB:BB,MIN(IF(ISNUMBER(BB73:BB269),ROW(BB73:BB269),"")))</f>
        <v>8.5</v>
      </c>
      <c r="BD73" s="12">
        <f>IF('Données projet'!$A$88&gt;35,BD72+BC73-BL72,IF(A73&lt;'Données projet'!$A$88,$BA$205^A73,IF(A73='Données projet'!$A$88,'Données projet'!$B$88,BD72+BC73-BL72)))</f>
        <v>411.00000000000023</v>
      </c>
      <c r="BE73" s="13">
        <f>BD73*VLOOKUP('Données projet'!$B$11,Paramètres!$A$1:$I$89,3,0)*VLOOKUP('Données projet'!$B$11,Paramètres!$A$1:$I$89,5,0)</f>
        <v>224.40600000000012</v>
      </c>
      <c r="BF73" s="13">
        <f t="shared" si="91"/>
        <v>55.071400090717127</v>
      </c>
      <c r="BG73" s="20">
        <f t="shared" si="61"/>
        <v>486.75647182466588</v>
      </c>
      <c r="BH73" s="59">
        <f t="shared" si="62"/>
        <v>780.08980515799919</v>
      </c>
      <c r="BI73" s="59">
        <f ca="1">AVERAGE(OFFSET($BH$3,0,0,'Données projet'!$E$11+1,1))-AVERAGE(OFFSET($H$3,0,0,'Données projet'!$E$11+1,1))</f>
        <v>210.04871822652808</v>
      </c>
      <c r="BJ73" s="59">
        <f t="shared" si="92"/>
        <v>250.17540614049324</v>
      </c>
      <c r="BK73" s="15">
        <f>IF(ISNA(VLOOKUP(A73,'Données projet'!$A$87:$I$107,3,0)),0,VLOOKUP(A73,'Données projet'!$A$87:$I$107,3,0))</f>
        <v>6</v>
      </c>
      <c r="BL73" s="15">
        <f>IF(ISNA(VLOOKUP(A73,'Données projet'!$A$87:$I$107,4,0)),0,VLOOKUP(A73,'Données projet'!$A$87:$I$107,4,0))</f>
        <v>52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3.3063380150309296</v>
      </c>
      <c r="BQ73" s="21">
        <f>EXP(-LN(2)/25)*BQ72+(1-EXP(-LN(2)/25))/(LN(2)/25)*Calculateur!BL73*Calculateur!BN73*VLOOKUP('Données projet'!$B$11,Paramètres!$A$1:$I$89,3,0)*0.475*44/12</f>
        <v>9.1807116841875942</v>
      </c>
      <c r="BR73" s="21">
        <f>EXP(-LN(2)/2)*BR72+(1-EXP(-LN(2)/2))/(LN(2)/2)*BL73*BO73*VLOOKUP('Données projet'!$B$11,Paramètres!$A$1:$I$89,3,0)*0.475*44/12</f>
        <v>2.0555390107490242E-5</v>
      </c>
      <c r="BS73" s="22">
        <f t="shared" si="63"/>
        <v>12.487070254608632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>
        <f>VLOOKUP(A73,'Données projet'!$A$113:$I$133,2,0)</f>
        <v>354</v>
      </c>
      <c r="BW73" s="12">
        <f>VLOOKUP(A73,'Données projet'!$A$113:$I$133,9,0)</f>
        <v>7.1</v>
      </c>
      <c r="BX73" s="12">
        <f t="array" ref="BX73">INDEX(BW:BW,MIN(IF(ISNUMBER(BW73:BW269),ROW(BW73:BW269),"")))</f>
        <v>7.1</v>
      </c>
      <c r="BY73" s="12">
        <f>IF('Données projet'!$A$114&gt;35,BY72+BX73-CG72,IF(A73&lt;'Données projet'!$A$114,$BV$205^A73,IF(A73='Données projet'!$A$114,'Données projet'!$B$114,BY72+BX73-CG72)))</f>
        <v>354</v>
      </c>
      <c r="BZ73" s="13">
        <f>BY73*VLOOKUP('Données projet'!$B$12,Paramètres!$A$1:$I$89,3,0)*VLOOKUP('Données projet'!$B$12,Paramètres!$A$1:$I$89,5,0)</f>
        <v>193.28400000000002</v>
      </c>
      <c r="CA73" s="13">
        <f t="shared" si="93"/>
        <v>48.265272920234025</v>
      </c>
      <c r="CB73" s="20">
        <f t="shared" si="64"/>
        <v>420.69831700274091</v>
      </c>
      <c r="CC73" s="59">
        <f t="shared" si="65"/>
        <v>714.03165033607422</v>
      </c>
      <c r="CD73" s="59">
        <f ca="1">AVERAGE(OFFSET($CC$3,0,0,'Données projet'!$E$12+1,1))-AVERAGE(OFFSET($H$3,0,0,'Données projet'!$E$12+1,1))</f>
        <v>168.72306536277267</v>
      </c>
      <c r="CE73" s="59">
        <f t="shared" si="94"/>
        <v>203.35476578922339</v>
      </c>
      <c r="CF73" s="15">
        <f>IF(ISNA(VLOOKUP(A73,'Données projet'!$A$113:$I$133,3,0)),0,VLOOKUP(A73,'Données projet'!$A$113:$I$133,3,0))</f>
        <v>6</v>
      </c>
      <c r="CG73" s="15">
        <f>IF(ISNA(VLOOKUP(A73,'Données projet'!$A$113:$I$133,4,0)),0,VLOOKUP(A73,'Données projet'!$A$113:$I$133,4,0))</f>
        <v>42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1.3776408395962212</v>
      </c>
      <c r="CL73" s="21">
        <f>EXP(-LN(2)/25)*CL72+(1-EXP(-LN(2)/25))/(LN(2)/25)*Calculateur!CG73*Calculateur!CI73*VLOOKUP('Données projet'!$B$12,Paramètres!$A$1:$I$89,3,0)*0.475*44/12</f>
        <v>7.5822294399360946</v>
      </c>
      <c r="CM73" s="21">
        <f>EXP(-LN(2)/2)*CM72+(1-EXP(-LN(2)/2))/(LN(2)/2)*CG73*CJ73*VLOOKUP('Données projet'!$B$12,Paramètres!$A$1:$I$89,3,0)*0.475*44/12</f>
        <v>1.9096228239144579E-5</v>
      </c>
      <c r="CN73" s="22">
        <f t="shared" si="66"/>
        <v>8.9598893757605556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>
        <f>VLOOKUP(A73,'Données projet'!$A$139:$I$159,2,0)</f>
        <v>425.38461538461536</v>
      </c>
      <c r="CR73" s="12">
        <f>VLOOKUP(A73,'Données projet'!$A$139:$I$159,9,0)</f>
        <v>14</v>
      </c>
      <c r="CS73" s="12">
        <f t="array" ref="CS73">INDEX(CR:CR,MIN(IF(ISNUMBER(CR73:CR269),ROW(CR73:CR269),"")))</f>
        <v>14</v>
      </c>
      <c r="CT73" s="12">
        <f>IF('Données projet'!$A$140&gt;35,CT72+CS73-DB72,IF(A73&lt;'Données projet'!$A$140,$CQ$205^A73,IF(A73='Données projet'!$A$140,'Données projet'!$B$140,CT72+CS73-DB72)))</f>
        <v>425.38461538461536</v>
      </c>
      <c r="CU73" s="17">
        <f>CT73*VLOOKUP('Données projet'!$B$13,Paramètres!$A$1:$I$89,3,0)*VLOOKUP('Données projet'!$B$13,Paramètres!$A$1:$I$89,5,0)</f>
        <v>204.60999999999999</v>
      </c>
      <c r="CV73" s="13">
        <f t="shared" si="95"/>
        <v>50.755958577224398</v>
      </c>
      <c r="CW73" s="20">
        <f t="shared" si="67"/>
        <v>444.76237785533249</v>
      </c>
      <c r="CX73" s="59">
        <f t="shared" si="68"/>
        <v>738.09571118866575</v>
      </c>
      <c r="CY73" s="59">
        <f ca="1">AVERAGE(OFFSET($CX$3,0,0,'Données projet'!$E$13+1,1))-AVERAGE(OFFSET($H$3,0,0,'Données projet'!$E$13+1,1))</f>
        <v>304.15237106473313</v>
      </c>
      <c r="CZ73" s="59">
        <f t="shared" si="96"/>
        <v>120.85458928724336</v>
      </c>
      <c r="DA73" s="15">
        <f>IF(ISNA(VLOOKUP(A73,'Données projet'!$A$139:$I$159,3,0)),0,VLOOKUP(A73,'Données projet'!$A$139:$I$159,3,0))</f>
        <v>4</v>
      </c>
      <c r="DB73" s="15">
        <f>IF(ISNA(VLOOKUP(A73,'Données projet'!$A$139:$I$159,4,0)),0,VLOOKUP(A73,'Données projet'!$A$139:$I$159,4,0))</f>
        <v>40.769230769230766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>
        <f>EXP(-LN(2)/35)*DF72+(1-EXP(-LN(2)/35))/(LN(2)/35)*DB73*DC73*VLOOKUP('Données projet'!$B$13,Paramètres!$A$1:$I$89,3,0)*0.475*44/12</f>
        <v>0</v>
      </c>
      <c r="DG73" s="21">
        <f>EXP(-LN(2)/25)*DG72+(1-EXP(-LN(2)/25))/(LN(2)/25)*Calculateur!DB73*Calculateur!DD73*VLOOKUP('Données projet'!$B$13,Paramètres!$A$1:$I$89,3,0)*0.475*44/12</f>
        <v>0</v>
      </c>
      <c r="DH73" s="21">
        <f>EXP(-LN(2)/2)*DH72+(1-EXP(-LN(2)/2))/(LN(2)/2)*DB73*DE73*VLOOKUP('Données projet'!$B$13,Paramètres!$A$1:$I$89,3,0)*0.475*44/12</f>
        <v>0</v>
      </c>
      <c r="DI73" s="22">
        <f t="shared" si="69"/>
        <v>0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>
        <f>VLOOKUP(A73,'Données projet'!$A$165:$I$185,2,0)</f>
        <v>238.46153846153845</v>
      </c>
      <c r="DM73" s="12">
        <f>VLOOKUP(A73,'Données projet'!$A$165:$I$185,9,0)</f>
        <v>8.2307692307692299</v>
      </c>
      <c r="DN73" s="12">
        <f t="array" ref="DN73">INDEX(DM:DM,MIN(IF(ISNUMBER(DM73:DM269),ROW(DM73:DM269),"")))</f>
        <v>8.2307692307692299</v>
      </c>
      <c r="DO73" s="12">
        <f>IF('Données projet'!$A$166&gt;35,DO72+DN73-DW72,IF(A73&lt;'Données projet'!$A$166,$DL$205^A73,IF(A73='Données projet'!$A$166,'Données projet'!$B$166,DO72+DN73-DW72)))</f>
        <v>238.46153846153837</v>
      </c>
      <c r="DP73" s="17">
        <f>DO73*VLOOKUP('Données projet'!$B$14,Paramètres!$A$1:$I$89,3,0)*VLOOKUP('Données projet'!$B$14,Paramètres!$A$1:$I$89,5,0)</f>
        <v>114.69999999999996</v>
      </c>
      <c r="DQ73" s="13">
        <f t="shared" si="97"/>
        <v>30.435630357380635</v>
      </c>
      <c r="DR73" s="20">
        <f t="shared" si="70"/>
        <v>252.77788953910454</v>
      </c>
      <c r="DS73" s="59">
        <f t="shared" si="71"/>
        <v>546.11122287243779</v>
      </c>
      <c r="DT73" s="59">
        <f ca="1">AVERAGE(OFFSET($DS$3,0,0,'Données projet'!$E$14+1,1))-AVERAGE(OFFSET($H$3,0,0,'Données projet'!$E$14+1,1))</f>
        <v>91.053246648097399</v>
      </c>
      <c r="DU73" s="59">
        <f t="shared" si="98"/>
        <v>64.716270355703955</v>
      </c>
      <c r="DV73" s="15">
        <f>IF(ISNA(VLOOKUP(A73,'Données projet'!$A$165:$I$185,3,0)),0,VLOOKUP(A73,'Données projet'!$A$165:$I$185,3,0))</f>
        <v>4</v>
      </c>
      <c r="DW73" s="15">
        <f>IF(ISNA(VLOOKUP(A73,'Données projet'!$A$165:$I$185,4,0)),0,VLOOKUP(A73,'Données projet'!$A$165:$I$185,4,0))</f>
        <v>47.692307692307693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>
        <f>EXP(-LN(2)/35)*EA72+(1-EXP(-LN(2)/35))/(LN(2)/35)*DW73*DX73*VLOOKUP('Données projet'!$B$14,Paramètres!$A$1:$I$89,3,0)*0.475*44/12</f>
        <v>0</v>
      </c>
      <c r="EB73" s="21">
        <f>EXP(-LN(2)/25)*EB72+(1-EXP(-LN(2)/25))/(LN(2)/25)*Calculateur!DW73*Calculateur!DY73*VLOOKUP('Données projet'!$B$14,Paramètres!$A$1:$I$89,3,0)*0.475*44/12</f>
        <v>0</v>
      </c>
      <c r="EC73" s="21">
        <f>EXP(-LN(2)/2)*EC72+(1-EXP(-LN(2)/2))/(LN(2)/2)*DW73*DZ73*VLOOKUP('Données projet'!$B$14,Paramètres!$A$1:$I$89,3,0)*0.475*44/12</f>
        <v>0</v>
      </c>
      <c r="ED73" s="22">
        <f t="shared" si="72"/>
        <v>0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>
        <f>VLOOKUP(A73,'Données projet'!$A$191:$I$211,2,0)</f>
        <v>564</v>
      </c>
      <c r="EH73" s="12">
        <f>VLOOKUP(A73,'Données projet'!$A$191:$I$211,9,0)</f>
        <v>16.399999999999999</v>
      </c>
      <c r="EI73" s="12">
        <f t="array" ref="EI73">INDEX(EH:EH,MIN(IF(ISNUMBER(EH73:EH269),ROW(EH73:EH269),"")))</f>
        <v>16.399999999999999</v>
      </c>
      <c r="EJ73" s="12">
        <f>IF('Données projet'!$A$192&gt;35,EJ72+EI73-ER72,IF(A73&lt;'Données projet'!$A$192,$EG$205^A73,IF(A73='Données projet'!$A$192,'Données projet'!$B$192,EJ72+EI73-ER72)))</f>
        <v>563.99999999999955</v>
      </c>
      <c r="EK73" s="17">
        <f>EJ73*VLOOKUP('Données projet'!$B$15,Paramètres!$A$1:$I$89,3,0)*VLOOKUP('Données projet'!$B$15,Paramètres!$A$1:$I$89,5,0)</f>
        <v>337.27199999999976</v>
      </c>
      <c r="EL73" s="13">
        <f t="shared" si="99"/>
        <v>78.936060366406466</v>
      </c>
      <c r="EM73" s="20">
        <f t="shared" si="73"/>
        <v>724.8957051381575</v>
      </c>
      <c r="EN73" s="59">
        <f t="shared" si="74"/>
        <v>1018.2290384714909</v>
      </c>
      <c r="EO73" s="59">
        <f ca="1">AVERAGE(OFFSET($EN$3,0,0,'Données projet'!$E$15+1,1))-AVERAGE(OFFSET($H$3,0,0,'Données projet'!$E$15+1,1))</f>
        <v>316.58509520829671</v>
      </c>
      <c r="EP73" s="59">
        <f t="shared" si="100"/>
        <v>240.71332110643596</v>
      </c>
      <c r="EQ73" s="15">
        <f>IF(ISNA(VLOOKUP(A73,'Données projet'!$A$191:$I$211,3,0)),0,VLOOKUP(A73,'Données projet'!$A$191:$I$211,3,0))</f>
        <v>6</v>
      </c>
      <c r="ER73" s="15">
        <f>IF(ISNA(VLOOKUP(A73,'Données projet'!$A$191:$I$211,4,0)),0,VLOOKUP(A73,'Données projet'!$A$191:$I$211,4,0))</f>
        <v>103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>
        <f>EXP(-LN(2)/35)*EV72+(1-EXP(-LN(2)/35))/(LN(2)/35)*ER73*ES73*VLOOKUP('Données projet'!$B$15,Paramètres!$A$1:$I$89,3,0)*0.475*44/12</f>
        <v>1.1477997403370559</v>
      </c>
      <c r="EW73" s="21">
        <f>EXP(-LN(2)/25)*EW72+(1-EXP(-LN(2)/25))/(LN(2)/25)*Calculateur!ER73*Calculateur!ET73*VLOOKUP('Données projet'!$B$15,Paramètres!$A$1:$I$89,3,0)*0.475*44/12</f>
        <v>5.0365375222316668</v>
      </c>
      <c r="EX73" s="21">
        <f>EXP(-LN(2)/2)*EX72+(1-EXP(-LN(2)/2))/(LN(2)/2)*ER73*EU73*VLOOKUP('Données projet'!$B$15,Paramètres!$A$1:$I$89,3,0)*0.475*44/12</f>
        <v>2.0922988004818777E-5</v>
      </c>
      <c r="EY73" s="22">
        <f t="shared" si="75"/>
        <v>6.1843581855567269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>
        <f>VLOOKUP(A73,'Données projet'!$A$217:$I$237,2,0)</f>
        <v>498</v>
      </c>
      <c r="FC73" s="12">
        <f>VLOOKUP(A73,'Données projet'!$A$217:$I$237,9,0)</f>
        <v>14.1</v>
      </c>
      <c r="FD73" s="12">
        <f t="array" ref="FD73">INDEX(FC:FC,MIN(IF(ISNUMBER(FC73:FC269),ROW(FC73:FC269),"")))</f>
        <v>14.1</v>
      </c>
      <c r="FE73" s="12">
        <f>IF('Données projet'!$A$218&gt;35,FE72+FD73-FM72,IF(A73&lt;'Données projet'!$A$218,$FB$205^A73,IF(A73='Données projet'!$A$218,'Données projet'!$B$218,FE72+FD73-FM72)))</f>
        <v>498.00000000000028</v>
      </c>
      <c r="FF73" s="17">
        <f>FE73*VLOOKUP('Données projet'!$B$16,Paramètres!$A$1:$I$89,3,0)*VLOOKUP('Données projet'!$B$16,Paramètres!$A$1:$I$89,5,0)</f>
        <v>297.8040000000002</v>
      </c>
      <c r="FG73" s="13">
        <f t="shared" si="101"/>
        <v>70.715900863123025</v>
      </c>
      <c r="FH73" s="20">
        <f t="shared" si="76"/>
        <v>641.8388273366063</v>
      </c>
      <c r="FI73" s="59">
        <f t="shared" si="77"/>
        <v>935.17216066993956</v>
      </c>
      <c r="FJ73" s="59">
        <f ca="1">AVERAGE(OFFSET($FI$3,0,0,'Données projet'!$E$16+1,1))-AVERAGE(OFFSET($H$3,0,0,'Données projet'!$E$16+1,1))</f>
        <v>270.30888762640245</v>
      </c>
      <c r="FK73" s="59">
        <f t="shared" si="102"/>
        <v>202.23783851977691</v>
      </c>
      <c r="FL73" s="15">
        <f>IF(ISNA(VLOOKUP(A73,'Données projet'!$A$217:$I$237,3,0)),0,VLOOKUP(A73,'Données projet'!$A$217:$I$237,3,0))</f>
        <v>6</v>
      </c>
      <c r="FM73" s="15">
        <f>IF(ISNA(VLOOKUP(A73,'Données projet'!$A$217:$I$237,4,0)),0,VLOOKUP(A73,'Données projet'!$A$217:$I$237,4,0))</f>
        <v>86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>
        <f>EXP(-LN(2)/35)*FQ72+(1-EXP(-LN(2)/35))/(LN(2)/35)*FM73*FN73*VLOOKUP('Données projet'!$B$16,Paramètres!$A$1:$I$89,3,0)*0.475*44/12</f>
        <v>0.96997161155244183</v>
      </c>
      <c r="FR73" s="21">
        <f>EXP(-LN(2)/25)*FR72+(1-EXP(-LN(2)/25))/(LN(2)/25)*Calculateur!FM73*Calculateur!FO73*VLOOKUP('Données projet'!$B$16,Paramètres!$A$1:$I$89,3,0)*0.475*44/12</f>
        <v>4.0559061119678006</v>
      </c>
      <c r="FS73" s="21">
        <f>EXP(-LN(2)/2)*FS72+(1-EXP(-LN(2)/2))/(LN(2)/2)*FM73*FP73*VLOOKUP('Données projet'!$B$16,Paramètres!$A$1:$I$89,3,0)*0.475*44/12</f>
        <v>1.7635925852263054E-5</v>
      </c>
      <c r="FT73" s="22">
        <f t="shared" si="78"/>
        <v>5.0258953594460944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>
        <f>VLOOKUP(A73,'Données projet'!$A$243:$I$263,2,0)</f>
        <v>329</v>
      </c>
      <c r="FX73" s="12">
        <f>VLOOKUP(A73,'Données projet'!$A$243:$I$263,9,0)</f>
        <v>4.9000000000000004</v>
      </c>
      <c r="FY73" s="12">
        <f t="array" ref="FY73">INDEX(FX:FX,MIN(IF(ISNUMBER(FX73:FX269),ROW(FX73:FX269),"")))</f>
        <v>4.9000000000000004</v>
      </c>
      <c r="FZ73" s="12">
        <f>IF('Données projet'!$A$244&gt;35,FZ72+FY73-GH72,IF(A73&lt;'Données projet'!$A$244,$FW$205^A73,IF(A73='Données projet'!$A$244,'Données projet'!$B$244,FZ72+FY73-GH72)))</f>
        <v>328.99999999999972</v>
      </c>
      <c r="GA73" s="17">
        <f>FZ73*VLOOKUP('Données projet'!$B$17,Paramètres!$A$1:$I$89,3,0)*VLOOKUP('Données projet'!$B$17,Paramètres!$A$1:$I$89,5,0)</f>
        <v>261.7523999999998</v>
      </c>
      <c r="GB73" s="13">
        <f t="shared" si="103"/>
        <v>63.095772658160975</v>
      </c>
      <c r="GC73" s="20">
        <f t="shared" si="79"/>
        <v>565.7772340462966</v>
      </c>
      <c r="GD73" s="59">
        <f t="shared" si="80"/>
        <v>859.11056737962986</v>
      </c>
      <c r="GE73" s="59">
        <f ca="1">AVERAGE(OFFSET($GD$3,0,0,'Données projet'!$E$17+1,1))-AVERAGE(OFFSET($H$3,0,0,'Données projet'!$E$17+1,1))</f>
        <v>260.20517190557814</v>
      </c>
      <c r="GF73" s="59">
        <f t="shared" si="104"/>
        <v>307.22009971147133</v>
      </c>
      <c r="GG73" s="15">
        <f>IF(ISNA(VLOOKUP(A73,'Données projet'!$A$243:$I$263,3,0)),0,VLOOKUP(A73,'Données projet'!$A$243:$I$263,3,0))</f>
        <v>6</v>
      </c>
      <c r="GH73" s="15">
        <f>IF(ISNA(VLOOKUP(A73,'Données projet'!$A$243:$I$263,4,0)),0,VLOOKUP(A73,'Données projet'!$A$243:$I$263,4,0))</f>
        <v>26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>
        <f>EXP(-LN(2)/35)*GL72+(1-EXP(-LN(2)/35))/(LN(2)/35)*GH73*GI73*VLOOKUP('Données projet'!$B$17,Paramètres!$A$1:$I$89,3,0)*0.475*44/12</f>
        <v>1.4776838053288048</v>
      </c>
      <c r="GM73" s="21">
        <f>EXP(-LN(2)/25)*GM72+(1-EXP(-LN(2)/25))/(LN(2)/25)*Calculateur!GH73*Calculateur!GJ73*VLOOKUP('Données projet'!$B$17,Paramètres!$A$1:$I$89,3,0)*0.475*44/12</f>
        <v>6.7689445303216687</v>
      </c>
      <c r="GN73" s="21">
        <f>EXP(-LN(2)/2)*GN72+(1-EXP(-LN(2)/2))/(LN(2)/2)*GH73*GK73*VLOOKUP('Données projet'!$B$17,Paramètres!$A$1:$I$89,3,0)*0.475*44/12</f>
        <v>2.2925409558064734E-5</v>
      </c>
      <c r="GO73" s="21">
        <f t="shared" si="81"/>
        <v>8.2466512610600322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>
        <f>VLOOKUP(A73,'Données projet'!$A$269:$I$289,2,0)</f>
        <v>274</v>
      </c>
      <c r="GS73" s="12">
        <f>VLOOKUP(A73,'Données projet'!$A$269:$I$289,9,0)</f>
        <v>4.0999999999999996</v>
      </c>
      <c r="GT73" s="12">
        <f t="array" ref="GT73">INDEX(GS:GS,MIN(IF(ISNUMBER(GS73:GS269),ROW(GS73:GS269),"")))</f>
        <v>4.0999999999999996</v>
      </c>
      <c r="GU73" s="12">
        <f>IF('Données projet'!$A$270&gt;35,GU72+GT73-HC72,IF(A73&lt;'Données projet'!$A$270,$GR$205^A73,IF(A73='Données projet'!$A$270,'Données projet'!$B$270,GU72+GT73-HC72)))</f>
        <v>273.99999999999983</v>
      </c>
      <c r="GV73" s="17">
        <f>GU73*VLOOKUP('Données projet'!$B$18,Paramètres!$A$1:$I$89,3,0)*VLOOKUP('Données projet'!$B$18,Paramètres!$A$1:$I$89,5,0)</f>
        <v>217.9943999999999</v>
      </c>
      <c r="GW73" s="13">
        <f t="shared" si="105"/>
        <v>53.678746401110374</v>
      </c>
      <c r="GX73" s="20">
        <f t="shared" si="82"/>
        <v>473.16406331526701</v>
      </c>
      <c r="GY73" s="59">
        <f t="shared" si="83"/>
        <v>766.49739664860033</v>
      </c>
      <c r="GZ73" s="59">
        <f ca="1">AVERAGE(OFFSET($GY$3,0,0,'Données projet'!$E$18+1,1))-AVERAGE(OFFSET($H$3,0,0,'Données projet'!$E$18+1,1))</f>
        <v>199.58763537752952</v>
      </c>
      <c r="HA73" s="59">
        <f t="shared" si="106"/>
        <v>242.62852778451929</v>
      </c>
      <c r="HB73" s="15">
        <f>IF(ISNA(VLOOKUP(A73,'Données projet'!$A$269:$I$289,3,0)),0,VLOOKUP(A73,'Données projet'!$A$269:$I$289,3,0))</f>
        <v>6</v>
      </c>
      <c r="HC73" s="15">
        <f>IF(ISNA(VLOOKUP(A73,'Données projet'!$A$269:$I$289,4,0)),0,VLOOKUP(A73,'Données projet'!$A$269:$I$289,4,0))</f>
        <v>21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>
        <f>EXP(-LN(2)/35)*HG72+(1-EXP(-LN(2)/35))/(LN(2)/35)*HC73*HD73*VLOOKUP('Données projet'!$B$18,Paramètres!$A$1:$I$89,3,0)*0.475*44/12</f>
        <v>0</v>
      </c>
      <c r="HH73" s="21">
        <f>EXP(-LN(2)/25)*HH72+(1-EXP(-LN(2)/25))/(LN(2)/25)*Calculateur!HC73*Calculateur!HE73*VLOOKUP('Données projet'!$B$18,Paramètres!$A$1:$I$89,3,0)*0.475*44/12</f>
        <v>3.392117199420106</v>
      </c>
      <c r="HI73" s="21">
        <f>EXP(-LN(2)/2)*HI72+(1-EXP(-LN(2)/2))/(LN(2)/2)*HC73*HF73*VLOOKUP('Données projet'!$B$18,Paramètres!$A$1:$I$89,3,0)*0.475*44/12</f>
        <v>1.0263021844120235E-5</v>
      </c>
      <c r="HJ73" s="22">
        <f t="shared" si="84"/>
        <v>3.39212746244195</v>
      </c>
    </row>
    <row r="74" spans="1:218" x14ac:dyDescent="0.2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63.133200000000073</v>
      </c>
      <c r="D74" s="11">
        <f t="shared" si="86"/>
        <v>17.958078240325332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625.96776185514352</v>
      </c>
      <c r="H74" s="67">
        <f t="shared" si="56"/>
        <v>434.56730960190009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-2.2737367544323206E-13</v>
      </c>
      <c r="O74" s="13">
        <f>N74*VLOOKUP('Données projet'!$B$9,Paramètres!$A$1:$I$89,3,0)*VLOOKUP('Données projet'!$B$9,Paramètres!$A$1:$I$89,5,0)</f>
        <v>-1.2710188457276673E-13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255.5374979188561</v>
      </c>
      <c r="T74" s="59">
        <f t="shared" si="88"/>
        <v>343.10418468620901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1.3719209324848736</v>
      </c>
      <c r="AA74" s="21">
        <f>EXP(-LN(2)/25)*AA73+(1-EXP(-LN(2)/25))/(LN(2)/25)*Calculateur!V74*Calculateur!X74*VLOOKUP('Données projet'!$B$9,Paramètres!$A$1:$I$89,3,0)*0.475*44/12</f>
        <v>5.1209524749001911</v>
      </c>
      <c r="AB74" s="21">
        <f>EXP(-LN(2)/2)*AB73+(1-EXP(-LN(2)/2))/(LN(2)/2)*V74*Y74*VLOOKUP('Données projet'!$B$9,Paramètres!$A$1:$I$89,3,0)*0.475*44/12</f>
        <v>1.1414392123904046E-6</v>
      </c>
      <c r="AC74" s="22">
        <f t="shared" si="57"/>
        <v>6.4928745488242772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1.1368683772161603E-13</v>
      </c>
      <c r="AJ74" s="13">
        <f>AI74*VLOOKUP('Données projet'!$B$10,Paramètres!$A$1:$I$89,3,0)*VLOOKUP('Données projet'!$B$10,Paramètres!$A$1:$I$89,5,0)</f>
        <v>6.3550942286383367E-14</v>
      </c>
      <c r="AK74" s="13">
        <f t="shared" si="89"/>
        <v>1.0064464192543978E-12</v>
      </c>
      <c r="AL74" s="20">
        <f t="shared" si="58"/>
        <v>1.8635787380168604E-12</v>
      </c>
      <c r="AM74" s="59">
        <f t="shared" si="59"/>
        <v>293.33333333333519</v>
      </c>
      <c r="AN74" s="59">
        <f ca="1">AVERAGE(OFFSET($AM$3,0,0,'Données projet'!$E$10+1,1))-AVERAGE(OFFSET($H$3,0,0,'Données projet'!$E$10+1,1))</f>
        <v>224.7049802939942</v>
      </c>
      <c r="AO74" s="59">
        <f t="shared" si="90"/>
        <v>203.48513862195352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0.99059396321497828</v>
      </c>
      <c r="AV74" s="21">
        <f>EXP(-LN(2)/25)*AV73+(1-EXP(-LN(2)/25))/(LN(2)/25)*Calculateur!AQ74*Calculateur!AS74*VLOOKUP('Données projet'!$B$10,Paramètres!$A$1:$I$89,3,0)*0.475*44/12</f>
        <v>6.2645710697693273</v>
      </c>
      <c r="AW74" s="21">
        <f>EXP(-LN(2)/2)*AW73+(1-EXP(-LN(2)/2))/(LN(2)/2)*AQ74*AT74*VLOOKUP('Données projet'!$B$10,Paramètres!$A$1:$I$89,3,0)*0.475*44/12</f>
        <v>6.0425853030623324E-6</v>
      </c>
      <c r="AX74" s="21">
        <f t="shared" si="60"/>
        <v>7.2551710755696091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7.4</v>
      </c>
      <c r="BD74" s="12">
        <f>IF('Données projet'!$A$88&gt;35,BD73+BC74-BL73,IF(A74&lt;'Données projet'!$A$88,$BA$205^A74,IF(A74='Données projet'!$A$88,'Données projet'!$B$88,BD73+BC74-BL73)))</f>
        <v>366.4000000000002</v>
      </c>
      <c r="BE74" s="13">
        <f>BD74*VLOOKUP('Données projet'!$B$11,Paramètres!$A$1:$I$89,3,0)*VLOOKUP('Données projet'!$B$11,Paramètres!$A$1:$I$89,5,0)</f>
        <v>200.05440000000013</v>
      </c>
      <c r="BF74" s="13">
        <f t="shared" si="91"/>
        <v>49.756123009618236</v>
      </c>
      <c r="BG74" s="20">
        <f t="shared" si="61"/>
        <v>435.08666090841865</v>
      </c>
      <c r="BH74" s="59">
        <f t="shared" si="62"/>
        <v>728.41999424175197</v>
      </c>
      <c r="BI74" s="59">
        <f ca="1">AVERAGE(OFFSET($BH$3,0,0,'Données projet'!$E$11+1,1))-AVERAGE(OFFSET($H$3,0,0,'Données projet'!$E$11+1,1))</f>
        <v>210.04871822652808</v>
      </c>
      <c r="BJ74" s="59">
        <f t="shared" si="92"/>
        <v>250.17540614049324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3.2415027432232328</v>
      </c>
      <c r="BQ74" s="21">
        <f>EXP(-LN(2)/25)*BQ73+(1-EXP(-LN(2)/25))/(LN(2)/25)*Calculateur!BL74*Calculateur!BN74*VLOOKUP('Données projet'!$B$11,Paramètres!$A$1:$I$89,3,0)*0.475*44/12</f>
        <v>8.9296646403908397</v>
      </c>
      <c r="BR74" s="21">
        <f>EXP(-LN(2)/2)*BR73+(1-EXP(-LN(2)/2))/(LN(2)/2)*BL74*BO74*VLOOKUP('Données projet'!$B$11,Paramètres!$A$1:$I$89,3,0)*0.475*44/12</f>
        <v>1.4534855734941227E-5</v>
      </c>
      <c r="BS74" s="22">
        <f t="shared" si="63"/>
        <v>12.171181918469808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6.1</v>
      </c>
      <c r="BY74" s="12">
        <f>IF('Données projet'!$A$114&gt;35,BY73+BX74-CG73,IF(A74&lt;'Données projet'!$A$114,$BV$205^A74,IF(A74='Données projet'!$A$114,'Données projet'!$B$114,BY73+BX74-CG73)))</f>
        <v>318.10000000000002</v>
      </c>
      <c r="BZ74" s="13">
        <f>BY74*VLOOKUP('Données projet'!$B$12,Paramètres!$A$1:$I$89,3,0)*VLOOKUP('Données projet'!$B$12,Paramètres!$A$1:$I$89,5,0)</f>
        <v>173.68260000000001</v>
      </c>
      <c r="CA74" s="13">
        <f t="shared" si="93"/>
        <v>43.913771928509959</v>
      </c>
      <c r="CB74" s="20">
        <f t="shared" si="64"/>
        <v>378.98034777548816</v>
      </c>
      <c r="CC74" s="59">
        <f t="shared" si="65"/>
        <v>672.31368110882147</v>
      </c>
      <c r="CD74" s="59">
        <f ca="1">AVERAGE(OFFSET($CC$3,0,0,'Données projet'!$E$12+1,1))-AVERAGE(OFFSET($H$3,0,0,'Données projet'!$E$12+1,1))</f>
        <v>168.72306536277267</v>
      </c>
      <c r="CE74" s="59">
        <f t="shared" si="94"/>
        <v>203.35476578922339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1.3506261430096809</v>
      </c>
      <c r="CL74" s="21">
        <f>EXP(-LN(2)/25)*CL73+(1-EXP(-LN(2)/25))/(LN(2)/25)*Calculateur!CG74*Calculateur!CI74*VLOOKUP('Données projet'!$B$12,Paramètres!$A$1:$I$89,3,0)*0.475*44/12</f>
        <v>7.3748929771689253</v>
      </c>
      <c r="CM74" s="21">
        <f>EXP(-LN(2)/2)*CM73+(1-EXP(-LN(2)/2))/(LN(2)/2)*CG74*CJ74*VLOOKUP('Données projet'!$B$12,Paramètres!$A$1:$I$89,3,0)*0.475*44/12</f>
        <v>1.3503072482985176E-5</v>
      </c>
      <c r="CN74" s="22">
        <f t="shared" si="66"/>
        <v>8.7255326232510892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16.923076923076923</v>
      </c>
      <c r="CT74" s="12">
        <f>IF('Données projet'!$A$140&gt;35,CT73+CS74-DB73,IF(A74&lt;'Données projet'!$A$140,$CQ$205^A74,IF(A74='Données projet'!$A$140,'Données projet'!$B$140,CT73+CS74-DB73)))</f>
        <v>401.53846153846149</v>
      </c>
      <c r="CU74" s="17">
        <f>CT74*VLOOKUP('Données projet'!$B$13,Paramètres!$A$1:$I$89,3,0)*VLOOKUP('Données projet'!$B$13,Paramètres!$A$1:$I$89,5,0)</f>
        <v>193.14</v>
      </c>
      <c r="CV74" s="13">
        <f t="shared" si="95"/>
        <v>48.233498627182172</v>
      </c>
      <c r="CW74" s="20">
        <f t="shared" si="67"/>
        <v>420.39217677567558</v>
      </c>
      <c r="CX74" s="59">
        <f t="shared" si="68"/>
        <v>713.72551010900884</v>
      </c>
      <c r="CY74" s="59">
        <f ca="1">AVERAGE(OFFSET($CX$3,0,0,'Données projet'!$E$13+1,1))-AVERAGE(OFFSET($H$3,0,0,'Données projet'!$E$13+1,1))</f>
        <v>304.15237106473313</v>
      </c>
      <c r="CZ74" s="59">
        <f t="shared" si="96"/>
        <v>120.85458928724336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>
        <f>EXP(-LN(2)/35)*DF73+(1-EXP(-LN(2)/35))/(LN(2)/35)*DB74*DC74*VLOOKUP('Données projet'!$B$13,Paramètres!$A$1:$I$89,3,0)*0.475*44/12</f>
        <v>0</v>
      </c>
      <c r="DG74" s="21">
        <f>EXP(-LN(2)/25)*DG73+(1-EXP(-LN(2)/25))/(LN(2)/25)*Calculateur!DB74*Calculateur!DD74*VLOOKUP('Données projet'!$B$13,Paramètres!$A$1:$I$89,3,0)*0.475*44/12</f>
        <v>0</v>
      </c>
      <c r="DH74" s="21">
        <f>EXP(-LN(2)/2)*DH73+(1-EXP(-LN(2)/2))/(LN(2)/2)*DB74*DE74*VLOOKUP('Données projet'!$B$13,Paramètres!$A$1:$I$89,3,0)*0.475*44/12</f>
        <v>0</v>
      </c>
      <c r="DI74" s="22">
        <f t="shared" si="69"/>
        <v>0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8.6923076923076898</v>
      </c>
      <c r="DO74" s="12">
        <f>IF('Données projet'!$A$166&gt;35,DO73+DN74-DW73,IF(A74&lt;'Données projet'!$A$166,$DL$205^A74,IF(A74='Données projet'!$A$166,'Données projet'!$B$166,DO73+DN74-DW73)))</f>
        <v>199.46153846153834</v>
      </c>
      <c r="DP74" s="17">
        <f>DO74*VLOOKUP('Données projet'!$B$14,Paramètres!$A$1:$I$89,3,0)*VLOOKUP('Données projet'!$B$14,Paramètres!$A$1:$I$89,5,0)</f>
        <v>95.940999999999946</v>
      </c>
      <c r="DQ74" s="13">
        <f t="shared" si="97"/>
        <v>25.992677122226649</v>
      </c>
      <c r="DR74" s="20">
        <f t="shared" si="70"/>
        <v>212.36782098787796</v>
      </c>
      <c r="DS74" s="59">
        <f t="shared" si="71"/>
        <v>505.70115432121128</v>
      </c>
      <c r="DT74" s="59">
        <f ca="1">AVERAGE(OFFSET($DS$3,0,0,'Données projet'!$E$14+1,1))-AVERAGE(OFFSET($H$3,0,0,'Données projet'!$E$14+1,1))</f>
        <v>91.053246648097399</v>
      </c>
      <c r="DU74" s="59">
        <f t="shared" si="98"/>
        <v>64.716270355703955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>
        <f>EXP(-LN(2)/35)*EA73+(1-EXP(-LN(2)/35))/(LN(2)/35)*DW74*DX74*VLOOKUP('Données projet'!$B$14,Paramètres!$A$1:$I$89,3,0)*0.475*44/12</f>
        <v>0</v>
      </c>
      <c r="EB74" s="21">
        <f>EXP(-LN(2)/25)*EB73+(1-EXP(-LN(2)/25))/(LN(2)/25)*Calculateur!DW74*Calculateur!DY74*VLOOKUP('Données projet'!$B$14,Paramètres!$A$1:$I$89,3,0)*0.475*44/12</f>
        <v>0</v>
      </c>
      <c r="EC74" s="21">
        <f>EXP(-LN(2)/2)*EC73+(1-EXP(-LN(2)/2))/(LN(2)/2)*DW74*DZ74*VLOOKUP('Données projet'!$B$14,Paramètres!$A$1:$I$89,3,0)*0.475*44/12</f>
        <v>0</v>
      </c>
      <c r="ED74" s="22">
        <f t="shared" si="72"/>
        <v>0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14.5</v>
      </c>
      <c r="EJ74" s="12">
        <f>IF('Données projet'!$A$192&gt;35,EJ73+EI74-ER73,IF(A74&lt;'Données projet'!$A$192,$EG$205^A74,IF(A74='Données projet'!$A$192,'Données projet'!$B$192,EJ73+EI74-ER73)))</f>
        <v>475.49999999999955</v>
      </c>
      <c r="EK74" s="17">
        <f>EJ74*VLOOKUP('Données projet'!$B$15,Paramètres!$A$1:$I$89,3,0)*VLOOKUP('Données projet'!$B$15,Paramètres!$A$1:$I$89,5,0)</f>
        <v>284.34899999999976</v>
      </c>
      <c r="EL74" s="13">
        <f t="shared" si="99"/>
        <v>67.88525155188097</v>
      </c>
      <c r="EM74" s="20">
        <f t="shared" si="73"/>
        <v>613.47465478619222</v>
      </c>
      <c r="EN74" s="59">
        <f t="shared" si="74"/>
        <v>906.80798811952559</v>
      </c>
      <c r="EO74" s="59">
        <f ca="1">AVERAGE(OFFSET($EN$3,0,0,'Données projet'!$E$15+1,1))-AVERAGE(OFFSET($H$3,0,0,'Données projet'!$E$15+1,1))</f>
        <v>316.58509520829671</v>
      </c>
      <c r="EP74" s="59">
        <f t="shared" si="100"/>
        <v>240.71332110643596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>
        <f>EXP(-LN(2)/35)*EV73+(1-EXP(-LN(2)/35))/(LN(2)/35)*ER74*ES74*VLOOKUP('Données projet'!$B$15,Paramètres!$A$1:$I$89,3,0)*0.475*44/12</f>
        <v>1.1252920875177599</v>
      </c>
      <c r="EW74" s="21">
        <f>EXP(-LN(2)/25)*EW73+(1-EXP(-LN(2)/25))/(LN(2)/25)*Calculateur!ER74*Calculateur!ET74*VLOOKUP('Données projet'!$B$15,Paramètres!$A$1:$I$89,3,0)*0.475*44/12</f>
        <v>4.8988131388262444</v>
      </c>
      <c r="EX74" s="21">
        <f>EXP(-LN(2)/2)*EX73+(1-EXP(-LN(2)/2))/(LN(2)/2)*ER74*EU74*VLOOKUP('Données projet'!$B$15,Paramètres!$A$1:$I$89,3,0)*0.475*44/12</f>
        <v>1.479478670089215E-5</v>
      </c>
      <c r="EY74" s="22">
        <f t="shared" si="75"/>
        <v>6.0241200211307051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12.5</v>
      </c>
      <c r="FE74" s="12">
        <f>IF('Données projet'!$A$218&gt;35,FE73+FD74-FM73,IF(A74&lt;'Données projet'!$A$218,$FB$205^A74,IF(A74='Données projet'!$A$218,'Données projet'!$B$218,FE73+FD74-FM73)))</f>
        <v>424.50000000000028</v>
      </c>
      <c r="FF74" s="17">
        <f>FE74*VLOOKUP('Données projet'!$B$16,Paramètres!$A$1:$I$89,3,0)*VLOOKUP('Données projet'!$B$16,Paramètres!$A$1:$I$89,5,0)</f>
        <v>253.8510000000002</v>
      </c>
      <c r="FG74" s="13">
        <f t="shared" si="101"/>
        <v>61.409839451305665</v>
      </c>
      <c r="FH74" s="20">
        <f t="shared" si="76"/>
        <v>549.07929537769098</v>
      </c>
      <c r="FI74" s="59">
        <f t="shared" si="77"/>
        <v>842.41262871102435</v>
      </c>
      <c r="FJ74" s="59">
        <f ca="1">AVERAGE(OFFSET($FI$3,0,0,'Données projet'!$E$16+1,1))-AVERAGE(OFFSET($H$3,0,0,'Données projet'!$E$16+1,1))</f>
        <v>270.30888762640245</v>
      </c>
      <c r="FK74" s="59">
        <f t="shared" si="102"/>
        <v>202.23783851977691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>
        <f>EXP(-LN(2)/35)*FQ73+(1-EXP(-LN(2)/35))/(LN(2)/35)*FM74*FN74*VLOOKUP('Données projet'!$B$16,Paramètres!$A$1:$I$89,3,0)*0.475*44/12</f>
        <v>0.9509510598741634</v>
      </c>
      <c r="FR74" s="21">
        <f>EXP(-LN(2)/25)*FR73+(1-EXP(-LN(2)/25))/(LN(2)/25)*Calculateur!FM74*Calculateur!FO74*VLOOKUP('Données projet'!$B$16,Paramètres!$A$1:$I$89,3,0)*0.475*44/12</f>
        <v>3.9449971460452087</v>
      </c>
      <c r="FS74" s="21">
        <f>EXP(-LN(2)/2)*FS73+(1-EXP(-LN(2)/2))/(LN(2)/2)*FM74*FP74*VLOOKUP('Données projet'!$B$16,Paramètres!$A$1:$I$89,3,0)*0.475*44/12</f>
        <v>1.2470482762638348E-5</v>
      </c>
      <c r="FT74" s="22">
        <f t="shared" si="78"/>
        <v>4.8959606764021348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3.9</v>
      </c>
      <c r="FZ74" s="12">
        <f>IF('Données projet'!$A$244&gt;35,FZ73+FY74-GH73,IF(A74&lt;'Données projet'!$A$244,$FW$205^A74,IF(A74='Données projet'!$A$244,'Données projet'!$B$244,FZ73+FY74-GH73)))</f>
        <v>306.89999999999969</v>
      </c>
      <c r="GA74" s="17">
        <f>FZ74*VLOOKUP('Données projet'!$B$17,Paramètres!$A$1:$I$89,3,0)*VLOOKUP('Données projet'!$B$17,Paramètres!$A$1:$I$89,5,0)</f>
        <v>244.16963999999976</v>
      </c>
      <c r="GB74" s="13">
        <f t="shared" si="103"/>
        <v>59.335747541340979</v>
      </c>
      <c r="GC74" s="20">
        <f t="shared" si="79"/>
        <v>528.60521663450174</v>
      </c>
      <c r="GD74" s="59">
        <f t="shared" si="80"/>
        <v>821.93854996783512</v>
      </c>
      <c r="GE74" s="59">
        <f ca="1">AVERAGE(OFFSET($GD$3,0,0,'Données projet'!$E$17+1,1))-AVERAGE(OFFSET($H$3,0,0,'Données projet'!$E$17+1,1))</f>
        <v>260.20517190557814</v>
      </c>
      <c r="GF74" s="59">
        <f t="shared" si="104"/>
        <v>307.22009971147133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>
        <f>EXP(-LN(2)/35)*GL73+(1-EXP(-LN(2)/35))/(LN(2)/35)*GH74*GI74*VLOOKUP('Données projet'!$B$17,Paramètres!$A$1:$I$89,3,0)*0.475*44/12</f>
        <v>1.4487073272044324</v>
      </c>
      <c r="GM74" s="21">
        <f>EXP(-LN(2)/25)*GM73+(1-EXP(-LN(2)/25))/(LN(2)/25)*Calculateur!GH74*Calculateur!GJ74*VLOOKUP('Données projet'!$B$17,Paramètres!$A$1:$I$89,3,0)*0.475*44/12</f>
        <v>6.5838473861767008</v>
      </c>
      <c r="GN74" s="21">
        <f>EXP(-LN(2)/2)*GN73+(1-EXP(-LN(2)/2))/(LN(2)/2)*GH74*GK74*VLOOKUP('Données projet'!$B$17,Paramètres!$A$1:$I$89,3,0)*0.475*44/12</f>
        <v>1.6210712559986465E-5</v>
      </c>
      <c r="GO74" s="21">
        <f t="shared" si="81"/>
        <v>8.0325709240936938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3.1</v>
      </c>
      <c r="GU74" s="12">
        <f>IF('Données projet'!$A$270&gt;35,GU73+GT74-HC73,IF(A74&lt;'Données projet'!$A$270,$GR$205^A74,IF(A74='Données projet'!$A$270,'Données projet'!$B$270,GU73+GT74-HC73)))</f>
        <v>256.09999999999985</v>
      </c>
      <c r="GV74" s="17">
        <f>GU74*VLOOKUP('Données projet'!$B$18,Paramètres!$A$1:$I$89,3,0)*VLOOKUP('Données projet'!$B$18,Paramètres!$A$1:$I$89,5,0)</f>
        <v>203.75315999999989</v>
      </c>
      <c r="GW74" s="13">
        <f t="shared" si="105"/>
        <v>50.568104070523326</v>
      </c>
      <c r="GX74" s="20">
        <f t="shared" si="82"/>
        <v>442.94286825616126</v>
      </c>
      <c r="GY74" s="59">
        <f t="shared" si="83"/>
        <v>736.27620158949458</v>
      </c>
      <c r="GZ74" s="59">
        <f ca="1">AVERAGE(OFFSET($GY$3,0,0,'Données projet'!$E$18+1,1))-AVERAGE(OFFSET($H$3,0,0,'Données projet'!$E$18+1,1))</f>
        <v>199.58763537752952</v>
      </c>
      <c r="HA74" s="59">
        <f t="shared" si="106"/>
        <v>242.62852778451929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>
        <f>EXP(-LN(2)/35)*HG73+(1-EXP(-LN(2)/35))/(LN(2)/35)*HC74*HD74*VLOOKUP('Données projet'!$B$18,Paramètres!$A$1:$I$89,3,0)*0.475*44/12</f>
        <v>0</v>
      </c>
      <c r="HH74" s="21">
        <f>EXP(-LN(2)/25)*HH73+(1-EXP(-LN(2)/25))/(LN(2)/25)*Calculateur!HC74*Calculateur!HE74*VLOOKUP('Données projet'!$B$18,Paramètres!$A$1:$I$89,3,0)*0.475*44/12</f>
        <v>3.2993595762182726</v>
      </c>
      <c r="HI74" s="21">
        <f>EXP(-LN(2)/2)*HI73+(1-EXP(-LN(2)/2))/(LN(2)/2)*HC74*HF74*VLOOKUP('Données projet'!$B$18,Paramètres!$A$1:$I$89,3,0)*0.475*44/12</f>
        <v>7.2570523414430848E-6</v>
      </c>
      <c r="HJ74" s="22">
        <f t="shared" si="84"/>
        <v>3.2993668332706139</v>
      </c>
    </row>
    <row r="75" spans="1:218" x14ac:dyDescent="0.2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64.022400000000076</v>
      </c>
      <c r="D75" s="11">
        <f t="shared" si="86"/>
        <v>18.181385543312256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634.55553752732339</v>
      </c>
      <c r="H75" s="67">
        <f t="shared" si="56"/>
        <v>436.50492648793568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-2.2737367544323206E-13</v>
      </c>
      <c r="O75" s="13">
        <f>N75*VLOOKUP('Données projet'!$B$9,Paramètres!$A$1:$I$89,3,0)*VLOOKUP('Données projet'!$B$9,Paramètres!$A$1:$I$89,5,0)</f>
        <v>-1.2710188457276673E-13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255.5374979188561</v>
      </c>
      <c r="T75" s="59">
        <f t="shared" si="88"/>
        <v>343.10418468620901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1.3450183997879879</v>
      </c>
      <c r="AA75" s="21">
        <f>EXP(-LN(2)/25)*AA74+(1-EXP(-LN(2)/25))/(LN(2)/25)*Calculateur!V75*Calculateur!X75*VLOOKUP('Données projet'!$B$9,Paramètres!$A$1:$I$89,3,0)*0.475*44/12</f>
        <v>4.9809197601748592</v>
      </c>
      <c r="AB75" s="21">
        <f>EXP(-LN(2)/2)*AB74+(1-EXP(-LN(2)/2))/(LN(2)/2)*V75*Y75*VLOOKUP('Données projet'!$B$9,Paramètres!$A$1:$I$89,3,0)*0.475*44/12</f>
        <v>8.07119407393487E-7</v>
      </c>
      <c r="AC75" s="22">
        <f t="shared" si="57"/>
        <v>6.325938967082255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1.1368683772161603E-13</v>
      </c>
      <c r="AJ75" s="13">
        <f>AI75*VLOOKUP('Données projet'!$B$10,Paramètres!$A$1:$I$89,3,0)*VLOOKUP('Données projet'!$B$10,Paramètres!$A$1:$I$89,5,0)</f>
        <v>6.3550942286383367E-14</v>
      </c>
      <c r="AK75" s="13">
        <f t="shared" si="89"/>
        <v>1.0064464192543978E-12</v>
      </c>
      <c r="AL75" s="20">
        <f t="shared" si="58"/>
        <v>1.8635787380168604E-12</v>
      </c>
      <c r="AM75" s="59">
        <f t="shared" si="59"/>
        <v>293.33333333333519</v>
      </c>
      <c r="AN75" s="59">
        <f ca="1">AVERAGE(OFFSET($AM$3,0,0,'Données projet'!$E$10+1,1))-AVERAGE(OFFSET($H$3,0,0,'Données projet'!$E$10+1,1))</f>
        <v>224.7049802939942</v>
      </c>
      <c r="AO75" s="59">
        <f t="shared" si="90"/>
        <v>203.48513862195352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0.97116901979899006</v>
      </c>
      <c r="AV75" s="21">
        <f>EXP(-LN(2)/25)*AV74+(1-EXP(-LN(2)/25))/(LN(2)/25)*Calculateur!AQ75*Calculateur!AS75*VLOOKUP('Données projet'!$B$10,Paramètres!$A$1:$I$89,3,0)*0.475*44/12</f>
        <v>6.0932660444270104</v>
      </c>
      <c r="AW75" s="21">
        <f>EXP(-LN(2)/2)*AW74+(1-EXP(-LN(2)/2))/(LN(2)/2)*AQ75*AT75*VLOOKUP('Données projet'!$B$10,Paramètres!$A$1:$I$89,3,0)*0.475*44/12</f>
        <v>4.2727530436935447E-6</v>
      </c>
      <c r="AX75" s="21">
        <f t="shared" si="60"/>
        <v>7.0644393369790439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7.4</v>
      </c>
      <c r="BD75" s="12">
        <f>IF('Données projet'!$A$88&gt;35,BD74+BC75-BL74,IF(A75&lt;'Données projet'!$A$88,$BA$205^A75,IF(A75='Données projet'!$A$88,'Données projet'!$B$88,BD74+BC75-BL74)))</f>
        <v>373.80000000000018</v>
      </c>
      <c r="BE75" s="13">
        <f>BD75*VLOOKUP('Données projet'!$B$11,Paramètres!$A$1:$I$89,3,0)*VLOOKUP('Données projet'!$B$11,Paramètres!$A$1:$I$89,5,0)</f>
        <v>204.09480000000011</v>
      </c>
      <c r="BF75" s="13">
        <f t="shared" si="91"/>
        <v>50.643016586252969</v>
      </c>
      <c r="BG75" s="20">
        <f t="shared" si="61"/>
        <v>443.66836388772407</v>
      </c>
      <c r="BH75" s="59">
        <f t="shared" si="62"/>
        <v>737.00169722105738</v>
      </c>
      <c r="BI75" s="59">
        <f ca="1">AVERAGE(OFFSET($BH$3,0,0,'Données projet'!$E$11+1,1))-AVERAGE(OFFSET($H$3,0,0,'Données projet'!$E$11+1,1))</f>
        <v>210.04871822652808</v>
      </c>
      <c r="BJ75" s="59">
        <f t="shared" si="92"/>
        <v>250.17540614049324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3.1779388515500742</v>
      </c>
      <c r="BQ75" s="21">
        <f>EXP(-LN(2)/25)*BQ74+(1-EXP(-LN(2)/25))/(LN(2)/25)*Calculateur!BL75*Calculateur!BN75*VLOOKUP('Données projet'!$B$11,Paramètres!$A$1:$I$89,3,0)*0.475*44/12</f>
        <v>8.6854824912086972</v>
      </c>
      <c r="BR75" s="21">
        <f>EXP(-LN(2)/2)*BR74+(1-EXP(-LN(2)/2))/(LN(2)/2)*BL75*BO75*VLOOKUP('Données projet'!$B$11,Paramètres!$A$1:$I$89,3,0)*0.475*44/12</f>
        <v>1.0277695053745123E-5</v>
      </c>
      <c r="BS75" s="22">
        <f t="shared" si="63"/>
        <v>11.863431620453825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6.1</v>
      </c>
      <c r="BY75" s="12">
        <f>IF('Données projet'!$A$114&gt;35,BY74+BX75-CG74,IF(A75&lt;'Données projet'!$A$114,$BV$205^A75,IF(A75='Données projet'!$A$114,'Données projet'!$B$114,BY74+BX75-CG74)))</f>
        <v>324.20000000000005</v>
      </c>
      <c r="BZ75" s="13">
        <f>BY75*VLOOKUP('Données projet'!$B$12,Paramètres!$A$1:$I$89,3,0)*VLOOKUP('Données projet'!$B$12,Paramètres!$A$1:$I$89,5,0)</f>
        <v>177.01320000000004</v>
      </c>
      <c r="CA75" s="13">
        <f t="shared" si="93"/>
        <v>44.657032460641901</v>
      </c>
      <c r="CB75" s="20">
        <f t="shared" si="64"/>
        <v>386.0756548689514</v>
      </c>
      <c r="CC75" s="59">
        <f t="shared" si="65"/>
        <v>679.40898820228472</v>
      </c>
      <c r="CD75" s="59">
        <f ca="1">AVERAGE(OFFSET($CC$3,0,0,'Données projet'!$E$12+1,1))-AVERAGE(OFFSET($H$3,0,0,'Données projet'!$E$12+1,1))</f>
        <v>168.72306536277267</v>
      </c>
      <c r="CE75" s="59">
        <f t="shared" si="94"/>
        <v>203.35476578922339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1.3241411881458647</v>
      </c>
      <c r="CL75" s="21">
        <f>EXP(-LN(2)/25)*CL74+(1-EXP(-LN(2)/25))/(LN(2)/25)*Calculateur!CG75*Calculateur!CI75*VLOOKUP('Données projet'!$B$12,Paramètres!$A$1:$I$89,3,0)*0.475*44/12</f>
        <v>7.1732261408794749</v>
      </c>
      <c r="CM75" s="21">
        <f>EXP(-LN(2)/2)*CM74+(1-EXP(-LN(2)/2))/(LN(2)/2)*CG75*CJ75*VLOOKUP('Données projet'!$B$12,Paramètres!$A$1:$I$89,3,0)*0.475*44/12</f>
        <v>9.5481141195722895E-6</v>
      </c>
      <c r="CN75" s="22">
        <f t="shared" si="66"/>
        <v>8.4973768771394589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16.923076923076923</v>
      </c>
      <c r="CT75" s="12">
        <f>IF('Données projet'!$A$140&gt;35,CT74+CS75-DB74,IF(A75&lt;'Données projet'!$A$140,$CQ$205^A75,IF(A75='Données projet'!$A$140,'Données projet'!$B$140,CT74+CS75-DB74)))</f>
        <v>418.4615384615384</v>
      </c>
      <c r="CU75" s="17">
        <f>CT75*VLOOKUP('Données projet'!$B$13,Paramètres!$A$1:$I$89,3,0)*VLOOKUP('Données projet'!$B$13,Paramètres!$A$1:$I$89,5,0)</f>
        <v>201.27999999999994</v>
      </c>
      <c r="CV75" s="13">
        <f t="shared" si="95"/>
        <v>50.025368451763654</v>
      </c>
      <c r="CW75" s="20">
        <f t="shared" si="67"/>
        <v>437.69018338682162</v>
      </c>
      <c r="CX75" s="59">
        <f t="shared" si="68"/>
        <v>731.02351672015493</v>
      </c>
      <c r="CY75" s="59">
        <f ca="1">AVERAGE(OFFSET($CX$3,0,0,'Données projet'!$E$13+1,1))-AVERAGE(OFFSET($H$3,0,0,'Données projet'!$E$13+1,1))</f>
        <v>304.15237106473313</v>
      </c>
      <c r="CZ75" s="59">
        <f t="shared" si="96"/>
        <v>120.85458928724336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>
        <f>EXP(-LN(2)/35)*DF74+(1-EXP(-LN(2)/35))/(LN(2)/35)*DB75*DC75*VLOOKUP('Données projet'!$B$13,Paramètres!$A$1:$I$89,3,0)*0.475*44/12</f>
        <v>0</v>
      </c>
      <c r="DG75" s="21">
        <f>EXP(-LN(2)/25)*DG74+(1-EXP(-LN(2)/25))/(LN(2)/25)*Calculateur!DB75*Calculateur!DD75*VLOOKUP('Données projet'!$B$13,Paramètres!$A$1:$I$89,3,0)*0.475*44/12</f>
        <v>0</v>
      </c>
      <c r="DH75" s="21">
        <f>EXP(-LN(2)/2)*DH74+(1-EXP(-LN(2)/2))/(LN(2)/2)*DB75*DE75*VLOOKUP('Données projet'!$B$13,Paramètres!$A$1:$I$89,3,0)*0.475*44/12</f>
        <v>0</v>
      </c>
      <c r="DI75" s="22">
        <f t="shared" si="69"/>
        <v>0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8.6923076923076898</v>
      </c>
      <c r="DO75" s="12">
        <f>IF('Données projet'!$A$166&gt;35,DO74+DN75-DW74,IF(A75&lt;'Données projet'!$A$166,$DL$205^A75,IF(A75='Données projet'!$A$166,'Données projet'!$B$166,DO74+DN75-DW74)))</f>
        <v>208.15384615384602</v>
      </c>
      <c r="DP75" s="17">
        <f>DO75*VLOOKUP('Données projet'!$B$14,Paramètres!$A$1:$I$89,3,0)*VLOOKUP('Données projet'!$B$14,Paramètres!$A$1:$I$89,5,0)</f>
        <v>100.12199999999993</v>
      </c>
      <c r="DQ75" s="13">
        <f t="shared" si="97"/>
        <v>26.991060303230135</v>
      </c>
      <c r="DR75" s="20">
        <f t="shared" si="70"/>
        <v>221.38858002812572</v>
      </c>
      <c r="DS75" s="59">
        <f t="shared" si="71"/>
        <v>514.72191336145897</v>
      </c>
      <c r="DT75" s="59">
        <f ca="1">AVERAGE(OFFSET($DS$3,0,0,'Données projet'!$E$14+1,1))-AVERAGE(OFFSET($H$3,0,0,'Données projet'!$E$14+1,1))</f>
        <v>91.053246648097399</v>
      </c>
      <c r="DU75" s="59">
        <f t="shared" si="98"/>
        <v>64.716270355703955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>
        <f>EXP(-LN(2)/35)*EA74+(1-EXP(-LN(2)/35))/(LN(2)/35)*DW75*DX75*VLOOKUP('Données projet'!$B$14,Paramètres!$A$1:$I$89,3,0)*0.475*44/12</f>
        <v>0</v>
      </c>
      <c r="EB75" s="21">
        <f>EXP(-LN(2)/25)*EB74+(1-EXP(-LN(2)/25))/(LN(2)/25)*Calculateur!DW75*Calculateur!DY75*VLOOKUP('Données projet'!$B$14,Paramètres!$A$1:$I$89,3,0)*0.475*44/12</f>
        <v>0</v>
      </c>
      <c r="EC75" s="21">
        <f>EXP(-LN(2)/2)*EC74+(1-EXP(-LN(2)/2))/(LN(2)/2)*DW75*DZ75*VLOOKUP('Données projet'!$B$14,Paramètres!$A$1:$I$89,3,0)*0.475*44/12</f>
        <v>0</v>
      </c>
      <c r="ED75" s="22">
        <f t="shared" si="72"/>
        <v>0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14.5</v>
      </c>
      <c r="EJ75" s="12">
        <f>IF('Données projet'!$A$192&gt;35,EJ74+EI75-ER74,IF(A75&lt;'Données projet'!$A$192,$EG$205^A75,IF(A75='Données projet'!$A$192,'Données projet'!$B$192,EJ74+EI75-ER74)))</f>
        <v>489.99999999999955</v>
      </c>
      <c r="EK75" s="17">
        <f>EJ75*VLOOKUP('Données projet'!$B$15,Paramètres!$A$1:$I$89,3,0)*VLOOKUP('Données projet'!$B$15,Paramètres!$A$1:$I$89,5,0)</f>
        <v>293.01999999999975</v>
      </c>
      <c r="EL75" s="13">
        <f t="shared" si="99"/>
        <v>69.711188549176683</v>
      </c>
      <c r="EM75" s="20">
        <f t="shared" si="73"/>
        <v>631.75682005648218</v>
      </c>
      <c r="EN75" s="59">
        <f t="shared" si="74"/>
        <v>925.09015338981544</v>
      </c>
      <c r="EO75" s="59">
        <f ca="1">AVERAGE(OFFSET($EN$3,0,0,'Données projet'!$E$15+1,1))-AVERAGE(OFFSET($H$3,0,0,'Données projet'!$E$15+1,1))</f>
        <v>316.58509520829671</v>
      </c>
      <c r="EP75" s="59">
        <f t="shared" si="100"/>
        <v>240.71332110643596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>
        <f>EXP(-LN(2)/35)*EV74+(1-EXP(-LN(2)/35))/(LN(2)/35)*ER75*ES75*VLOOKUP('Données projet'!$B$15,Paramètres!$A$1:$I$89,3,0)*0.475*44/12</f>
        <v>1.1032257960419376</v>
      </c>
      <c r="EW75" s="21">
        <f>EXP(-LN(2)/25)*EW74+(1-EXP(-LN(2)/25))/(LN(2)/25)*Calculateur!ER75*Calculateur!ET75*VLOOKUP('Données projet'!$B$15,Paramètres!$A$1:$I$89,3,0)*0.475*44/12</f>
        <v>4.7648548359276539</v>
      </c>
      <c r="EX75" s="21">
        <f>EXP(-LN(2)/2)*EX74+(1-EXP(-LN(2)/2))/(LN(2)/2)*ER75*EU75*VLOOKUP('Données projet'!$B$15,Paramètres!$A$1:$I$89,3,0)*0.475*44/12</f>
        <v>1.046149400240939E-5</v>
      </c>
      <c r="EY75" s="22">
        <f t="shared" si="75"/>
        <v>5.8680910934635939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12.5</v>
      </c>
      <c r="FE75" s="12">
        <f>IF('Données projet'!$A$218&gt;35,FE74+FD75-FM74,IF(A75&lt;'Données projet'!$A$218,$FB$205^A75,IF(A75='Données projet'!$A$218,'Données projet'!$B$218,FE74+FD75-FM74)))</f>
        <v>437.00000000000028</v>
      </c>
      <c r="FF75" s="17">
        <f>FE75*VLOOKUP('Données projet'!$B$16,Paramètres!$A$1:$I$89,3,0)*VLOOKUP('Données projet'!$B$16,Paramètres!$A$1:$I$89,5,0)</f>
        <v>261.32600000000019</v>
      </c>
      <c r="FG75" s="13">
        <f t="shared" si="101"/>
        <v>63.004943834026825</v>
      </c>
      <c r="FH75" s="20">
        <f t="shared" si="76"/>
        <v>564.87639384426382</v>
      </c>
      <c r="FI75" s="59">
        <f t="shared" si="77"/>
        <v>858.20972717759719</v>
      </c>
      <c r="FJ75" s="59">
        <f ca="1">AVERAGE(OFFSET($FI$3,0,0,'Données projet'!$E$16+1,1))-AVERAGE(OFFSET($H$3,0,0,'Données projet'!$E$16+1,1))</f>
        <v>270.30888762640245</v>
      </c>
      <c r="FK75" s="59">
        <f t="shared" si="102"/>
        <v>202.23783851977691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>
        <f>EXP(-LN(2)/35)*FQ74+(1-EXP(-LN(2)/35))/(LN(2)/35)*FM75*FN75*VLOOKUP('Données projet'!$B$16,Paramètres!$A$1:$I$89,3,0)*0.475*44/12</f>
        <v>0.9323034896129051</v>
      </c>
      <c r="FR75" s="21">
        <f>EXP(-LN(2)/25)*FR74+(1-EXP(-LN(2)/25))/(LN(2)/25)*Calculateur!FM75*Calculateur!FO75*VLOOKUP('Données projet'!$B$16,Paramètres!$A$1:$I$89,3,0)*0.475*44/12</f>
        <v>3.8371209916282187</v>
      </c>
      <c r="FS75" s="21">
        <f>EXP(-LN(2)/2)*FS74+(1-EXP(-LN(2)/2))/(LN(2)/2)*FM75*FP75*VLOOKUP('Données projet'!$B$16,Paramètres!$A$1:$I$89,3,0)*0.475*44/12</f>
        <v>8.8179629261315269E-6</v>
      </c>
      <c r="FT75" s="22">
        <f t="shared" si="78"/>
        <v>4.7694332992040502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3.9</v>
      </c>
      <c r="FZ75" s="12">
        <f>IF('Données projet'!$A$244&gt;35,FZ74+FY75-GH74,IF(A75&lt;'Données projet'!$A$244,$FW$205^A75,IF(A75='Données projet'!$A$244,'Données projet'!$B$244,FZ74+FY75-GH74)))</f>
        <v>310.79999999999967</v>
      </c>
      <c r="GA75" s="17">
        <f>FZ75*VLOOKUP('Données projet'!$B$17,Paramètres!$A$1:$I$89,3,0)*VLOOKUP('Données projet'!$B$17,Paramètres!$A$1:$I$89,5,0)</f>
        <v>247.27247999999975</v>
      </c>
      <c r="GB75" s="13">
        <f t="shared" si="103"/>
        <v>60.001511123918704</v>
      </c>
      <c r="GC75" s="20">
        <f t="shared" si="79"/>
        <v>535.16886787415797</v>
      </c>
      <c r="GD75" s="59">
        <f t="shared" si="80"/>
        <v>828.50220120749123</v>
      </c>
      <c r="GE75" s="59">
        <f ca="1">AVERAGE(OFFSET($GD$3,0,0,'Données projet'!$E$17+1,1))-AVERAGE(OFFSET($H$3,0,0,'Données projet'!$E$17+1,1))</f>
        <v>260.20517190557814</v>
      </c>
      <c r="GF75" s="59">
        <f t="shared" si="104"/>
        <v>307.22009971147133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>
        <f>EXP(-LN(2)/35)*GL74+(1-EXP(-LN(2)/35))/(LN(2)/35)*GH75*GI75*VLOOKUP('Données projet'!$B$17,Paramètres!$A$1:$I$89,3,0)*0.475*44/12</f>
        <v>1.4202990601421723</v>
      </c>
      <c r="GM75" s="21">
        <f>EXP(-LN(2)/25)*GM74+(1-EXP(-LN(2)/25))/(LN(2)/25)*Calculateur!GH75*Calculateur!GJ75*VLOOKUP('Données projet'!$B$17,Paramètres!$A$1:$I$89,3,0)*0.475*44/12</f>
        <v>6.4038117331722129</v>
      </c>
      <c r="GN75" s="21">
        <f>EXP(-LN(2)/2)*GN74+(1-EXP(-LN(2)/2))/(LN(2)/2)*GH75*GK75*VLOOKUP('Données projet'!$B$17,Paramètres!$A$1:$I$89,3,0)*0.475*44/12</f>
        <v>1.1462704779032367E-5</v>
      </c>
      <c r="GO75" s="21">
        <f t="shared" si="81"/>
        <v>7.8241222560191641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3.1</v>
      </c>
      <c r="GU75" s="12">
        <f>IF('Données projet'!$A$270&gt;35,GU74+GT75-HC74,IF(A75&lt;'Données projet'!$A$270,$GR$205^A75,IF(A75='Données projet'!$A$270,'Données projet'!$B$270,GU74+GT75-HC74)))</f>
        <v>259.19999999999987</v>
      </c>
      <c r="GV75" s="17">
        <f>GU75*VLOOKUP('Données projet'!$B$18,Paramètres!$A$1:$I$89,3,0)*VLOOKUP('Données projet'!$B$18,Paramètres!$A$1:$I$89,5,0)</f>
        <v>206.21951999999993</v>
      </c>
      <c r="GW75" s="13">
        <f t="shared" si="105"/>
        <v>51.10858428464028</v>
      </c>
      <c r="GX75" s="20">
        <f t="shared" si="82"/>
        <v>448.17978162908167</v>
      </c>
      <c r="GY75" s="59">
        <f t="shared" si="83"/>
        <v>741.51311496241499</v>
      </c>
      <c r="GZ75" s="59">
        <f ca="1">AVERAGE(OFFSET($GY$3,0,0,'Données projet'!$E$18+1,1))-AVERAGE(OFFSET($H$3,0,0,'Données projet'!$E$18+1,1))</f>
        <v>199.58763537752952</v>
      </c>
      <c r="HA75" s="59">
        <f t="shared" si="106"/>
        <v>242.62852778451929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>
        <f>EXP(-LN(2)/35)*HG74+(1-EXP(-LN(2)/35))/(LN(2)/35)*HC75*HD75*VLOOKUP('Données projet'!$B$18,Paramètres!$A$1:$I$89,3,0)*0.475*44/12</f>
        <v>0</v>
      </c>
      <c r="HH75" s="21">
        <f>EXP(-LN(2)/25)*HH74+(1-EXP(-LN(2)/25))/(LN(2)/25)*Calculateur!HC75*Calculateur!HE75*VLOOKUP('Données projet'!$B$18,Paramètres!$A$1:$I$89,3,0)*0.475*44/12</f>
        <v>3.2091384151008047</v>
      </c>
      <c r="HI75" s="21">
        <f>EXP(-LN(2)/2)*HI74+(1-EXP(-LN(2)/2))/(LN(2)/2)*HC75*HF75*VLOOKUP('Données projet'!$B$18,Paramètres!$A$1:$I$89,3,0)*0.475*44/12</f>
        <v>5.1315109220601177E-6</v>
      </c>
      <c r="HJ75" s="22">
        <f t="shared" si="84"/>
        <v>3.2091435466117266</v>
      </c>
    </row>
    <row r="76" spans="1:218" x14ac:dyDescent="0.2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64.911600000000078</v>
      </c>
      <c r="D76" s="11">
        <f t="shared" si="86"/>
        <v>18.404332112224722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643.14052858559501</v>
      </c>
      <c r="H76" s="67">
        <f t="shared" si="56"/>
        <v>438.44191509545817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-2.2737367544323206E-13</v>
      </c>
      <c r="O76" s="13">
        <f>N76*VLOOKUP('Données projet'!$B$9,Paramètres!$A$1:$I$89,3,0)*VLOOKUP('Données projet'!$B$9,Paramètres!$A$1:$I$89,5,0)</f>
        <v>-1.2710188457276673E-13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255.5374979188561</v>
      </c>
      <c r="T76" s="59">
        <f t="shared" si="88"/>
        <v>343.10418468620901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1.3186434093483634</v>
      </c>
      <c r="AA76" s="21">
        <f>EXP(-LN(2)/25)*AA75+(1-EXP(-LN(2)/25))/(LN(2)/25)*Calculateur!V76*Calculateur!X76*VLOOKUP('Données projet'!$B$9,Paramètres!$A$1:$I$89,3,0)*0.475*44/12</f>
        <v>4.8447162473976917</v>
      </c>
      <c r="AB76" s="21">
        <f>EXP(-LN(2)/2)*AB75+(1-EXP(-LN(2)/2))/(LN(2)/2)*V76*Y76*VLOOKUP('Données projet'!$B$9,Paramètres!$A$1:$I$89,3,0)*0.475*44/12</f>
        <v>5.7071960619520231E-7</v>
      </c>
      <c r="AC76" s="22">
        <f t="shared" si="57"/>
        <v>6.1633602274656605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1.1368683772161603E-13</v>
      </c>
      <c r="AJ76" s="13">
        <f>AI76*VLOOKUP('Données projet'!$B$10,Paramètres!$A$1:$I$89,3,0)*VLOOKUP('Données projet'!$B$10,Paramètres!$A$1:$I$89,5,0)</f>
        <v>6.3550942286383367E-14</v>
      </c>
      <c r="AK76" s="13">
        <f t="shared" si="89"/>
        <v>1.0064464192543978E-12</v>
      </c>
      <c r="AL76" s="20">
        <f t="shared" si="58"/>
        <v>1.8635787380168604E-12</v>
      </c>
      <c r="AM76" s="59">
        <f t="shared" si="59"/>
        <v>293.33333333333519</v>
      </c>
      <c r="AN76" s="59">
        <f ca="1">AVERAGE(OFFSET($AM$3,0,0,'Données projet'!$E$10+1,1))-AVERAGE(OFFSET($H$3,0,0,'Données projet'!$E$10+1,1))</f>
        <v>224.7049802939942</v>
      </c>
      <c r="AO76" s="59">
        <f t="shared" si="90"/>
        <v>203.48513862195352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0.95212498767534381</v>
      </c>
      <c r="AV76" s="21">
        <f>EXP(-LN(2)/25)*AV75+(1-EXP(-LN(2)/25))/(LN(2)/25)*Calculateur!AQ76*Calculateur!AS76*VLOOKUP('Données projet'!$B$10,Paramètres!$A$1:$I$89,3,0)*0.475*44/12</f>
        <v>5.9266453640112191</v>
      </c>
      <c r="AW76" s="21">
        <f>EXP(-LN(2)/2)*AW75+(1-EXP(-LN(2)/2))/(LN(2)/2)*AQ76*AT76*VLOOKUP('Données projet'!$B$10,Paramètres!$A$1:$I$89,3,0)*0.475*44/12</f>
        <v>3.0212926515311662E-6</v>
      </c>
      <c r="AX76" s="21">
        <f t="shared" si="60"/>
        <v>6.8787733729792144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7.4</v>
      </c>
      <c r="BD76" s="12">
        <f>IF('Données projet'!$A$88&gt;35,BD75+BC76-BL75,IF(A76&lt;'Données projet'!$A$88,$BA$205^A76,IF(A76='Données projet'!$A$88,'Données projet'!$B$88,BD75+BC76-BL75)))</f>
        <v>381.20000000000016</v>
      </c>
      <c r="BE76" s="13">
        <f>BD76*VLOOKUP('Données projet'!$B$11,Paramètres!$A$1:$I$89,3,0)*VLOOKUP('Données projet'!$B$11,Paramètres!$A$1:$I$89,5,0)</f>
        <v>208.13520000000011</v>
      </c>
      <c r="BF76" s="13">
        <f t="shared" si="91"/>
        <v>51.527868675898425</v>
      </c>
      <c r="BG76" s="20">
        <f t="shared" si="61"/>
        <v>452.24651127718994</v>
      </c>
      <c r="BH76" s="59">
        <f t="shared" si="62"/>
        <v>745.5798446105232</v>
      </c>
      <c r="BI76" s="59">
        <f ca="1">AVERAGE(OFFSET($BH$3,0,0,'Données projet'!$E$11+1,1))-AVERAGE(OFFSET($H$3,0,0,'Données projet'!$E$11+1,1))</f>
        <v>210.04871822652808</v>
      </c>
      <c r="BJ76" s="59">
        <f t="shared" si="92"/>
        <v>250.17540614049324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3.1156214090224803</v>
      </c>
      <c r="BQ76" s="21">
        <f>EXP(-LN(2)/25)*BQ75+(1-EXP(-LN(2)/25))/(LN(2)/25)*Calculateur!BL76*Calculateur!BN76*VLOOKUP('Données projet'!$B$11,Paramètres!$A$1:$I$89,3,0)*0.475*44/12</f>
        <v>8.4479775157369215</v>
      </c>
      <c r="BR76" s="21">
        <f>EXP(-LN(2)/2)*BR75+(1-EXP(-LN(2)/2))/(LN(2)/2)*BL76*BO76*VLOOKUP('Données projet'!$B$11,Paramètres!$A$1:$I$89,3,0)*0.475*44/12</f>
        <v>7.2674278674706145E-6</v>
      </c>
      <c r="BS76" s="22">
        <f t="shared" si="63"/>
        <v>11.563606192187269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6.1</v>
      </c>
      <c r="BY76" s="12">
        <f>IF('Données projet'!$A$114&gt;35,BY75+BX76-CG75,IF(A76&lt;'Données projet'!$A$114,$BV$205^A76,IF(A76='Données projet'!$A$114,'Données projet'!$B$114,BY75+BX76-CG75)))</f>
        <v>330.30000000000007</v>
      </c>
      <c r="BZ76" s="13">
        <f>BY76*VLOOKUP('Données projet'!$B$12,Paramètres!$A$1:$I$89,3,0)*VLOOKUP('Données projet'!$B$12,Paramètres!$A$1:$I$89,5,0)</f>
        <v>180.34380000000004</v>
      </c>
      <c r="CA76" s="13">
        <f t="shared" si="93"/>
        <v>45.398666835773618</v>
      </c>
      <c r="CB76" s="20">
        <f t="shared" si="64"/>
        <v>393.16812973897248</v>
      </c>
      <c r="CC76" s="59">
        <f t="shared" si="65"/>
        <v>686.5014630723058</v>
      </c>
      <c r="CD76" s="59">
        <f ca="1">AVERAGE(OFFSET($CC$3,0,0,'Données projet'!$E$12+1,1))-AVERAGE(OFFSET($H$3,0,0,'Données projet'!$E$12+1,1))</f>
        <v>168.72306536277267</v>
      </c>
      <c r="CE76" s="59">
        <f t="shared" si="94"/>
        <v>203.35476578922339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1.2981755870927005</v>
      </c>
      <c r="CL76" s="21">
        <f>EXP(-LN(2)/25)*CL75+(1-EXP(-LN(2)/25))/(LN(2)/25)*Calculateur!CG76*Calculateur!CI76*VLOOKUP('Données projet'!$B$12,Paramètres!$A$1:$I$89,3,0)*0.475*44/12</f>
        <v>6.9770738948335573</v>
      </c>
      <c r="CM76" s="21">
        <f>EXP(-LN(2)/2)*CM75+(1-EXP(-LN(2)/2))/(LN(2)/2)*CG76*CJ76*VLOOKUP('Données projet'!$B$12,Paramètres!$A$1:$I$89,3,0)*0.475*44/12</f>
        <v>6.7515362414925879E-6</v>
      </c>
      <c r="CN76" s="22">
        <f t="shared" si="66"/>
        <v>8.2752562334624997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16.923076923076923</v>
      </c>
      <c r="CT76" s="12">
        <f>IF('Données projet'!$A$140&gt;35,CT75+CS76-DB75,IF(A76&lt;'Données projet'!$A$140,$CQ$205^A76,IF(A76='Données projet'!$A$140,'Données projet'!$B$140,CT75+CS76-DB75)))</f>
        <v>435.3846153846153</v>
      </c>
      <c r="CU76" s="17">
        <f>CT76*VLOOKUP('Données projet'!$B$13,Paramètres!$A$1:$I$89,3,0)*VLOOKUP('Données projet'!$B$13,Paramètres!$A$1:$I$89,5,0)</f>
        <v>209.41999999999996</v>
      </c>
      <c r="CV76" s="13">
        <f t="shared" si="95"/>
        <v>51.808820711455354</v>
      </c>
      <c r="CW76" s="20">
        <f t="shared" si="67"/>
        <v>454.97352940578475</v>
      </c>
      <c r="CX76" s="59">
        <f t="shared" si="68"/>
        <v>748.30686273911806</v>
      </c>
      <c r="CY76" s="59">
        <f ca="1">AVERAGE(OFFSET($CX$3,0,0,'Données projet'!$E$13+1,1))-AVERAGE(OFFSET($H$3,0,0,'Données projet'!$E$13+1,1))</f>
        <v>304.15237106473313</v>
      </c>
      <c r="CZ76" s="59">
        <f t="shared" si="96"/>
        <v>120.85458928724336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>
        <f>EXP(-LN(2)/35)*DF75+(1-EXP(-LN(2)/35))/(LN(2)/35)*DB76*DC76*VLOOKUP('Données projet'!$B$13,Paramètres!$A$1:$I$89,3,0)*0.475*44/12</f>
        <v>0</v>
      </c>
      <c r="DG76" s="21">
        <f>EXP(-LN(2)/25)*DG75+(1-EXP(-LN(2)/25))/(LN(2)/25)*Calculateur!DB76*Calculateur!DD76*VLOOKUP('Données projet'!$B$13,Paramètres!$A$1:$I$89,3,0)*0.475*44/12</f>
        <v>0</v>
      </c>
      <c r="DH76" s="21">
        <f>EXP(-LN(2)/2)*DH75+(1-EXP(-LN(2)/2))/(LN(2)/2)*DB76*DE76*VLOOKUP('Données projet'!$B$13,Paramètres!$A$1:$I$89,3,0)*0.475*44/12</f>
        <v>0</v>
      </c>
      <c r="DI76" s="22">
        <f t="shared" si="69"/>
        <v>0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8.6923076923076898</v>
      </c>
      <c r="DO76" s="12">
        <f>IF('Données projet'!$A$166&gt;35,DO75+DN76-DW75,IF(A76&lt;'Données projet'!$A$166,$DL$205^A76,IF(A76='Données projet'!$A$166,'Données projet'!$B$166,DO75+DN76-DW75)))</f>
        <v>216.8461538461537</v>
      </c>
      <c r="DP76" s="17">
        <f>DO76*VLOOKUP('Données projet'!$B$14,Paramètres!$A$1:$I$89,3,0)*VLOOKUP('Données projet'!$B$14,Paramètres!$A$1:$I$89,5,0)</f>
        <v>104.30299999999993</v>
      </c>
      <c r="DQ76" s="13">
        <f t="shared" si="97"/>
        <v>27.9846008782275</v>
      </c>
      <c r="DR76" s="20">
        <f t="shared" si="70"/>
        <v>230.40090486291277</v>
      </c>
      <c r="DS76" s="59">
        <f t="shared" si="71"/>
        <v>523.73423819624611</v>
      </c>
      <c r="DT76" s="59">
        <f ca="1">AVERAGE(OFFSET($DS$3,0,0,'Données projet'!$E$14+1,1))-AVERAGE(OFFSET($H$3,0,0,'Données projet'!$E$14+1,1))</f>
        <v>91.053246648097399</v>
      </c>
      <c r="DU76" s="59">
        <f t="shared" si="98"/>
        <v>64.716270355703955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>
        <f>EXP(-LN(2)/35)*EA75+(1-EXP(-LN(2)/35))/(LN(2)/35)*DW76*DX76*VLOOKUP('Données projet'!$B$14,Paramètres!$A$1:$I$89,3,0)*0.475*44/12</f>
        <v>0</v>
      </c>
      <c r="EB76" s="21">
        <f>EXP(-LN(2)/25)*EB75+(1-EXP(-LN(2)/25))/(LN(2)/25)*Calculateur!DW76*Calculateur!DY76*VLOOKUP('Données projet'!$B$14,Paramètres!$A$1:$I$89,3,0)*0.475*44/12</f>
        <v>0</v>
      </c>
      <c r="EC76" s="21">
        <f>EXP(-LN(2)/2)*EC75+(1-EXP(-LN(2)/2))/(LN(2)/2)*DW76*DZ76*VLOOKUP('Données projet'!$B$14,Paramètres!$A$1:$I$89,3,0)*0.475*44/12</f>
        <v>0</v>
      </c>
      <c r="ED76" s="22">
        <f t="shared" si="72"/>
        <v>0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14.5</v>
      </c>
      <c r="EJ76" s="12">
        <f>IF('Données projet'!$A$192&gt;35,EJ75+EI76-ER75,IF(A76&lt;'Données projet'!$A$192,$EG$205^A76,IF(A76='Données projet'!$A$192,'Données projet'!$B$192,EJ75+EI76-ER75)))</f>
        <v>504.49999999999955</v>
      </c>
      <c r="EK76" s="17">
        <f>EJ76*VLOOKUP('Données projet'!$B$15,Paramètres!$A$1:$I$89,3,0)*VLOOKUP('Données projet'!$B$15,Paramètres!$A$1:$I$89,5,0)</f>
        <v>301.69099999999975</v>
      </c>
      <c r="EL76" s="13">
        <f t="shared" si="99"/>
        <v>71.530845976260522</v>
      </c>
      <c r="EM76" s="20">
        <f t="shared" si="73"/>
        <v>650.02804840865338</v>
      </c>
      <c r="EN76" s="59">
        <f t="shared" si="74"/>
        <v>943.36138174198663</v>
      </c>
      <c r="EO76" s="59">
        <f ca="1">AVERAGE(OFFSET($EN$3,0,0,'Données projet'!$E$15+1,1))-AVERAGE(OFFSET($H$3,0,0,'Données projet'!$E$15+1,1))</f>
        <v>316.58509520829671</v>
      </c>
      <c r="EP76" s="59">
        <f t="shared" si="100"/>
        <v>240.71332110643596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>
        <f>EXP(-LN(2)/35)*EV75+(1-EXP(-LN(2)/35))/(LN(2)/35)*ER76*ES76*VLOOKUP('Données projet'!$B$15,Paramètres!$A$1:$I$89,3,0)*0.475*44/12</f>
        <v>1.0815922110828473</v>
      </c>
      <c r="EW76" s="21">
        <f>EXP(-LN(2)/25)*EW75+(1-EXP(-LN(2)/25))/(LN(2)/25)*Calculateur!ER76*Calculateur!ET76*VLOOKUP('Données projet'!$B$15,Paramètres!$A$1:$I$89,3,0)*0.475*44/12</f>
        <v>4.6345596298663869</v>
      </c>
      <c r="EX76" s="21">
        <f>EXP(-LN(2)/2)*EX75+(1-EXP(-LN(2)/2))/(LN(2)/2)*ER76*EU76*VLOOKUP('Données projet'!$B$15,Paramètres!$A$1:$I$89,3,0)*0.475*44/12</f>
        <v>7.3973933504460767E-6</v>
      </c>
      <c r="EY76" s="22">
        <f t="shared" si="75"/>
        <v>5.7161592383425841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12.5</v>
      </c>
      <c r="FE76" s="12">
        <f>IF('Données projet'!$A$218&gt;35,FE75+FD76-FM75,IF(A76&lt;'Données projet'!$A$218,$FB$205^A76,IF(A76='Données projet'!$A$218,'Données projet'!$B$218,FE75+FD76-FM75)))</f>
        <v>449.50000000000028</v>
      </c>
      <c r="FF76" s="17">
        <f>FE76*VLOOKUP('Données projet'!$B$16,Paramètres!$A$1:$I$89,3,0)*VLOOKUP('Données projet'!$B$16,Paramètres!$A$1:$I$89,5,0)</f>
        <v>268.80100000000022</v>
      </c>
      <c r="FG76" s="13">
        <f t="shared" si="101"/>
        <v>64.594745353205028</v>
      </c>
      <c r="FH76" s="20">
        <f t="shared" si="76"/>
        <v>580.66425649016571</v>
      </c>
      <c r="FI76" s="59">
        <f t="shared" si="77"/>
        <v>873.99758982349908</v>
      </c>
      <c r="FJ76" s="59">
        <f ca="1">AVERAGE(OFFSET($FI$3,0,0,'Données projet'!$E$16+1,1))-AVERAGE(OFFSET($H$3,0,0,'Données projet'!$E$16+1,1))</f>
        <v>270.30888762640245</v>
      </c>
      <c r="FK76" s="59">
        <f t="shared" si="102"/>
        <v>202.23783851977691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>
        <f>EXP(-LN(2)/35)*FQ75+(1-EXP(-LN(2)/35))/(LN(2)/35)*FM76*FN76*VLOOKUP('Données projet'!$B$16,Paramètres!$A$1:$I$89,3,0)*0.475*44/12</f>
        <v>0.91402158683057533</v>
      </c>
      <c r="FR76" s="21">
        <f>EXP(-LN(2)/25)*FR75+(1-EXP(-LN(2)/25))/(LN(2)/25)*Calculateur!FM76*Calculateur!FO76*VLOOKUP('Données projet'!$B$16,Paramètres!$A$1:$I$89,3,0)*0.475*44/12</f>
        <v>3.7321947163267222</v>
      </c>
      <c r="FS76" s="21">
        <f>EXP(-LN(2)/2)*FS75+(1-EXP(-LN(2)/2))/(LN(2)/2)*FM76*FP76*VLOOKUP('Données projet'!$B$16,Paramètres!$A$1:$I$89,3,0)*0.475*44/12</f>
        <v>6.235241381319174E-6</v>
      </c>
      <c r="FT76" s="22">
        <f t="shared" si="78"/>
        <v>4.6462225383986784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3.9</v>
      </c>
      <c r="FZ76" s="12">
        <f>IF('Données projet'!$A$244&gt;35,FZ75+FY76-GH75,IF(A76&lt;'Données projet'!$A$244,$FW$205^A76,IF(A76='Données projet'!$A$244,'Données projet'!$B$244,FZ75+FY76-GH75)))</f>
        <v>314.69999999999965</v>
      </c>
      <c r="GA76" s="17">
        <f>FZ76*VLOOKUP('Données projet'!$B$17,Paramètres!$A$1:$I$89,3,0)*VLOOKUP('Données projet'!$B$17,Paramètres!$A$1:$I$89,5,0)</f>
        <v>250.37531999999973</v>
      </c>
      <c r="GB76" s="13">
        <f t="shared" si="103"/>
        <v>60.666302963242082</v>
      </c>
      <c r="GC76" s="20">
        <f t="shared" si="79"/>
        <v>541.73082666097946</v>
      </c>
      <c r="GD76" s="59">
        <f t="shared" si="80"/>
        <v>835.06415999431283</v>
      </c>
      <c r="GE76" s="59">
        <f ca="1">AVERAGE(OFFSET($GD$3,0,0,'Données projet'!$E$17+1,1))-AVERAGE(OFFSET($H$3,0,0,'Données projet'!$E$17+1,1))</f>
        <v>260.20517190557814</v>
      </c>
      <c r="GF76" s="59">
        <f t="shared" si="104"/>
        <v>307.22009971147133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>
        <f>EXP(-LN(2)/35)*GL75+(1-EXP(-LN(2)/35))/(LN(2)/35)*GH76*GI76*VLOOKUP('Données projet'!$B$17,Paramètres!$A$1:$I$89,3,0)*0.475*44/12</f>
        <v>1.3924478618696714</v>
      </c>
      <c r="GM76" s="21">
        <f>EXP(-LN(2)/25)*GM75+(1-EXP(-LN(2)/25))/(LN(2)/25)*Calculateur!GH76*Calculateur!GJ76*VLOOKUP('Données projet'!$B$17,Paramètres!$A$1:$I$89,3,0)*0.475*44/12</f>
        <v>6.2286991645667955</v>
      </c>
      <c r="GN76" s="21">
        <f>EXP(-LN(2)/2)*GN75+(1-EXP(-LN(2)/2))/(LN(2)/2)*GH76*GK76*VLOOKUP('Données projet'!$B$17,Paramètres!$A$1:$I$89,3,0)*0.475*44/12</f>
        <v>8.1053562799932324E-6</v>
      </c>
      <c r="GO76" s="21">
        <f t="shared" si="81"/>
        <v>7.6211551317927473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3.1</v>
      </c>
      <c r="GU76" s="12">
        <f>IF('Données projet'!$A$270&gt;35,GU75+GT76-HC75,IF(A76&lt;'Données projet'!$A$270,$GR$205^A76,IF(A76='Données projet'!$A$270,'Données projet'!$B$270,GU75+GT76-HC75)))</f>
        <v>262.2999999999999</v>
      </c>
      <c r="GV76" s="17">
        <f>GU76*VLOOKUP('Données projet'!$B$18,Paramètres!$A$1:$I$89,3,0)*VLOOKUP('Données projet'!$B$18,Paramètres!$A$1:$I$89,5,0)</f>
        <v>208.68587999999991</v>
      </c>
      <c r="GW76" s="13">
        <f t="shared" si="105"/>
        <v>51.648312584769947</v>
      </c>
      <c r="GX76" s="20">
        <f t="shared" si="82"/>
        <v>453.41538541847422</v>
      </c>
      <c r="GY76" s="59">
        <f t="shared" si="83"/>
        <v>746.74871875180747</v>
      </c>
      <c r="GZ76" s="59">
        <f ca="1">AVERAGE(OFFSET($GY$3,0,0,'Données projet'!$E$18+1,1))-AVERAGE(OFFSET($H$3,0,0,'Données projet'!$E$18+1,1))</f>
        <v>199.58763537752952</v>
      </c>
      <c r="HA76" s="59">
        <f t="shared" si="106"/>
        <v>242.62852778451929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>
        <f>EXP(-LN(2)/35)*HG75+(1-EXP(-LN(2)/35))/(LN(2)/35)*HC76*HD76*VLOOKUP('Données projet'!$B$18,Paramètres!$A$1:$I$89,3,0)*0.475*44/12</f>
        <v>0</v>
      </c>
      <c r="HH76" s="21">
        <f>EXP(-LN(2)/25)*HH75+(1-EXP(-LN(2)/25))/(LN(2)/25)*Calculateur!HC76*Calculateur!HE76*VLOOKUP('Données projet'!$B$18,Paramètres!$A$1:$I$89,3,0)*0.475*44/12</f>
        <v>3.1213843563786186</v>
      </c>
      <c r="HI76" s="21">
        <f>EXP(-LN(2)/2)*HI75+(1-EXP(-LN(2)/2))/(LN(2)/2)*HC76*HF76*VLOOKUP('Données projet'!$B$18,Paramètres!$A$1:$I$89,3,0)*0.475*44/12</f>
        <v>3.6285261707215424E-6</v>
      </c>
      <c r="HJ76" s="22">
        <f t="shared" si="84"/>
        <v>3.1213879849047892</v>
      </c>
    </row>
    <row r="77" spans="1:218" x14ac:dyDescent="0.2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65.800800000000081</v>
      </c>
      <c r="D77" s="11">
        <f t="shared" si="86"/>
        <v>18.626923459774314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651.72277758422342</v>
      </c>
      <c r="H77" s="67">
        <f t="shared" si="56"/>
        <v>440.37828502577372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-2.2737367544323206E-13</v>
      </c>
      <c r="O77" s="13">
        <f>N77*VLOOKUP('Données projet'!$B$9,Paramètres!$A$1:$I$89,3,0)*VLOOKUP('Données projet'!$B$9,Paramètres!$A$1:$I$89,5,0)</f>
        <v>-1.2710188457276673E-13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255.5374979188561</v>
      </c>
      <c r="T77" s="59">
        <f t="shared" si="88"/>
        <v>343.10418468620901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1.2927856163841045</v>
      </c>
      <c r="AA77" s="21">
        <f>EXP(-LN(2)/25)*AA76+(1-EXP(-LN(2)/25))/(LN(2)/25)*Calculateur!V77*Calculateur!X77*VLOOKUP('Données projet'!$B$9,Paramètres!$A$1:$I$89,3,0)*0.475*44/12</f>
        <v>4.7122372268400472</v>
      </c>
      <c r="AB77" s="21">
        <f>EXP(-LN(2)/2)*AB76+(1-EXP(-LN(2)/2))/(LN(2)/2)*V77*Y77*VLOOKUP('Données projet'!$B$9,Paramètres!$A$1:$I$89,3,0)*0.475*44/12</f>
        <v>4.035597036967435E-7</v>
      </c>
      <c r="AC77" s="22">
        <f t="shared" si="57"/>
        <v>6.005023246783856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1.1368683772161603E-13</v>
      </c>
      <c r="AJ77" s="13">
        <f>AI77*VLOOKUP('Données projet'!$B$10,Paramètres!$A$1:$I$89,3,0)*VLOOKUP('Données projet'!$B$10,Paramètres!$A$1:$I$89,5,0)</f>
        <v>6.3550942286383367E-14</v>
      </c>
      <c r="AK77" s="13">
        <f t="shared" si="89"/>
        <v>1.0064464192543978E-12</v>
      </c>
      <c r="AL77" s="20">
        <f t="shared" si="58"/>
        <v>1.8635787380168604E-12</v>
      </c>
      <c r="AM77" s="59">
        <f t="shared" si="59"/>
        <v>293.33333333333519</v>
      </c>
      <c r="AN77" s="59">
        <f ca="1">AVERAGE(OFFSET($AM$3,0,0,'Données projet'!$E$10+1,1))-AVERAGE(OFFSET($H$3,0,0,'Données projet'!$E$10+1,1))</f>
        <v>224.7049802939942</v>
      </c>
      <c r="AO77" s="59">
        <f t="shared" si="90"/>
        <v>203.48513862195352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0.93345439740592961</v>
      </c>
      <c r="AV77" s="21">
        <f>EXP(-LN(2)/25)*AV76+(1-EXP(-LN(2)/25))/(LN(2)/25)*Calculateur!AQ77*Calculateur!AS77*VLOOKUP('Données projet'!$B$10,Paramètres!$A$1:$I$89,3,0)*0.475*44/12</f>
        <v>5.7645809348635986</v>
      </c>
      <c r="AW77" s="21">
        <f>EXP(-LN(2)/2)*AW76+(1-EXP(-LN(2)/2))/(LN(2)/2)*AQ77*AT77*VLOOKUP('Données projet'!$B$10,Paramètres!$A$1:$I$89,3,0)*0.475*44/12</f>
        <v>2.1363765218467723E-6</v>
      </c>
      <c r="AX77" s="21">
        <f t="shared" si="60"/>
        <v>6.6980374686460502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7.4</v>
      </c>
      <c r="BD77" s="12">
        <f>IF('Données projet'!$A$88&gt;35,BD76+BC77-BL76,IF(A77&lt;'Données projet'!$A$88,$BA$205^A77,IF(A77='Données projet'!$A$88,'Données projet'!$B$88,BD76+BC77-BL76)))</f>
        <v>388.60000000000014</v>
      </c>
      <c r="BE77" s="13">
        <f>BD77*VLOOKUP('Données projet'!$B$11,Paramètres!$A$1:$I$89,3,0)*VLOOKUP('Données projet'!$B$11,Paramètres!$A$1:$I$89,5,0)</f>
        <v>212.17560000000006</v>
      </c>
      <c r="BF77" s="13">
        <f t="shared" si="91"/>
        <v>52.410723477279205</v>
      </c>
      <c r="BG77" s="20">
        <f t="shared" si="61"/>
        <v>460.82118005626143</v>
      </c>
      <c r="BH77" s="59">
        <f t="shared" si="62"/>
        <v>754.15451338959474</v>
      </c>
      <c r="BI77" s="59">
        <f ca="1">AVERAGE(OFFSET($BH$3,0,0,'Données projet'!$E$11+1,1))-AVERAGE(OFFSET($H$3,0,0,'Données projet'!$E$11+1,1))</f>
        <v>210.04871822652808</v>
      </c>
      <c r="BJ77" s="59">
        <f t="shared" si="92"/>
        <v>250.17540614049324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3.0545259735329657</v>
      </c>
      <c r="BQ77" s="21">
        <f>EXP(-LN(2)/25)*BQ76+(1-EXP(-LN(2)/25))/(LN(2)/25)*Calculateur!BL77*Calculateur!BN77*VLOOKUP('Données projet'!$B$11,Paramètres!$A$1:$I$89,3,0)*0.475*44/12</f>
        <v>8.2169671263092656</v>
      </c>
      <c r="BR77" s="21">
        <f>EXP(-LN(2)/2)*BR76+(1-EXP(-LN(2)/2))/(LN(2)/2)*BL77*BO77*VLOOKUP('Données projet'!$B$11,Paramètres!$A$1:$I$89,3,0)*0.475*44/12</f>
        <v>5.1388475268725622E-6</v>
      </c>
      <c r="BS77" s="22">
        <f t="shared" si="63"/>
        <v>11.271498238689759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6.1</v>
      </c>
      <c r="BY77" s="12">
        <f>IF('Données projet'!$A$114&gt;35,BY76+BX77-CG76,IF(A77&lt;'Données projet'!$A$114,$BV$205^A77,IF(A77='Données projet'!$A$114,'Données projet'!$B$114,BY76+BX77-CG76)))</f>
        <v>336.40000000000009</v>
      </c>
      <c r="BZ77" s="13">
        <f>BY77*VLOOKUP('Données projet'!$B$12,Paramètres!$A$1:$I$89,3,0)*VLOOKUP('Données projet'!$B$12,Paramètres!$A$1:$I$89,5,0)</f>
        <v>183.67440000000005</v>
      </c>
      <c r="CA77" s="13">
        <f t="shared" si="93"/>
        <v>46.138708549418716</v>
      </c>
      <c r="CB77" s="20">
        <f t="shared" si="64"/>
        <v>400.25783072357098</v>
      </c>
      <c r="CC77" s="59">
        <f t="shared" si="65"/>
        <v>693.59116405690429</v>
      </c>
      <c r="CD77" s="59">
        <f ca="1">AVERAGE(OFFSET($CC$3,0,0,'Données projet'!$E$12+1,1))-AVERAGE(OFFSET($H$3,0,0,'Données projet'!$E$12+1,1))</f>
        <v>168.72306536277267</v>
      </c>
      <c r="CE77" s="59">
        <f t="shared" si="94"/>
        <v>203.35476578922339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1.2727191556387361</v>
      </c>
      <c r="CL77" s="21">
        <f>EXP(-LN(2)/25)*CL76+(1-EXP(-LN(2)/25))/(LN(2)/25)*Calculateur!CG77*Calculateur!CI77*VLOOKUP('Données projet'!$B$12,Paramètres!$A$1:$I$89,3,0)*0.475*44/12</f>
        <v>6.7862854422709642</v>
      </c>
      <c r="CM77" s="21">
        <f>EXP(-LN(2)/2)*CM76+(1-EXP(-LN(2)/2))/(LN(2)/2)*CG77*CJ77*VLOOKUP('Données projet'!$B$12,Paramètres!$A$1:$I$89,3,0)*0.475*44/12</f>
        <v>4.7740570597861448E-6</v>
      </c>
      <c r="CN77" s="22">
        <f t="shared" si="66"/>
        <v>8.0590093719667593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16.923076923076923</v>
      </c>
      <c r="CT77" s="12">
        <f>IF('Données projet'!$A$140&gt;35,CT76+CS77-DB76,IF(A77&lt;'Données projet'!$A$140,$CQ$205^A77,IF(A77='Données projet'!$A$140,'Données projet'!$B$140,CT76+CS77-DB76)))</f>
        <v>452.30769230769221</v>
      </c>
      <c r="CU77" s="17">
        <f>CT77*VLOOKUP('Données projet'!$B$13,Paramètres!$A$1:$I$89,3,0)*VLOOKUP('Données projet'!$B$13,Paramètres!$A$1:$I$89,5,0)</f>
        <v>217.55999999999997</v>
      </c>
      <c r="CV77" s="13">
        <f t="shared" si="95"/>
        <v>53.584220036971523</v>
      </c>
      <c r="CW77" s="20">
        <f t="shared" si="67"/>
        <v>472.24284989772531</v>
      </c>
      <c r="CX77" s="59">
        <f t="shared" si="68"/>
        <v>765.57618323105862</v>
      </c>
      <c r="CY77" s="59">
        <f ca="1">AVERAGE(OFFSET($CX$3,0,0,'Données projet'!$E$13+1,1))-AVERAGE(OFFSET($H$3,0,0,'Données projet'!$E$13+1,1))</f>
        <v>304.15237106473313</v>
      </c>
      <c r="CZ77" s="59">
        <f t="shared" si="96"/>
        <v>120.85458928724336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>
        <f>EXP(-LN(2)/35)*DF76+(1-EXP(-LN(2)/35))/(LN(2)/35)*DB77*DC77*VLOOKUP('Données projet'!$B$13,Paramètres!$A$1:$I$89,3,0)*0.475*44/12</f>
        <v>0</v>
      </c>
      <c r="DG77" s="21">
        <f>EXP(-LN(2)/25)*DG76+(1-EXP(-LN(2)/25))/(LN(2)/25)*Calculateur!DB77*Calculateur!DD77*VLOOKUP('Données projet'!$B$13,Paramètres!$A$1:$I$89,3,0)*0.475*44/12</f>
        <v>0</v>
      </c>
      <c r="DH77" s="21">
        <f>EXP(-LN(2)/2)*DH76+(1-EXP(-LN(2)/2))/(LN(2)/2)*DB77*DE77*VLOOKUP('Données projet'!$B$13,Paramètres!$A$1:$I$89,3,0)*0.475*44/12</f>
        <v>0</v>
      </c>
      <c r="DI77" s="22">
        <f t="shared" si="69"/>
        <v>0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8.6923076923076898</v>
      </c>
      <c r="DO77" s="12">
        <f>IF('Données projet'!$A$166&gt;35,DO76+DN77-DW76,IF(A77&lt;'Données projet'!$A$166,$DL$205^A77,IF(A77='Données projet'!$A$166,'Données projet'!$B$166,DO76+DN77-DW76)))</f>
        <v>225.53846153846138</v>
      </c>
      <c r="DP77" s="17">
        <f>DO77*VLOOKUP('Données projet'!$B$14,Paramètres!$A$1:$I$89,3,0)*VLOOKUP('Données projet'!$B$14,Paramètres!$A$1:$I$89,5,0)</f>
        <v>108.48399999999992</v>
      </c>
      <c r="DQ77" s="13">
        <f t="shared" si="97"/>
        <v>28.973515172174622</v>
      </c>
      <c r="DR77" s="20">
        <f t="shared" si="70"/>
        <v>239.40517225820398</v>
      </c>
      <c r="DS77" s="59">
        <f t="shared" si="71"/>
        <v>532.73850559153732</v>
      </c>
      <c r="DT77" s="59">
        <f ca="1">AVERAGE(OFFSET($DS$3,0,0,'Données projet'!$E$14+1,1))-AVERAGE(OFFSET($H$3,0,0,'Données projet'!$E$14+1,1))</f>
        <v>91.053246648097399</v>
      </c>
      <c r="DU77" s="59">
        <f t="shared" si="98"/>
        <v>64.716270355703955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>
        <f>EXP(-LN(2)/35)*EA76+(1-EXP(-LN(2)/35))/(LN(2)/35)*DW77*DX77*VLOOKUP('Données projet'!$B$14,Paramètres!$A$1:$I$89,3,0)*0.475*44/12</f>
        <v>0</v>
      </c>
      <c r="EB77" s="21">
        <f>EXP(-LN(2)/25)*EB76+(1-EXP(-LN(2)/25))/(LN(2)/25)*Calculateur!DW77*Calculateur!DY77*VLOOKUP('Données projet'!$B$14,Paramètres!$A$1:$I$89,3,0)*0.475*44/12</f>
        <v>0</v>
      </c>
      <c r="EC77" s="21">
        <f>EXP(-LN(2)/2)*EC76+(1-EXP(-LN(2)/2))/(LN(2)/2)*DW77*DZ77*VLOOKUP('Données projet'!$B$14,Paramètres!$A$1:$I$89,3,0)*0.475*44/12</f>
        <v>0</v>
      </c>
      <c r="ED77" s="22">
        <f t="shared" si="72"/>
        <v>0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14.5</v>
      </c>
      <c r="EJ77" s="12">
        <f>IF('Données projet'!$A$192&gt;35,EJ76+EI77-ER76,IF(A77&lt;'Données projet'!$A$192,$EG$205^A77,IF(A77='Données projet'!$A$192,'Données projet'!$B$192,EJ76+EI77-ER76)))</f>
        <v>518.99999999999955</v>
      </c>
      <c r="EK77" s="17">
        <f>EJ77*VLOOKUP('Données projet'!$B$15,Paramètres!$A$1:$I$89,3,0)*VLOOKUP('Données projet'!$B$15,Paramètres!$A$1:$I$89,5,0)</f>
        <v>310.36199999999974</v>
      </c>
      <c r="EL77" s="13">
        <f t="shared" si="99"/>
        <v>73.34442504403718</v>
      </c>
      <c r="EM77" s="20">
        <f t="shared" si="73"/>
        <v>668.28869028503095</v>
      </c>
      <c r="EN77" s="59">
        <f t="shared" si="74"/>
        <v>961.62202361836421</v>
      </c>
      <c r="EO77" s="59">
        <f ca="1">AVERAGE(OFFSET($EN$3,0,0,'Données projet'!$E$15+1,1))-AVERAGE(OFFSET($H$3,0,0,'Données projet'!$E$15+1,1))</f>
        <v>316.58509520829671</v>
      </c>
      <c r="EP77" s="59">
        <f t="shared" si="100"/>
        <v>240.71332110643596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>
        <f>EXP(-LN(2)/35)*EV76+(1-EXP(-LN(2)/35))/(LN(2)/35)*ER77*ES77*VLOOKUP('Données projet'!$B$15,Paramètres!$A$1:$I$89,3,0)*0.475*44/12</f>
        <v>1.0603828475296209</v>
      </c>
      <c r="EW77" s="21">
        <f>EXP(-LN(2)/25)*EW76+(1-EXP(-LN(2)/25))/(LN(2)/25)*Calculateur!ER77*Calculateur!ET77*VLOOKUP('Données projet'!$B$15,Paramètres!$A$1:$I$89,3,0)*0.475*44/12</f>
        <v>4.5078273530667925</v>
      </c>
      <c r="EX77" s="21">
        <f>EXP(-LN(2)/2)*EX76+(1-EXP(-LN(2)/2))/(LN(2)/2)*ER77*EU77*VLOOKUP('Données projet'!$B$15,Paramètres!$A$1:$I$89,3,0)*0.475*44/12</f>
        <v>5.230747001204696E-6</v>
      </c>
      <c r="EY77" s="22">
        <f t="shared" si="75"/>
        <v>5.5682154313434138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12.5</v>
      </c>
      <c r="FE77" s="12">
        <f>IF('Données projet'!$A$218&gt;35,FE76+FD77-FM76,IF(A77&lt;'Données projet'!$A$218,$FB$205^A77,IF(A77='Données projet'!$A$218,'Données projet'!$B$218,FE76+FD77-FM76)))</f>
        <v>462.00000000000028</v>
      </c>
      <c r="FF77" s="17">
        <f>FE77*VLOOKUP('Données projet'!$B$16,Paramètres!$A$1:$I$89,3,0)*VLOOKUP('Données projet'!$B$16,Paramètres!$A$1:$I$89,5,0)</f>
        <v>276.27600000000018</v>
      </c>
      <c r="FG77" s="13">
        <f t="shared" si="101"/>
        <v>66.179408416217214</v>
      </c>
      <c r="FH77" s="20">
        <f t="shared" si="76"/>
        <v>596.44316965824521</v>
      </c>
      <c r="FI77" s="59">
        <f t="shared" si="77"/>
        <v>889.77650299157858</v>
      </c>
      <c r="FJ77" s="59">
        <f ca="1">AVERAGE(OFFSET($FI$3,0,0,'Données projet'!$E$16+1,1))-AVERAGE(OFFSET($H$3,0,0,'Données projet'!$E$16+1,1))</f>
        <v>270.30888762640245</v>
      </c>
      <c r="FK77" s="59">
        <f t="shared" si="102"/>
        <v>202.23783851977691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>
        <f>EXP(-LN(2)/35)*FQ76+(1-EXP(-LN(2)/35))/(LN(2)/35)*FM77*FN77*VLOOKUP('Données projet'!$B$16,Paramètres!$A$1:$I$89,3,0)*0.475*44/12</f>
        <v>0.89609818101094729</v>
      </c>
      <c r="FR77" s="21">
        <f>EXP(-LN(2)/25)*FR76+(1-EXP(-LN(2)/25))/(LN(2)/25)*Calculateur!FM77*Calculateur!FO77*VLOOKUP('Données projet'!$B$16,Paramètres!$A$1:$I$89,3,0)*0.475*44/12</f>
        <v>3.6301376555411777</v>
      </c>
      <c r="FS77" s="21">
        <f>EXP(-LN(2)/2)*FS76+(1-EXP(-LN(2)/2))/(LN(2)/2)*FM77*FP77*VLOOKUP('Données projet'!$B$16,Paramètres!$A$1:$I$89,3,0)*0.475*44/12</f>
        <v>4.4089814630657635E-6</v>
      </c>
      <c r="FT77" s="22">
        <f t="shared" si="78"/>
        <v>4.5262402455335886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3.9</v>
      </c>
      <c r="FZ77" s="12">
        <f>IF('Données projet'!$A$244&gt;35,FZ76+FY77-GH76,IF(A77&lt;'Données projet'!$A$244,$FW$205^A77,IF(A77='Données projet'!$A$244,'Données projet'!$B$244,FZ76+FY77-GH76)))</f>
        <v>318.59999999999962</v>
      </c>
      <c r="GA77" s="17">
        <f>FZ77*VLOOKUP('Données projet'!$B$17,Paramètres!$A$1:$I$89,3,0)*VLOOKUP('Données projet'!$B$17,Paramètres!$A$1:$I$89,5,0)</f>
        <v>253.47815999999972</v>
      </c>
      <c r="GB77" s="13">
        <f t="shared" si="103"/>
        <v>61.330136494642396</v>
      </c>
      <c r="GC77" s="20">
        <f t="shared" si="79"/>
        <v>548.29111639483494</v>
      </c>
      <c r="GD77" s="59">
        <f t="shared" si="80"/>
        <v>841.6244497281682</v>
      </c>
      <c r="GE77" s="59">
        <f ca="1">AVERAGE(OFFSET($GD$3,0,0,'Données projet'!$E$17+1,1))-AVERAGE(OFFSET($H$3,0,0,'Données projet'!$E$17+1,1))</f>
        <v>260.20517190557814</v>
      </c>
      <c r="GF77" s="59">
        <f t="shared" si="104"/>
        <v>307.22009971147133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>
        <f>EXP(-LN(2)/35)*GL76+(1-EXP(-LN(2)/35))/(LN(2)/35)*GH77*GI77*VLOOKUP('Données projet'!$B$17,Paramètres!$A$1:$I$89,3,0)*0.475*44/12</f>
        <v>1.3651428086077406</v>
      </c>
      <c r="GM77" s="21">
        <f>EXP(-LN(2)/25)*GM76+(1-EXP(-LN(2)/25))/(LN(2)/25)*Calculateur!GH77*Calculateur!GJ77*VLOOKUP('Données projet'!$B$17,Paramètres!$A$1:$I$89,3,0)*0.475*44/12</f>
        <v>6.0583750583586635</v>
      </c>
      <c r="GN77" s="21">
        <f>EXP(-LN(2)/2)*GN76+(1-EXP(-LN(2)/2))/(LN(2)/2)*GH77*GK77*VLOOKUP('Données projet'!$B$17,Paramètres!$A$1:$I$89,3,0)*0.475*44/12</f>
        <v>5.7313523895161834E-6</v>
      </c>
      <c r="GO77" s="21">
        <f t="shared" si="81"/>
        <v>7.423523598318793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3.1</v>
      </c>
      <c r="GU77" s="12">
        <f>IF('Données projet'!$A$270&gt;35,GU76+GT77-HC76,IF(A77&lt;'Données projet'!$A$270,$GR$205^A77,IF(A77='Données projet'!$A$270,'Données projet'!$B$270,GU76+GT77-HC76)))</f>
        <v>265.39999999999992</v>
      </c>
      <c r="GV77" s="17">
        <f>GU77*VLOOKUP('Données projet'!$B$18,Paramètres!$A$1:$I$89,3,0)*VLOOKUP('Données projet'!$B$18,Paramètres!$A$1:$I$89,5,0)</f>
        <v>211.15223999999995</v>
      </c>
      <c r="GW77" s="13">
        <f t="shared" si="105"/>
        <v>52.187298885462759</v>
      </c>
      <c r="GX77" s="20">
        <f t="shared" si="82"/>
        <v>458.64969689218088</v>
      </c>
      <c r="GY77" s="59">
        <f t="shared" si="83"/>
        <v>751.9830302255142</v>
      </c>
      <c r="GZ77" s="59">
        <f ca="1">AVERAGE(OFFSET($GY$3,0,0,'Données projet'!$E$18+1,1))-AVERAGE(OFFSET($H$3,0,0,'Données projet'!$E$18+1,1))</f>
        <v>199.58763537752952</v>
      </c>
      <c r="HA77" s="59">
        <f t="shared" si="106"/>
        <v>242.62852778451929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>
        <f>EXP(-LN(2)/35)*HG76+(1-EXP(-LN(2)/35))/(LN(2)/35)*HC77*HD77*VLOOKUP('Données projet'!$B$18,Paramètres!$A$1:$I$89,3,0)*0.475*44/12</f>
        <v>0</v>
      </c>
      <c r="HH77" s="21">
        <f>EXP(-LN(2)/25)*HH76+(1-EXP(-LN(2)/25))/(LN(2)/25)*Calculateur!HC77*Calculateur!HE77*VLOOKUP('Données projet'!$B$18,Paramètres!$A$1:$I$89,3,0)*0.475*44/12</f>
        <v>3.0360299370069761</v>
      </c>
      <c r="HI77" s="21">
        <f>EXP(-LN(2)/2)*HI76+(1-EXP(-LN(2)/2))/(LN(2)/2)*HC77*HF77*VLOOKUP('Données projet'!$B$18,Paramètres!$A$1:$I$89,3,0)*0.475*44/12</f>
        <v>2.5657554610300588E-6</v>
      </c>
      <c r="HJ77" s="22">
        <f t="shared" si="84"/>
        <v>3.0360325027624371</v>
      </c>
    </row>
    <row r="78" spans="1:218" x14ac:dyDescent="0.2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66.690000000000083</v>
      </c>
      <c r="D78" s="11">
        <f t="shared" si="86"/>
        <v>18.849164941118655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660.30232586126749</v>
      </c>
      <c r="H78" s="67">
        <f t="shared" si="56"/>
        <v>442.31404560578176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-2.2737367544323206E-13</v>
      </c>
      <c r="O78" s="13">
        <f>N78*VLOOKUP('Données projet'!$B$9,Paramètres!$A$1:$I$89,3,0)*VLOOKUP('Données projet'!$B$9,Paramètres!$A$1:$I$89,5,0)</f>
        <v>-1.2710188457276673E-13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255.5374979188561</v>
      </c>
      <c r="T78" s="59">
        <f t="shared" si="88"/>
        <v>343.10418468620901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1.2674348789681782</v>
      </c>
      <c r="AA78" s="21">
        <f>EXP(-LN(2)/25)*AA77+(1-EXP(-LN(2)/25))/(LN(2)/25)*Calculateur!V78*Calculateur!X78*VLOOKUP('Données projet'!$B$9,Paramètres!$A$1:$I$89,3,0)*0.475*44/12</f>
        <v>4.5833808520663206</v>
      </c>
      <c r="AB78" s="21">
        <f>EXP(-LN(2)/2)*AB77+(1-EXP(-LN(2)/2))/(LN(2)/2)*V78*Y78*VLOOKUP('Données projet'!$B$9,Paramètres!$A$1:$I$89,3,0)*0.475*44/12</f>
        <v>2.8535980309760115E-7</v>
      </c>
      <c r="AC78" s="22">
        <f t="shared" si="57"/>
        <v>5.8508160163943019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1.1368683772161603E-13</v>
      </c>
      <c r="AJ78" s="13">
        <f>AI78*VLOOKUP('Données projet'!$B$10,Paramètres!$A$1:$I$89,3,0)*VLOOKUP('Données projet'!$B$10,Paramètres!$A$1:$I$89,5,0)</f>
        <v>6.3550942286383367E-14</v>
      </c>
      <c r="AK78" s="13">
        <f t="shared" si="89"/>
        <v>1.0064464192543978E-12</v>
      </c>
      <c r="AL78" s="20">
        <f t="shared" si="58"/>
        <v>1.8635787380168604E-12</v>
      </c>
      <c r="AM78" s="59">
        <f t="shared" si="59"/>
        <v>293.33333333333519</v>
      </c>
      <c r="AN78" s="59">
        <f ca="1">AVERAGE(OFFSET($AM$3,0,0,'Données projet'!$E$10+1,1))-AVERAGE(OFFSET($H$3,0,0,'Données projet'!$E$10+1,1))</f>
        <v>224.7049802939942</v>
      </c>
      <c r="AO78" s="59">
        <f t="shared" si="90"/>
        <v>203.48513862195352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0.91514992602376299</v>
      </c>
      <c r="AV78" s="21">
        <f>EXP(-LN(2)/25)*AV77+(1-EXP(-LN(2)/25))/(LN(2)/25)*Calculateur!AQ78*Calculateur!AS78*VLOOKUP('Données projet'!$B$10,Paramètres!$A$1:$I$89,3,0)*0.475*44/12</f>
        <v>5.6069481660536171</v>
      </c>
      <c r="AW78" s="21">
        <f>EXP(-LN(2)/2)*AW77+(1-EXP(-LN(2)/2))/(LN(2)/2)*AQ78*AT78*VLOOKUP('Données projet'!$B$10,Paramètres!$A$1:$I$89,3,0)*0.475*44/12</f>
        <v>1.5106463257655831E-6</v>
      </c>
      <c r="AX78" s="21">
        <f t="shared" si="60"/>
        <v>6.5220996027237055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7.4</v>
      </c>
      <c r="BD78" s="12">
        <f>IF('Données projet'!$A$88&gt;35,BD77+BC78-BL77,IF(A78&lt;'Données projet'!$A$88,$BA$205^A78,IF(A78='Données projet'!$A$88,'Données projet'!$B$88,BD77+BC78-BL77)))</f>
        <v>396.00000000000011</v>
      </c>
      <c r="BE78" s="13">
        <f>BD78*VLOOKUP('Données projet'!$B$11,Paramètres!$A$1:$I$89,3,0)*VLOOKUP('Données projet'!$B$11,Paramètres!$A$1:$I$89,5,0)</f>
        <v>216.21600000000007</v>
      </c>
      <c r="BF78" s="13">
        <f t="shared" si="91"/>
        <v>53.291623409473033</v>
      </c>
      <c r="BG78" s="20">
        <f t="shared" si="61"/>
        <v>469.39244410483235</v>
      </c>
      <c r="BH78" s="59">
        <f t="shared" si="62"/>
        <v>762.72577743816566</v>
      </c>
      <c r="BI78" s="59">
        <f ca="1">AVERAGE(OFFSET($BH$3,0,0,'Données projet'!$E$11+1,1))-AVERAGE(OFFSET($H$3,0,0,'Données projet'!$E$11+1,1))</f>
        <v>210.04871822652808</v>
      </c>
      <c r="BJ78" s="59">
        <f t="shared" si="92"/>
        <v>250.17540614049324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2.9946285822688647</v>
      </c>
      <c r="BQ78" s="21">
        <f>EXP(-LN(2)/25)*BQ77+(1-EXP(-LN(2)/25))/(LN(2)/25)*Calculateur!BL78*Calculateur!BN78*VLOOKUP('Données projet'!$B$11,Paramètres!$A$1:$I$89,3,0)*0.475*44/12</f>
        <v>7.9922737281288176</v>
      </c>
      <c r="BR78" s="21">
        <f>EXP(-LN(2)/2)*BR77+(1-EXP(-LN(2)/2))/(LN(2)/2)*BL78*BO78*VLOOKUP('Données projet'!$B$11,Paramètres!$A$1:$I$89,3,0)*0.475*44/12</f>
        <v>3.6337139337353081E-6</v>
      </c>
      <c r="BS78" s="22">
        <f t="shared" si="63"/>
        <v>10.986905944111616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6.1</v>
      </c>
      <c r="BY78" s="12">
        <f>IF('Données projet'!$A$114&gt;35,BY77+BX78-CG77,IF(A78&lt;'Données projet'!$A$114,$BV$205^A78,IF(A78='Données projet'!$A$114,'Données projet'!$B$114,BY77+BX78-CG77)))</f>
        <v>342.50000000000011</v>
      </c>
      <c r="BZ78" s="13">
        <f>BY78*VLOOKUP('Données projet'!$B$12,Paramètres!$A$1:$I$89,3,0)*VLOOKUP('Données projet'!$B$12,Paramètres!$A$1:$I$89,5,0)</f>
        <v>187.00500000000008</v>
      </c>
      <c r="CA78" s="13">
        <f t="shared" si="93"/>
        <v>46.877189812776606</v>
      </c>
      <c r="CB78" s="20">
        <f t="shared" si="64"/>
        <v>407.34481392391939</v>
      </c>
      <c r="CC78" s="59">
        <f t="shared" si="65"/>
        <v>700.6781472572527</v>
      </c>
      <c r="CD78" s="59">
        <f ca="1">AVERAGE(OFFSET($CC$3,0,0,'Données projet'!$E$12+1,1))-AVERAGE(OFFSET($H$3,0,0,'Données projet'!$E$12+1,1))</f>
        <v>168.72306536277267</v>
      </c>
      <c r="CE78" s="59">
        <f t="shared" si="94"/>
        <v>203.35476578922339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1.2477619092786938</v>
      </c>
      <c r="CL78" s="21">
        <f>EXP(-LN(2)/25)*CL77+(1-EXP(-LN(2)/25))/(LN(2)/25)*Calculateur!CG78*Calculateur!CI78*VLOOKUP('Données projet'!$B$12,Paramètres!$A$1:$I$89,3,0)*0.475*44/12</f>
        <v>6.6007141099768232</v>
      </c>
      <c r="CM78" s="21">
        <f>EXP(-LN(2)/2)*CM77+(1-EXP(-LN(2)/2))/(LN(2)/2)*CG78*CJ78*VLOOKUP('Données projet'!$B$12,Paramètres!$A$1:$I$89,3,0)*0.475*44/12</f>
        <v>3.375768120746294E-6</v>
      </c>
      <c r="CN78" s="22">
        <f t="shared" si="66"/>
        <v>7.848479395023638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16.923076923076923</v>
      </c>
      <c r="CT78" s="12">
        <f>IF('Données projet'!$A$140&gt;35,CT77+CS78-DB77,IF(A78&lt;'Données projet'!$A$140,$CQ$205^A78,IF(A78='Données projet'!$A$140,'Données projet'!$B$140,CT77+CS78-DB77)))</f>
        <v>469.23076923076911</v>
      </c>
      <c r="CU78" s="17">
        <f>CT78*VLOOKUP('Données projet'!$B$13,Paramètres!$A$1:$I$89,3,0)*VLOOKUP('Données projet'!$B$13,Paramètres!$A$1:$I$89,5,0)</f>
        <v>225.69999999999993</v>
      </c>
      <c r="CV78" s="13">
        <f t="shared" si="95"/>
        <v>55.351902227969966</v>
      </c>
      <c r="CW78" s="20">
        <f t="shared" si="67"/>
        <v>489.49872971371423</v>
      </c>
      <c r="CX78" s="59">
        <f t="shared" si="68"/>
        <v>782.83206304704754</v>
      </c>
      <c r="CY78" s="59">
        <f ca="1">AVERAGE(OFFSET($CX$3,0,0,'Données projet'!$E$13+1,1))-AVERAGE(OFFSET($H$3,0,0,'Données projet'!$E$13+1,1))</f>
        <v>304.15237106473313</v>
      </c>
      <c r="CZ78" s="59">
        <f t="shared" si="96"/>
        <v>120.85458928724336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>
        <f>EXP(-LN(2)/35)*DF77+(1-EXP(-LN(2)/35))/(LN(2)/35)*DB78*DC78*VLOOKUP('Données projet'!$B$13,Paramètres!$A$1:$I$89,3,0)*0.475*44/12</f>
        <v>0</v>
      </c>
      <c r="DG78" s="21">
        <f>EXP(-LN(2)/25)*DG77+(1-EXP(-LN(2)/25))/(LN(2)/25)*Calculateur!DB78*Calculateur!DD78*VLOOKUP('Données projet'!$B$13,Paramètres!$A$1:$I$89,3,0)*0.475*44/12</f>
        <v>0</v>
      </c>
      <c r="DH78" s="21">
        <f>EXP(-LN(2)/2)*DH77+(1-EXP(-LN(2)/2))/(LN(2)/2)*DB78*DE78*VLOOKUP('Données projet'!$B$13,Paramètres!$A$1:$I$89,3,0)*0.475*44/12</f>
        <v>0</v>
      </c>
      <c r="DI78" s="22">
        <f t="shared" si="69"/>
        <v>0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8.6923076923076898</v>
      </c>
      <c r="DO78" s="12">
        <f>IF('Données projet'!$A$166&gt;35,DO77+DN78-DW77,IF(A78&lt;'Données projet'!$A$166,$DL$205^A78,IF(A78='Données projet'!$A$166,'Données projet'!$B$166,DO77+DN78-DW77)))</f>
        <v>234.23076923076906</v>
      </c>
      <c r="DP78" s="17">
        <f>DO78*VLOOKUP('Données projet'!$B$14,Paramètres!$A$1:$I$89,3,0)*VLOOKUP('Données projet'!$B$14,Paramètres!$A$1:$I$89,5,0)</f>
        <v>112.66499999999992</v>
      </c>
      <c r="DQ78" s="13">
        <f t="shared" si="97"/>
        <v>29.95800189132434</v>
      </c>
      <c r="DR78" s="20">
        <f t="shared" si="70"/>
        <v>248.40172829405643</v>
      </c>
      <c r="DS78" s="59">
        <f t="shared" si="71"/>
        <v>541.73506162738977</v>
      </c>
      <c r="DT78" s="59">
        <f ca="1">AVERAGE(OFFSET($DS$3,0,0,'Données projet'!$E$14+1,1))-AVERAGE(OFFSET($H$3,0,0,'Données projet'!$E$14+1,1))</f>
        <v>91.053246648097399</v>
      </c>
      <c r="DU78" s="59">
        <f t="shared" si="98"/>
        <v>64.716270355703955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>
        <f>EXP(-LN(2)/35)*EA77+(1-EXP(-LN(2)/35))/(LN(2)/35)*DW78*DX78*VLOOKUP('Données projet'!$B$14,Paramètres!$A$1:$I$89,3,0)*0.475*44/12</f>
        <v>0</v>
      </c>
      <c r="EB78" s="21">
        <f>EXP(-LN(2)/25)*EB77+(1-EXP(-LN(2)/25))/(LN(2)/25)*Calculateur!DW78*Calculateur!DY78*VLOOKUP('Données projet'!$B$14,Paramètres!$A$1:$I$89,3,0)*0.475*44/12</f>
        <v>0</v>
      </c>
      <c r="EC78" s="21">
        <f>EXP(-LN(2)/2)*EC77+(1-EXP(-LN(2)/2))/(LN(2)/2)*DW78*DZ78*VLOOKUP('Données projet'!$B$14,Paramètres!$A$1:$I$89,3,0)*0.475*44/12</f>
        <v>0</v>
      </c>
      <c r="ED78" s="22">
        <f t="shared" si="72"/>
        <v>0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14.5</v>
      </c>
      <c r="EJ78" s="12">
        <f>IF('Données projet'!$A$192&gt;35,EJ77+EI78-ER77,IF(A78&lt;'Données projet'!$A$192,$EG$205^A78,IF(A78='Données projet'!$A$192,'Données projet'!$B$192,EJ77+EI78-ER77)))</f>
        <v>533.49999999999955</v>
      </c>
      <c r="EK78" s="17">
        <f>EJ78*VLOOKUP('Données projet'!$B$15,Paramètres!$A$1:$I$89,3,0)*VLOOKUP('Données projet'!$B$15,Paramètres!$A$1:$I$89,5,0)</f>
        <v>319.03299999999973</v>
      </c>
      <c r="EL78" s="13">
        <f t="shared" si="99"/>
        <v>75.152115080720222</v>
      </c>
      <c r="EM78" s="20">
        <f t="shared" si="73"/>
        <v>686.53907543225387</v>
      </c>
      <c r="EN78" s="59">
        <f t="shared" si="74"/>
        <v>979.87240876558712</v>
      </c>
      <c r="EO78" s="59">
        <f ca="1">AVERAGE(OFFSET($EN$3,0,0,'Données projet'!$E$15+1,1))-AVERAGE(OFFSET($H$3,0,0,'Données projet'!$E$15+1,1))</f>
        <v>316.58509520829671</v>
      </c>
      <c r="EP78" s="59">
        <f t="shared" si="100"/>
        <v>240.71332110643596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>
        <f>EXP(-LN(2)/35)*EV77+(1-EXP(-LN(2)/35))/(LN(2)/35)*ER78*ES78*VLOOKUP('Données projet'!$B$15,Paramètres!$A$1:$I$89,3,0)*0.475*44/12</f>
        <v>1.0395893866592387</v>
      </c>
      <c r="EW78" s="21">
        <f>EXP(-LN(2)/25)*EW77+(1-EXP(-LN(2)/25))/(LN(2)/25)*Calculateur!ER78*Calculateur!ET78*VLOOKUP('Données projet'!$B$15,Paramètres!$A$1:$I$89,3,0)*0.475*44/12</f>
        <v>4.3845605770408431</v>
      </c>
      <c r="EX78" s="21">
        <f>EXP(-LN(2)/2)*EX77+(1-EXP(-LN(2)/2))/(LN(2)/2)*ER78*EU78*VLOOKUP('Données projet'!$B$15,Paramètres!$A$1:$I$89,3,0)*0.475*44/12</f>
        <v>3.6986966752230388E-6</v>
      </c>
      <c r="EY78" s="22">
        <f t="shared" si="75"/>
        <v>5.4241536623967566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12.5</v>
      </c>
      <c r="FE78" s="12">
        <f>IF('Données projet'!$A$218&gt;35,FE77+FD78-FM77,IF(A78&lt;'Données projet'!$A$218,$FB$205^A78,IF(A78='Données projet'!$A$218,'Données projet'!$B$218,FE77+FD78-FM77)))</f>
        <v>474.50000000000028</v>
      </c>
      <c r="FF78" s="17">
        <f>FE78*VLOOKUP('Données projet'!$B$16,Paramètres!$A$1:$I$89,3,0)*VLOOKUP('Données projet'!$B$16,Paramètres!$A$1:$I$89,5,0)</f>
        <v>283.7510000000002</v>
      </c>
      <c r="FG78" s="13">
        <f t="shared" si="101"/>
        <v>67.759088027504106</v>
      </c>
      <c r="FH78" s="20">
        <f t="shared" si="76"/>
        <v>612.21340331456997</v>
      </c>
      <c r="FI78" s="59">
        <f t="shared" si="77"/>
        <v>905.54673664790334</v>
      </c>
      <c r="FJ78" s="59">
        <f ca="1">AVERAGE(OFFSET($FI$3,0,0,'Données projet'!$E$16+1,1))-AVERAGE(OFFSET($H$3,0,0,'Données projet'!$E$16+1,1))</f>
        <v>270.30888762640245</v>
      </c>
      <c r="FK78" s="59">
        <f t="shared" si="102"/>
        <v>202.23783851977691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>
        <f>EXP(-LN(2)/35)*FQ77+(1-EXP(-LN(2)/35))/(LN(2)/35)*FM78*FN78*VLOOKUP('Données projet'!$B$16,Paramètres!$A$1:$I$89,3,0)*0.475*44/12</f>
        <v>0.87852624224724418</v>
      </c>
      <c r="FR78" s="21">
        <f>EXP(-LN(2)/25)*FR77+(1-EXP(-LN(2)/25))/(LN(2)/25)*Calculateur!FM78*Calculateur!FO78*VLOOKUP('Données projet'!$B$16,Paramètres!$A$1:$I$89,3,0)*0.475*44/12</f>
        <v>3.5308713504497615</v>
      </c>
      <c r="FS78" s="21">
        <f>EXP(-LN(2)/2)*FS77+(1-EXP(-LN(2)/2))/(LN(2)/2)*FM78*FP78*VLOOKUP('Données projet'!$B$16,Paramètres!$A$1:$I$89,3,0)*0.475*44/12</f>
        <v>3.117620690659587E-6</v>
      </c>
      <c r="FT78" s="22">
        <f t="shared" si="78"/>
        <v>4.409400710317696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3.9</v>
      </c>
      <c r="FZ78" s="12">
        <f>IF('Données projet'!$A$244&gt;35,FZ77+FY78-GH77,IF(A78&lt;'Données projet'!$A$244,$FW$205^A78,IF(A78='Données projet'!$A$244,'Données projet'!$B$244,FZ77+FY78-GH77)))</f>
        <v>322.4999999999996</v>
      </c>
      <c r="GA78" s="17">
        <f>FZ78*VLOOKUP('Données projet'!$B$17,Paramètres!$A$1:$I$89,3,0)*VLOOKUP('Données projet'!$B$17,Paramètres!$A$1:$I$89,5,0)</f>
        <v>256.58099999999968</v>
      </c>
      <c r="GB78" s="13">
        <f t="shared" si="103"/>
        <v>61.993024805604399</v>
      </c>
      <c r="GC78" s="20">
        <f t="shared" si="79"/>
        <v>554.84975986976053</v>
      </c>
      <c r="GD78" s="59">
        <f t="shared" si="80"/>
        <v>848.1830932030939</v>
      </c>
      <c r="GE78" s="59">
        <f ca="1">AVERAGE(OFFSET($GD$3,0,0,'Données projet'!$E$17+1,1))-AVERAGE(OFFSET($H$3,0,0,'Données projet'!$E$17+1,1))</f>
        <v>260.20517190557814</v>
      </c>
      <c r="GF78" s="59">
        <f t="shared" si="104"/>
        <v>307.22009971147133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>
        <f>EXP(-LN(2)/35)*GL77+(1-EXP(-LN(2)/35))/(LN(2)/35)*GH78*GI78*VLOOKUP('Données projet'!$B$17,Paramètres!$A$1:$I$89,3,0)*0.475*44/12</f>
        <v>1.3383731907858383</v>
      </c>
      <c r="GM78" s="21">
        <f>EXP(-LN(2)/25)*GM77+(1-EXP(-LN(2)/25))/(LN(2)/25)*Calculateur!GH78*Calculateur!GJ78*VLOOKUP('Données projet'!$B$17,Paramètres!$A$1:$I$89,3,0)*0.475*44/12</f>
        <v>5.8927084737917479</v>
      </c>
      <c r="GN78" s="21">
        <f>EXP(-LN(2)/2)*GN77+(1-EXP(-LN(2)/2))/(LN(2)/2)*GH78*GK78*VLOOKUP('Données projet'!$B$17,Paramètres!$A$1:$I$89,3,0)*0.475*44/12</f>
        <v>4.0526781399966162E-6</v>
      </c>
      <c r="GO78" s="21">
        <f t="shared" si="81"/>
        <v>7.2310857172557261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3.1</v>
      </c>
      <c r="GU78" s="12">
        <f>IF('Données projet'!$A$270&gt;35,GU77+GT78-HC77,IF(A78&lt;'Données projet'!$A$270,$GR$205^A78,IF(A78='Données projet'!$A$270,'Données projet'!$B$270,GU77+GT78-HC77)))</f>
        <v>268.49999999999994</v>
      </c>
      <c r="GV78" s="17">
        <f>GU78*VLOOKUP('Données projet'!$B$18,Paramètres!$A$1:$I$89,3,0)*VLOOKUP('Données projet'!$B$18,Paramètres!$A$1:$I$89,5,0)</f>
        <v>213.61859999999996</v>
      </c>
      <c r="GW78" s="13">
        <f t="shared" si="105"/>
        <v>52.725552856326011</v>
      </c>
      <c r="GX78" s="20">
        <f t="shared" si="82"/>
        <v>463.88273289143444</v>
      </c>
      <c r="GY78" s="59">
        <f t="shared" si="83"/>
        <v>757.2160662247677</v>
      </c>
      <c r="GZ78" s="59">
        <f ca="1">AVERAGE(OFFSET($GY$3,0,0,'Données projet'!$E$18+1,1))-AVERAGE(OFFSET($H$3,0,0,'Données projet'!$E$18+1,1))</f>
        <v>199.58763537752952</v>
      </c>
      <c r="HA78" s="59">
        <f t="shared" si="106"/>
        <v>242.62852778451929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>
        <f>EXP(-LN(2)/35)*HG77+(1-EXP(-LN(2)/35))/(LN(2)/35)*HC78*HD78*VLOOKUP('Données projet'!$B$18,Paramètres!$A$1:$I$89,3,0)*0.475*44/12</f>
        <v>0</v>
      </c>
      <c r="HH78" s="21">
        <f>EXP(-LN(2)/25)*HH77+(1-EXP(-LN(2)/25))/(LN(2)/25)*Calculateur!HC78*Calculateur!HE78*VLOOKUP('Données projet'!$B$18,Paramètres!$A$1:$I$89,3,0)*0.475*44/12</f>
        <v>2.9530095387216448</v>
      </c>
      <c r="HI78" s="21">
        <f>EXP(-LN(2)/2)*HI77+(1-EXP(-LN(2)/2))/(LN(2)/2)*HC78*HF78*VLOOKUP('Données projet'!$B$18,Paramètres!$A$1:$I$89,3,0)*0.475*44/12</f>
        <v>1.8142630853607712E-6</v>
      </c>
      <c r="HJ78" s="22">
        <f t="shared" si="84"/>
        <v>2.9530113529847304</v>
      </c>
    </row>
    <row r="79" spans="1:218" x14ac:dyDescent="0.2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67.579200000000085</v>
      </c>
      <c r="D79" s="11">
        <f t="shared" si="86"/>
        <v>19.071061760403854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668.87921358908307</v>
      </c>
      <c r="H79" s="67">
        <f t="shared" si="56"/>
        <v>444.24920589937017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-2.2737367544323206E-13</v>
      </c>
      <c r="O79" s="13">
        <f>N79*VLOOKUP('Données projet'!$B$9,Paramètres!$A$1:$I$89,3,0)*VLOOKUP('Données projet'!$B$9,Paramètres!$A$1:$I$89,5,0)</f>
        <v>-1.2710188457276673E-13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255.5374979188561</v>
      </c>
      <c r="T79" s="59">
        <f t="shared" si="88"/>
        <v>343.10418468620901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1.2425812540505552</v>
      </c>
      <c r="AA79" s="21">
        <f>EXP(-LN(2)/25)*AA78+(1-EXP(-LN(2)/25))/(LN(2)/25)*Calculateur!V79*Calculateur!X79*VLOOKUP('Données projet'!$B$9,Paramètres!$A$1:$I$89,3,0)*0.475*44/12</f>
        <v>4.4580480616370437</v>
      </c>
      <c r="AB79" s="21">
        <f>EXP(-LN(2)/2)*AB78+(1-EXP(-LN(2)/2))/(LN(2)/2)*V79*Y79*VLOOKUP('Données projet'!$B$9,Paramètres!$A$1:$I$89,3,0)*0.475*44/12</f>
        <v>2.0177985184837175E-7</v>
      </c>
      <c r="AC79" s="22">
        <f t="shared" si="57"/>
        <v>5.7006295174674504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1.1368683772161603E-13</v>
      </c>
      <c r="AJ79" s="13">
        <f>AI79*VLOOKUP('Données projet'!$B$10,Paramètres!$A$1:$I$89,3,0)*VLOOKUP('Données projet'!$B$10,Paramètres!$A$1:$I$89,5,0)</f>
        <v>6.3550942286383367E-14</v>
      </c>
      <c r="AK79" s="13">
        <f t="shared" si="89"/>
        <v>1.0064464192543978E-12</v>
      </c>
      <c r="AL79" s="20">
        <f t="shared" si="58"/>
        <v>1.8635787380168604E-12</v>
      </c>
      <c r="AM79" s="59">
        <f t="shared" si="59"/>
        <v>293.33333333333519</v>
      </c>
      <c r="AN79" s="59">
        <f ca="1">AVERAGE(OFFSET($AM$3,0,0,'Données projet'!$E$10+1,1))-AVERAGE(OFFSET($H$3,0,0,'Données projet'!$E$10+1,1))</f>
        <v>224.7049802939942</v>
      </c>
      <c r="AO79" s="59">
        <f t="shared" si="90"/>
        <v>203.48513862195352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0.89720439416077558</v>
      </c>
      <c r="AV79" s="21">
        <f>EXP(-LN(2)/25)*AV78+(1-EXP(-LN(2)/25))/(LN(2)/25)*Calculateur!AQ79*Calculateur!AS79*VLOOKUP('Données projet'!$B$10,Paramètres!$A$1:$I$89,3,0)*0.475*44/12</f>
        <v>5.4536258735962919</v>
      </c>
      <c r="AW79" s="21">
        <f>EXP(-LN(2)/2)*AW78+(1-EXP(-LN(2)/2))/(LN(2)/2)*AQ79*AT79*VLOOKUP('Données projet'!$B$10,Paramètres!$A$1:$I$89,3,0)*0.475*44/12</f>
        <v>1.0681882609233862E-6</v>
      </c>
      <c r="AX79" s="21">
        <f t="shared" si="60"/>
        <v>6.3508313359453279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7.4</v>
      </c>
      <c r="BD79" s="12">
        <f>IF('Données projet'!$A$88&gt;35,BD78+BC79-BL78,IF(A79&lt;'Données projet'!$A$88,$BA$205^A79,IF(A79='Données projet'!$A$88,'Données projet'!$B$88,BD78+BC79-BL78)))</f>
        <v>403.40000000000009</v>
      </c>
      <c r="BE79" s="13">
        <f>BD79*VLOOKUP('Données projet'!$B$11,Paramètres!$A$1:$I$89,3,0)*VLOOKUP('Données projet'!$B$11,Paramètres!$A$1:$I$89,5,0)</f>
        <v>220.25640000000004</v>
      </c>
      <c r="BF79" s="13">
        <f t="shared" si="91"/>
        <v>54.170609215461226</v>
      </c>
      <c r="BG79" s="20">
        <f t="shared" si="61"/>
        <v>477.96037438359508</v>
      </c>
      <c r="BH79" s="59">
        <f t="shared" si="62"/>
        <v>771.29370771692834</v>
      </c>
      <c r="BI79" s="59">
        <f ca="1">AVERAGE(OFFSET($BH$3,0,0,'Données projet'!$E$11+1,1))-AVERAGE(OFFSET($H$3,0,0,'Données projet'!$E$11+1,1))</f>
        <v>210.04871822652808</v>
      </c>
      <c r="BJ79" s="59">
        <f t="shared" si="92"/>
        <v>250.17540614049324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2.9359057423136514</v>
      </c>
      <c r="BQ79" s="21">
        <f>EXP(-LN(2)/25)*BQ78+(1-EXP(-LN(2)/25))/(LN(2)/25)*Calculateur!BL79*Calculateur!BN79*VLOOKUP('Données projet'!$B$11,Paramètres!$A$1:$I$89,3,0)*0.475*44/12</f>
        <v>7.7737245827377262</v>
      </c>
      <c r="BR79" s="21">
        <f>EXP(-LN(2)/2)*BR78+(1-EXP(-LN(2)/2))/(LN(2)/2)*BL79*BO79*VLOOKUP('Données projet'!$B$11,Paramètres!$A$1:$I$89,3,0)*0.475*44/12</f>
        <v>2.5694237634362815E-6</v>
      </c>
      <c r="BS79" s="22">
        <f t="shared" si="63"/>
        <v>10.709632894475142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6.1</v>
      </c>
      <c r="BY79" s="12">
        <f>IF('Données projet'!$A$114&gt;35,BY78+BX79-CG78,IF(A79&lt;'Données projet'!$A$114,$BV$205^A79,IF(A79='Données projet'!$A$114,'Données projet'!$B$114,BY78+BX79-CG78)))</f>
        <v>348.60000000000014</v>
      </c>
      <c r="BZ79" s="13">
        <f>BY79*VLOOKUP('Données projet'!$B$12,Paramètres!$A$1:$I$89,3,0)*VLOOKUP('Données projet'!$B$12,Paramètres!$A$1:$I$89,5,0)</f>
        <v>190.33560000000008</v>
      </c>
      <c r="CA79" s="13">
        <f t="shared" si="93"/>
        <v>47.614141623958091</v>
      </c>
      <c r="CB79" s="20">
        <f t="shared" si="64"/>
        <v>414.42913332839385</v>
      </c>
      <c r="CC79" s="59">
        <f t="shared" si="65"/>
        <v>707.7624666617271</v>
      </c>
      <c r="CD79" s="59">
        <f ca="1">AVERAGE(OFFSET($CC$3,0,0,'Données projet'!$E$12+1,1))-AVERAGE(OFFSET($H$3,0,0,'Données projet'!$E$12+1,1))</f>
        <v>168.72306536277267</v>
      </c>
      <c r="CE79" s="59">
        <f t="shared" si="94"/>
        <v>203.35476578922339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1.2232940592973549</v>
      </c>
      <c r="CL79" s="21">
        <f>EXP(-LN(2)/25)*CL78+(1-EXP(-LN(2)/25))/(LN(2)/25)*Calculateur!CG79*Calculateur!CI79*VLOOKUP('Données projet'!$B$12,Paramètres!$A$1:$I$89,3,0)*0.475*44/12</f>
        <v>6.4202172355230385</v>
      </c>
      <c r="CM79" s="21">
        <f>EXP(-LN(2)/2)*CM78+(1-EXP(-LN(2)/2))/(LN(2)/2)*CG79*CJ79*VLOOKUP('Données projet'!$B$12,Paramètres!$A$1:$I$89,3,0)*0.475*44/12</f>
        <v>2.3870285298930724E-6</v>
      </c>
      <c r="CN79" s="22">
        <f t="shared" si="66"/>
        <v>7.6435136818489227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16.923076923076923</v>
      </c>
      <c r="CT79" s="12">
        <f>IF('Données projet'!$A$140&gt;35,CT78+CS79-DB78,IF(A79&lt;'Données projet'!$A$140,$CQ$205^A79,IF(A79='Données projet'!$A$140,'Données projet'!$B$140,CT78+CS79-DB78)))</f>
        <v>486.15384615384602</v>
      </c>
      <c r="CU79" s="17">
        <f>CT79*VLOOKUP('Données projet'!$B$13,Paramètres!$A$1:$I$89,3,0)*VLOOKUP('Données projet'!$B$13,Paramètres!$A$1:$I$89,5,0)</f>
        <v>233.83999999999995</v>
      </c>
      <c r="CV79" s="13">
        <f t="shared" si="95"/>
        <v>57.112177489600519</v>
      </c>
      <c r="CW79" s="20">
        <f t="shared" si="67"/>
        <v>506.74170912772075</v>
      </c>
      <c r="CX79" s="59">
        <f t="shared" si="68"/>
        <v>800.07504246105407</v>
      </c>
      <c r="CY79" s="59">
        <f ca="1">AVERAGE(OFFSET($CX$3,0,0,'Données projet'!$E$13+1,1))-AVERAGE(OFFSET($H$3,0,0,'Données projet'!$E$13+1,1))</f>
        <v>304.15237106473313</v>
      </c>
      <c r="CZ79" s="59">
        <f t="shared" si="96"/>
        <v>120.85458928724336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>
        <f>EXP(-LN(2)/35)*DF78+(1-EXP(-LN(2)/35))/(LN(2)/35)*DB79*DC79*VLOOKUP('Données projet'!$B$13,Paramètres!$A$1:$I$89,3,0)*0.475*44/12</f>
        <v>0</v>
      </c>
      <c r="DG79" s="21">
        <f>EXP(-LN(2)/25)*DG78+(1-EXP(-LN(2)/25))/(LN(2)/25)*Calculateur!DB79*Calculateur!DD79*VLOOKUP('Données projet'!$B$13,Paramètres!$A$1:$I$89,3,0)*0.475*44/12</f>
        <v>0</v>
      </c>
      <c r="DH79" s="21">
        <f>EXP(-LN(2)/2)*DH78+(1-EXP(-LN(2)/2))/(LN(2)/2)*DB79*DE79*VLOOKUP('Données projet'!$B$13,Paramètres!$A$1:$I$89,3,0)*0.475*44/12</f>
        <v>0</v>
      </c>
      <c r="DI79" s="22">
        <f t="shared" si="69"/>
        <v>0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8.6923076923076898</v>
      </c>
      <c r="DO79" s="12">
        <f>IF('Données projet'!$A$166&gt;35,DO78+DN79-DW78,IF(A79&lt;'Données projet'!$A$166,$DL$205^A79,IF(A79='Données projet'!$A$166,'Données projet'!$B$166,DO78+DN79-DW78)))</f>
        <v>242.92307692307674</v>
      </c>
      <c r="DP79" s="17">
        <f>DO79*VLOOKUP('Données projet'!$B$14,Paramètres!$A$1:$I$89,3,0)*VLOOKUP('Données projet'!$B$14,Paramètres!$A$1:$I$89,5,0)</f>
        <v>116.84599999999992</v>
      </c>
      <c r="DQ79" s="13">
        <f t="shared" si="97"/>
        <v>30.938244158350471</v>
      </c>
      <c r="DR79" s="20">
        <f t="shared" si="70"/>
        <v>257.39089190912694</v>
      </c>
      <c r="DS79" s="59">
        <f t="shared" si="71"/>
        <v>550.72422524246031</v>
      </c>
      <c r="DT79" s="59">
        <f ca="1">AVERAGE(OFFSET($DS$3,0,0,'Données projet'!$E$14+1,1))-AVERAGE(OFFSET($H$3,0,0,'Données projet'!$E$14+1,1))</f>
        <v>91.053246648097399</v>
      </c>
      <c r="DU79" s="59">
        <f t="shared" si="98"/>
        <v>64.716270355703955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>
        <f>EXP(-LN(2)/35)*EA78+(1-EXP(-LN(2)/35))/(LN(2)/35)*DW79*DX79*VLOOKUP('Données projet'!$B$14,Paramètres!$A$1:$I$89,3,0)*0.475*44/12</f>
        <v>0</v>
      </c>
      <c r="EB79" s="21">
        <f>EXP(-LN(2)/25)*EB78+(1-EXP(-LN(2)/25))/(LN(2)/25)*Calculateur!DW79*Calculateur!DY79*VLOOKUP('Données projet'!$B$14,Paramètres!$A$1:$I$89,3,0)*0.475*44/12</f>
        <v>0</v>
      </c>
      <c r="EC79" s="21">
        <f>EXP(-LN(2)/2)*EC78+(1-EXP(-LN(2)/2))/(LN(2)/2)*DW79*DZ79*VLOOKUP('Données projet'!$B$14,Paramètres!$A$1:$I$89,3,0)*0.475*44/12</f>
        <v>0</v>
      </c>
      <c r="ED79" s="22">
        <f t="shared" si="72"/>
        <v>0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14.5</v>
      </c>
      <c r="EJ79" s="12">
        <f>IF('Données projet'!$A$192&gt;35,EJ78+EI79-ER78,IF(A79&lt;'Données projet'!$A$192,$EG$205^A79,IF(A79='Données projet'!$A$192,'Données projet'!$B$192,EJ78+EI79-ER78)))</f>
        <v>547.99999999999955</v>
      </c>
      <c r="EK79" s="17">
        <f>EJ79*VLOOKUP('Données projet'!$B$15,Paramètres!$A$1:$I$89,3,0)*VLOOKUP('Données projet'!$B$15,Paramètres!$A$1:$I$89,5,0)</f>
        <v>327.70399999999978</v>
      </c>
      <c r="EL79" s="13">
        <f t="shared" si="99"/>
        <v>76.954094537214388</v>
      </c>
      <c r="EM79" s="20">
        <f t="shared" si="73"/>
        <v>704.77951465231456</v>
      </c>
      <c r="EN79" s="59">
        <f t="shared" si="74"/>
        <v>998.11284798564793</v>
      </c>
      <c r="EO79" s="59">
        <f ca="1">AVERAGE(OFFSET($EN$3,0,0,'Données projet'!$E$15+1,1))-AVERAGE(OFFSET($H$3,0,0,'Données projet'!$E$15+1,1))</f>
        <v>316.58509520829671</v>
      </c>
      <c r="EP79" s="59">
        <f t="shared" si="100"/>
        <v>240.71332110643596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>
        <f>EXP(-LN(2)/35)*EV78+(1-EXP(-LN(2)/35))/(LN(2)/35)*ER79*ES79*VLOOKUP('Données projet'!$B$15,Paramètres!$A$1:$I$89,3,0)*0.475*44/12</f>
        <v>1.0192036728737661</v>
      </c>
      <c r="EW79" s="21">
        <f>EXP(-LN(2)/25)*EW78+(1-EXP(-LN(2)/25))/(LN(2)/25)*Calculateur!ER79*Calculateur!ET79*VLOOKUP('Données projet'!$B$15,Paramètres!$A$1:$I$89,3,0)*0.475*44/12</f>
        <v>4.2646645374876417</v>
      </c>
      <c r="EX79" s="21">
        <f>EXP(-LN(2)/2)*EX78+(1-EXP(-LN(2)/2))/(LN(2)/2)*ER79*EU79*VLOOKUP('Données projet'!$B$15,Paramètres!$A$1:$I$89,3,0)*0.475*44/12</f>
        <v>2.6153735006023484E-6</v>
      </c>
      <c r="EY79" s="22">
        <f t="shared" si="75"/>
        <v>5.2838708257349092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12.5</v>
      </c>
      <c r="FE79" s="12">
        <f>IF('Données projet'!$A$218&gt;35,FE78+FD79-FM78,IF(A79&lt;'Données projet'!$A$218,$FB$205^A79,IF(A79='Données projet'!$A$218,'Données projet'!$B$218,FE78+FD79-FM78)))</f>
        <v>487.00000000000028</v>
      </c>
      <c r="FF79" s="17">
        <f>FE79*VLOOKUP('Données projet'!$B$16,Paramètres!$A$1:$I$89,3,0)*VLOOKUP('Données projet'!$B$16,Paramètres!$A$1:$I$89,5,0)</f>
        <v>291.22600000000023</v>
      </c>
      <c r="FG79" s="13">
        <f t="shared" si="101"/>
        <v>69.333930559700164</v>
      </c>
      <c r="FH79" s="20">
        <f t="shared" si="76"/>
        <v>627.97521239147818</v>
      </c>
      <c r="FI79" s="59">
        <f t="shared" si="77"/>
        <v>921.30854572481144</v>
      </c>
      <c r="FJ79" s="59">
        <f ca="1">AVERAGE(OFFSET($FI$3,0,0,'Données projet'!$E$16+1,1))-AVERAGE(OFFSET($H$3,0,0,'Données projet'!$E$16+1,1))</f>
        <v>270.30888762640245</v>
      </c>
      <c r="FK79" s="59">
        <f t="shared" si="102"/>
        <v>202.23783851977691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>
        <f>EXP(-LN(2)/35)*FQ78+(1-EXP(-LN(2)/35))/(LN(2)/35)*FM79*FN79*VLOOKUP('Données projet'!$B$16,Paramètres!$A$1:$I$89,3,0)*0.475*44/12</f>
        <v>0.86129887848487285</v>
      </c>
      <c r="FR79" s="21">
        <f>EXP(-LN(2)/25)*FR78+(1-EXP(-LN(2)/25))/(LN(2)/25)*Calculateur!FM79*Calculateur!FO79*VLOOKUP('Données projet'!$B$16,Paramètres!$A$1:$I$89,3,0)*0.475*44/12</f>
        <v>3.4343194876912584</v>
      </c>
      <c r="FS79" s="21">
        <f>EXP(-LN(2)/2)*FS78+(1-EXP(-LN(2)/2))/(LN(2)/2)*FM79*FP79*VLOOKUP('Données projet'!$B$16,Paramètres!$A$1:$I$89,3,0)*0.475*44/12</f>
        <v>2.2044907315328817E-6</v>
      </c>
      <c r="FT79" s="22">
        <f t="shared" si="78"/>
        <v>4.2956205706668626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3.9</v>
      </c>
      <c r="FZ79" s="12">
        <f>IF('Données projet'!$A$244&gt;35,FZ78+FY79-GH78,IF(A79&lt;'Données projet'!$A$244,$FW$205^A79,IF(A79='Données projet'!$A$244,'Données projet'!$B$244,FZ78+FY79-GH78)))</f>
        <v>326.39999999999958</v>
      </c>
      <c r="GA79" s="17">
        <f>FZ79*VLOOKUP('Données projet'!$B$17,Paramètres!$A$1:$I$89,3,0)*VLOOKUP('Données projet'!$B$17,Paramètres!$A$1:$I$89,5,0)</f>
        <v>259.68383999999969</v>
      </c>
      <c r="GB79" s="13">
        <f t="shared" si="103"/>
        <v>62.654980648867301</v>
      </c>
      <c r="GC79" s="20">
        <f t="shared" si="79"/>
        <v>561.40677929677668</v>
      </c>
      <c r="GD79" s="59">
        <f t="shared" si="80"/>
        <v>854.74011263010993</v>
      </c>
      <c r="GE79" s="59">
        <f ca="1">AVERAGE(OFFSET($GD$3,0,0,'Données projet'!$E$17+1,1))-AVERAGE(OFFSET($H$3,0,0,'Données projet'!$E$17+1,1))</f>
        <v>260.20517190557814</v>
      </c>
      <c r="GF79" s="59">
        <f t="shared" si="104"/>
        <v>307.22009971147133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>
        <f>EXP(-LN(2)/35)*GL78+(1-EXP(-LN(2)/35))/(LN(2)/35)*GH79*GI79*VLOOKUP('Données projet'!$B$17,Paramètres!$A$1:$I$89,3,0)*0.475*44/12</f>
        <v>1.3121285088415688</v>
      </c>
      <c r="GM79" s="21">
        <f>EXP(-LN(2)/25)*GM78+(1-EXP(-LN(2)/25))/(LN(2)/25)*Calculateur!GH79*Calculateur!GJ79*VLOOKUP('Données projet'!$B$17,Paramètres!$A$1:$I$89,3,0)*0.475*44/12</f>
        <v>5.7315720506918417</v>
      </c>
      <c r="GN79" s="21">
        <f>EXP(-LN(2)/2)*GN78+(1-EXP(-LN(2)/2))/(LN(2)/2)*GH79*GK79*VLOOKUP('Données projet'!$B$17,Paramètres!$A$1:$I$89,3,0)*0.475*44/12</f>
        <v>2.8656761947580917E-6</v>
      </c>
      <c r="GO79" s="21">
        <f t="shared" si="81"/>
        <v>7.043703425209606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3.1</v>
      </c>
      <c r="GU79" s="12">
        <f>IF('Données projet'!$A$270&gt;35,GU78+GT79-HC78,IF(A79&lt;'Données projet'!$A$270,$GR$205^A79,IF(A79='Données projet'!$A$270,'Données projet'!$B$270,GU78+GT79-HC78)))</f>
        <v>271.59999999999997</v>
      </c>
      <c r="GV79" s="17">
        <f>GU79*VLOOKUP('Données projet'!$B$18,Paramètres!$A$1:$I$89,3,0)*VLOOKUP('Données projet'!$B$18,Paramètres!$A$1:$I$89,5,0)</f>
        <v>216.08496</v>
      </c>
      <c r="GW79" s="13">
        <f t="shared" si="105"/>
        <v>53.26308393083157</v>
      </c>
      <c r="GX79" s="20">
        <f t="shared" si="82"/>
        <v>469.11450984619825</v>
      </c>
      <c r="GY79" s="59">
        <f t="shared" si="83"/>
        <v>762.44784317953156</v>
      </c>
      <c r="GZ79" s="59">
        <f ca="1">AVERAGE(OFFSET($GY$3,0,0,'Données projet'!$E$18+1,1))-AVERAGE(OFFSET($H$3,0,0,'Données projet'!$E$18+1,1))</f>
        <v>199.58763537752952</v>
      </c>
      <c r="HA79" s="59">
        <f t="shared" si="106"/>
        <v>242.62852778451929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>
        <f>EXP(-LN(2)/35)*HG78+(1-EXP(-LN(2)/35))/(LN(2)/35)*HC79*HD79*VLOOKUP('Données projet'!$B$18,Paramètres!$A$1:$I$89,3,0)*0.475*44/12</f>
        <v>0</v>
      </c>
      <c r="HH79" s="21">
        <f>EXP(-LN(2)/25)*HH78+(1-EXP(-LN(2)/25))/(LN(2)/25)*Calculateur!HC79*Calculateur!HE79*VLOOKUP('Données projet'!$B$18,Paramètres!$A$1:$I$89,3,0)*0.475*44/12</f>
        <v>2.8722593375932792</v>
      </c>
      <c r="HI79" s="21">
        <f>EXP(-LN(2)/2)*HI78+(1-EXP(-LN(2)/2))/(LN(2)/2)*HC79*HF79*VLOOKUP('Données projet'!$B$18,Paramètres!$A$1:$I$89,3,0)*0.475*44/12</f>
        <v>1.2828777305150294E-6</v>
      </c>
      <c r="HJ79" s="22">
        <f t="shared" si="84"/>
        <v>2.8722606204710099</v>
      </c>
    </row>
    <row r="80" spans="1:218" x14ac:dyDescent="0.2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68.468400000000088</v>
      </c>
      <c r="D80" s="11">
        <f t="shared" si="86"/>
        <v>19.292618976952753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677.45347982209216</v>
      </c>
      <c r="H80" s="67">
        <f t="shared" si="56"/>
        <v>446.18377471819281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-2.2737367544323206E-13</v>
      </c>
      <c r="O80" s="13">
        <f>N80*VLOOKUP('Données projet'!$B$9,Paramètres!$A$1:$I$89,3,0)*VLOOKUP('Données projet'!$B$9,Paramètres!$A$1:$I$89,5,0)</f>
        <v>-1.2710188457276673E-13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255.5374979188561</v>
      </c>
      <c r="T80" s="59">
        <f t="shared" si="88"/>
        <v>343.10418468620901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1.2182149935583524</v>
      </c>
      <c r="AA80" s="21">
        <f>EXP(-LN(2)/25)*AA79+(1-EXP(-LN(2)/25))/(LN(2)/25)*Calculateur!V80*Calculateur!X80*VLOOKUP('Données projet'!$B$9,Paramètres!$A$1:$I$89,3,0)*0.475*44/12</f>
        <v>4.3361425029530203</v>
      </c>
      <c r="AB80" s="21">
        <f>EXP(-LN(2)/2)*AB79+(1-EXP(-LN(2)/2))/(LN(2)/2)*V80*Y80*VLOOKUP('Données projet'!$B$9,Paramètres!$A$1:$I$89,3,0)*0.475*44/12</f>
        <v>1.4267990154880058E-7</v>
      </c>
      <c r="AC80" s="22">
        <f t="shared" si="57"/>
        <v>5.5543576391912746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1.1368683772161603E-13</v>
      </c>
      <c r="AJ80" s="13">
        <f>AI80*VLOOKUP('Données projet'!$B$10,Paramètres!$A$1:$I$89,3,0)*VLOOKUP('Données projet'!$B$10,Paramètres!$A$1:$I$89,5,0)</f>
        <v>6.3550942286383367E-14</v>
      </c>
      <c r="AK80" s="13">
        <f t="shared" si="89"/>
        <v>1.0064464192543978E-12</v>
      </c>
      <c r="AL80" s="20">
        <f t="shared" si="58"/>
        <v>1.8635787380168604E-12</v>
      </c>
      <c r="AM80" s="59">
        <f t="shared" si="59"/>
        <v>293.33333333333519</v>
      </c>
      <c r="AN80" s="59">
        <f ca="1">AVERAGE(OFFSET($AM$3,0,0,'Données projet'!$E$10+1,1))-AVERAGE(OFFSET($H$3,0,0,'Données projet'!$E$10+1,1))</f>
        <v>224.7049802939942</v>
      </c>
      <c r="AO80" s="59">
        <f t="shared" si="90"/>
        <v>203.48513862195352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0.87961076323192766</v>
      </c>
      <c r="AV80" s="21">
        <f>EXP(-LN(2)/25)*AV79+(1-EXP(-LN(2)/25))/(LN(2)/25)*Calculateur!AQ80*Calculateur!AS80*VLOOKUP('Données projet'!$B$10,Paramètres!$A$1:$I$89,3,0)*0.475*44/12</f>
        <v>5.3044961872890815</v>
      </c>
      <c r="AW80" s="21">
        <f>EXP(-LN(2)/2)*AW79+(1-EXP(-LN(2)/2))/(LN(2)/2)*AQ80*AT80*VLOOKUP('Données projet'!$B$10,Paramètres!$A$1:$I$89,3,0)*0.475*44/12</f>
        <v>7.5532316288279155E-7</v>
      </c>
      <c r="AX80" s="21">
        <f t="shared" si="60"/>
        <v>6.1841077058441725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7.4</v>
      </c>
      <c r="BD80" s="12">
        <f>IF('Données projet'!$A$88&gt;35,BD79+BC80-BL79,IF(A80&lt;'Données projet'!$A$88,$BA$205^A80,IF(A80='Données projet'!$A$88,'Données projet'!$B$88,BD79+BC80-BL79)))</f>
        <v>410.80000000000007</v>
      </c>
      <c r="BE80" s="13">
        <f>BD80*VLOOKUP('Données projet'!$B$11,Paramètres!$A$1:$I$89,3,0)*VLOOKUP('Données projet'!$B$11,Paramètres!$A$1:$I$89,5,0)</f>
        <v>224.29680000000005</v>
      </c>
      <c r="BF80" s="13">
        <f t="shared" si="91"/>
        <v>55.047720057866165</v>
      </c>
      <c r="BG80" s="20">
        <f t="shared" si="61"/>
        <v>486.52503910078366</v>
      </c>
      <c r="BH80" s="59">
        <f t="shared" si="62"/>
        <v>779.85837243411697</v>
      </c>
      <c r="BI80" s="59">
        <f ca="1">AVERAGE(OFFSET($BH$3,0,0,'Données projet'!$E$11+1,1))-AVERAGE(OFFSET($H$3,0,0,'Données projet'!$E$11+1,1))</f>
        <v>210.04871822652808</v>
      </c>
      <c r="BJ80" s="59">
        <f t="shared" si="92"/>
        <v>250.17540614049324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2.8783344214325641</v>
      </c>
      <c r="BQ80" s="21">
        <f>EXP(-LN(2)/25)*BQ79+(1-EXP(-LN(2)/25))/(LN(2)/25)*Calculateur!BL80*Calculateur!BN80*VLOOKUP('Données projet'!$B$11,Paramètres!$A$1:$I$89,3,0)*0.475*44/12</f>
        <v>7.561151675220354</v>
      </c>
      <c r="BR80" s="21">
        <f>EXP(-LN(2)/2)*BR79+(1-EXP(-LN(2)/2))/(LN(2)/2)*BL80*BO80*VLOOKUP('Données projet'!$B$11,Paramètres!$A$1:$I$89,3,0)*0.475*44/12</f>
        <v>1.8168569668676543E-6</v>
      </c>
      <c r="BS80" s="22">
        <f t="shared" si="63"/>
        <v>10.439487913509884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6.1</v>
      </c>
      <c r="BY80" s="12">
        <f>IF('Données projet'!$A$114&gt;35,BY79+BX80-CG79,IF(A80&lt;'Données projet'!$A$114,$BV$205^A80,IF(A80='Données projet'!$A$114,'Données projet'!$B$114,BY79+BX80-CG79)))</f>
        <v>354.70000000000016</v>
      </c>
      <c r="BZ80" s="13">
        <f>BY80*VLOOKUP('Données projet'!$B$12,Paramètres!$A$1:$I$89,3,0)*VLOOKUP('Données projet'!$B$12,Paramètres!$A$1:$I$89,5,0)</f>
        <v>193.66620000000012</v>
      </c>
      <c r="CA80" s="13">
        <f t="shared" si="93"/>
        <v>48.349593834084288</v>
      </c>
      <c r="CB80" s="20">
        <f t="shared" si="64"/>
        <v>421.51084092769702</v>
      </c>
      <c r="CC80" s="59">
        <f t="shared" si="65"/>
        <v>714.84417426103028</v>
      </c>
      <c r="CD80" s="59">
        <f ca="1">AVERAGE(OFFSET($CC$3,0,0,'Données projet'!$E$12+1,1))-AVERAGE(OFFSET($H$3,0,0,'Données projet'!$E$12+1,1))</f>
        <v>168.72306536277267</v>
      </c>
      <c r="CE80" s="59">
        <f t="shared" si="94"/>
        <v>203.35476578922339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1.1993060089302352</v>
      </c>
      <c r="CL80" s="21">
        <f>EXP(-LN(2)/25)*CL79+(1-EXP(-LN(2)/25))/(LN(2)/25)*Calculateur!CG80*Calculateur!CI80*VLOOKUP('Données projet'!$B$12,Paramètres!$A$1:$I$89,3,0)*0.475*44/12</f>
        <v>6.2446560575931098</v>
      </c>
      <c r="CM80" s="21">
        <f>EXP(-LN(2)/2)*CM79+(1-EXP(-LN(2)/2))/(LN(2)/2)*CG80*CJ80*VLOOKUP('Données projet'!$B$12,Paramètres!$A$1:$I$89,3,0)*0.475*44/12</f>
        <v>1.687884060373147E-6</v>
      </c>
      <c r="CN80" s="22">
        <f t="shared" si="66"/>
        <v>7.4439637544074051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16.923076923076923</v>
      </c>
      <c r="CT80" s="12">
        <f>IF('Données projet'!$A$140&gt;35,CT79+CS80-DB79,IF(A80&lt;'Données projet'!$A$140,$CQ$205^A80,IF(A80='Données projet'!$A$140,'Données projet'!$B$140,CT79+CS80-DB79)))</f>
        <v>503.07692307692292</v>
      </c>
      <c r="CU80" s="17">
        <f>CT80*VLOOKUP('Données projet'!$B$13,Paramètres!$A$1:$I$89,3,0)*VLOOKUP('Données projet'!$B$13,Paramètres!$A$1:$I$89,5,0)</f>
        <v>241.97999999999993</v>
      </c>
      <c r="CV80" s="13">
        <f t="shared" si="95"/>
        <v>58.865333205732803</v>
      </c>
      <c r="CW80" s="20">
        <f t="shared" si="67"/>
        <v>523.97228866665114</v>
      </c>
      <c r="CX80" s="59">
        <f t="shared" si="68"/>
        <v>817.3056219999844</v>
      </c>
      <c r="CY80" s="59">
        <f ca="1">AVERAGE(OFFSET($CX$3,0,0,'Données projet'!$E$13+1,1))-AVERAGE(OFFSET($H$3,0,0,'Données projet'!$E$13+1,1))</f>
        <v>304.15237106473313</v>
      </c>
      <c r="CZ80" s="59">
        <f t="shared" si="96"/>
        <v>120.85458928724336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>
        <f>EXP(-LN(2)/35)*DF79+(1-EXP(-LN(2)/35))/(LN(2)/35)*DB80*DC80*VLOOKUP('Données projet'!$B$13,Paramètres!$A$1:$I$89,3,0)*0.475*44/12</f>
        <v>0</v>
      </c>
      <c r="DG80" s="21">
        <f>EXP(-LN(2)/25)*DG79+(1-EXP(-LN(2)/25))/(LN(2)/25)*Calculateur!DB80*Calculateur!DD80*VLOOKUP('Données projet'!$B$13,Paramètres!$A$1:$I$89,3,0)*0.475*44/12</f>
        <v>0</v>
      </c>
      <c r="DH80" s="21">
        <f>EXP(-LN(2)/2)*DH79+(1-EXP(-LN(2)/2))/(LN(2)/2)*DB80*DE80*VLOOKUP('Données projet'!$B$13,Paramètres!$A$1:$I$89,3,0)*0.475*44/12</f>
        <v>0</v>
      </c>
      <c r="DI80" s="22">
        <f t="shared" si="69"/>
        <v>0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8.6923076923076898</v>
      </c>
      <c r="DO80" s="12">
        <f>IF('Données projet'!$A$166&gt;35,DO79+DN80-DW79,IF(A80&lt;'Données projet'!$A$166,$DL$205^A80,IF(A80='Données projet'!$A$166,'Données projet'!$B$166,DO79+DN80-DW79)))</f>
        <v>251.61538461538441</v>
      </c>
      <c r="DP80" s="17">
        <f>DO80*VLOOKUP('Données projet'!$B$14,Paramètres!$A$1:$I$89,3,0)*VLOOKUP('Données projet'!$B$14,Paramètres!$A$1:$I$89,5,0)</f>
        <v>121.0269999999999</v>
      </c>
      <c r="DQ80" s="13">
        <f t="shared" si="97"/>
        <v>31.914411248001507</v>
      </c>
      <c r="DR80" s="20">
        <f t="shared" si="70"/>
        <v>266.37295792360243</v>
      </c>
      <c r="DS80" s="59">
        <f t="shared" si="71"/>
        <v>559.70629125693574</v>
      </c>
      <c r="DT80" s="59">
        <f ca="1">AVERAGE(OFFSET($DS$3,0,0,'Données projet'!$E$14+1,1))-AVERAGE(OFFSET($H$3,0,0,'Données projet'!$E$14+1,1))</f>
        <v>91.053246648097399</v>
      </c>
      <c r="DU80" s="59">
        <f t="shared" si="98"/>
        <v>64.716270355703955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>
        <f>EXP(-LN(2)/35)*EA79+(1-EXP(-LN(2)/35))/(LN(2)/35)*DW80*DX80*VLOOKUP('Données projet'!$B$14,Paramètres!$A$1:$I$89,3,0)*0.475*44/12</f>
        <v>0</v>
      </c>
      <c r="EB80" s="21">
        <f>EXP(-LN(2)/25)*EB79+(1-EXP(-LN(2)/25))/(LN(2)/25)*Calculateur!DW80*Calculateur!DY80*VLOOKUP('Données projet'!$B$14,Paramètres!$A$1:$I$89,3,0)*0.475*44/12</f>
        <v>0</v>
      </c>
      <c r="EC80" s="21">
        <f>EXP(-LN(2)/2)*EC79+(1-EXP(-LN(2)/2))/(LN(2)/2)*DW80*DZ80*VLOOKUP('Données projet'!$B$14,Paramètres!$A$1:$I$89,3,0)*0.475*44/12</f>
        <v>0</v>
      </c>
      <c r="ED80" s="22">
        <f t="shared" si="72"/>
        <v>0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14.5</v>
      </c>
      <c r="EJ80" s="12">
        <f>IF('Données projet'!$A$192&gt;35,EJ79+EI80-ER79,IF(A80&lt;'Données projet'!$A$192,$EG$205^A80,IF(A80='Données projet'!$A$192,'Données projet'!$B$192,EJ79+EI80-ER79)))</f>
        <v>562.49999999999955</v>
      </c>
      <c r="EK80" s="17">
        <f>EJ80*VLOOKUP('Données projet'!$B$15,Paramètres!$A$1:$I$89,3,0)*VLOOKUP('Données projet'!$B$15,Paramètres!$A$1:$I$89,5,0)</f>
        <v>336.37499999999977</v>
      </c>
      <c r="EL80" s="13">
        <f t="shared" si="99"/>
        <v>78.750531883095675</v>
      </c>
      <c r="EM80" s="20">
        <f t="shared" si="73"/>
        <v>723.01030136305792</v>
      </c>
      <c r="EN80" s="59">
        <f t="shared" si="74"/>
        <v>1016.3436346963913</v>
      </c>
      <c r="EO80" s="59">
        <f ca="1">AVERAGE(OFFSET($EN$3,0,0,'Données projet'!$E$15+1,1))-AVERAGE(OFFSET($H$3,0,0,'Données projet'!$E$15+1,1))</f>
        <v>316.58509520829671</v>
      </c>
      <c r="EP80" s="59">
        <f t="shared" si="100"/>
        <v>240.71332110643596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>
        <f>EXP(-LN(2)/35)*EV79+(1-EXP(-LN(2)/35))/(LN(2)/35)*ER80*ES80*VLOOKUP('Données projet'!$B$15,Paramètres!$A$1:$I$89,3,0)*0.475*44/12</f>
        <v>0.99921771050156893</v>
      </c>
      <c r="EW80" s="21">
        <f>EXP(-LN(2)/25)*EW79+(1-EXP(-LN(2)/25))/(LN(2)/25)*Calculateur!ER80*Calculateur!ET80*VLOOKUP('Données projet'!$B$15,Paramètres!$A$1:$I$89,3,0)*0.475*44/12</f>
        <v>4.1480470614410816</v>
      </c>
      <c r="EX80" s="21">
        <f>EXP(-LN(2)/2)*EX79+(1-EXP(-LN(2)/2))/(LN(2)/2)*ER80*EU80*VLOOKUP('Données projet'!$B$15,Paramètres!$A$1:$I$89,3,0)*0.475*44/12</f>
        <v>1.8493483376115198E-6</v>
      </c>
      <c r="EY80" s="22">
        <f t="shared" si="75"/>
        <v>5.1472666212909877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12.5</v>
      </c>
      <c r="FE80" s="12">
        <f>IF('Données projet'!$A$218&gt;35,FE79+FD80-FM79,IF(A80&lt;'Données projet'!$A$218,$FB$205^A80,IF(A80='Données projet'!$A$218,'Données projet'!$B$218,FE79+FD80-FM79)))</f>
        <v>499.50000000000028</v>
      </c>
      <c r="FF80" s="17">
        <f>FE80*VLOOKUP('Données projet'!$B$16,Paramètres!$A$1:$I$89,3,0)*VLOOKUP('Données projet'!$B$16,Paramètres!$A$1:$I$89,5,0)</f>
        <v>298.70100000000019</v>
      </c>
      <c r="FG80" s="13">
        <f t="shared" si="101"/>
        <v>70.904074443365431</v>
      </c>
      <c r="FH80" s="20">
        <f t="shared" si="76"/>
        <v>643.72883798886176</v>
      </c>
      <c r="FI80" s="59">
        <f t="shared" si="77"/>
        <v>937.06217132219513</v>
      </c>
      <c r="FJ80" s="59">
        <f ca="1">AVERAGE(OFFSET($FI$3,0,0,'Données projet'!$E$16+1,1))-AVERAGE(OFFSET($H$3,0,0,'Données projet'!$E$16+1,1))</f>
        <v>270.30888762640245</v>
      </c>
      <c r="FK80" s="59">
        <f t="shared" si="102"/>
        <v>202.23783851977691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>
        <f>EXP(-LN(2)/35)*FQ79+(1-EXP(-LN(2)/35))/(LN(2)/35)*FM80*FN80*VLOOKUP('Données projet'!$B$16,Paramètres!$A$1:$I$89,3,0)*0.475*44/12</f>
        <v>0.84440933281822728</v>
      </c>
      <c r="FR80" s="21">
        <f>EXP(-LN(2)/25)*FR79+(1-EXP(-LN(2)/25))/(LN(2)/25)*Calculateur!FM80*Calculateur!FO80*VLOOKUP('Données projet'!$B$16,Paramètres!$A$1:$I$89,3,0)*0.475*44/12</f>
        <v>3.3404078406973281</v>
      </c>
      <c r="FS80" s="21">
        <f>EXP(-LN(2)/2)*FS79+(1-EXP(-LN(2)/2))/(LN(2)/2)*FM80*FP80*VLOOKUP('Données projet'!$B$16,Paramètres!$A$1:$I$89,3,0)*0.475*44/12</f>
        <v>1.5588103453297935E-6</v>
      </c>
      <c r="FT80" s="22">
        <f t="shared" si="78"/>
        <v>4.1848187323259012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3.9</v>
      </c>
      <c r="FZ80" s="12">
        <f>IF('Données projet'!$A$244&gt;35,FZ79+FY80-GH79,IF(A80&lt;'Données projet'!$A$244,$FW$205^A80,IF(A80='Données projet'!$A$244,'Données projet'!$B$244,FZ79+FY80-GH79)))</f>
        <v>330.29999999999956</v>
      </c>
      <c r="GA80" s="17">
        <f>FZ80*VLOOKUP('Données projet'!$B$17,Paramètres!$A$1:$I$89,3,0)*VLOOKUP('Données projet'!$B$17,Paramètres!$A$1:$I$89,5,0)</f>
        <v>262.78667999999965</v>
      </c>
      <c r="GB80" s="13">
        <f t="shared" si="103"/>
        <v>63.316016454882053</v>
      </c>
      <c r="GC80" s="20">
        <f t="shared" si="79"/>
        <v>567.96219632558564</v>
      </c>
      <c r="GD80" s="59">
        <f t="shared" si="80"/>
        <v>861.29552965891889</v>
      </c>
      <c r="GE80" s="59">
        <f ca="1">AVERAGE(OFFSET($GD$3,0,0,'Données projet'!$E$17+1,1))-AVERAGE(OFFSET($H$3,0,0,'Données projet'!$E$17+1,1))</f>
        <v>260.20517190557814</v>
      </c>
      <c r="GF80" s="59">
        <f t="shared" si="104"/>
        <v>307.22009971147133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>
        <f>EXP(-LN(2)/35)*GL79+(1-EXP(-LN(2)/35))/(LN(2)/35)*GH80*GI80*VLOOKUP('Données projet'!$B$17,Paramètres!$A$1:$I$89,3,0)*0.475*44/12</f>
        <v>1.2863984691025512</v>
      </c>
      <c r="GM80" s="21">
        <f>EXP(-LN(2)/25)*GM79+(1-EXP(-LN(2)/25))/(LN(2)/25)*Calculateur!GH80*Calculateur!GJ80*VLOOKUP('Données projet'!$B$17,Paramètres!$A$1:$I$89,3,0)*0.475*44/12</f>
        <v>5.5748419115553984</v>
      </c>
      <c r="GN80" s="21">
        <f>EXP(-LN(2)/2)*GN79+(1-EXP(-LN(2)/2))/(LN(2)/2)*GH80*GK80*VLOOKUP('Données projet'!$B$17,Paramètres!$A$1:$I$89,3,0)*0.475*44/12</f>
        <v>2.0263390699983081E-6</v>
      </c>
      <c r="GO80" s="21">
        <f t="shared" si="81"/>
        <v>6.8612424069970199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3.1</v>
      </c>
      <c r="GU80" s="12">
        <f>IF('Données projet'!$A$270&gt;35,GU79+GT80-HC79,IF(A80&lt;'Données projet'!$A$270,$GR$205^A80,IF(A80='Données projet'!$A$270,'Données projet'!$B$270,GU79+GT80-HC79)))</f>
        <v>274.7</v>
      </c>
      <c r="GV80" s="17">
        <f>GU80*VLOOKUP('Données projet'!$B$18,Paramètres!$A$1:$I$89,3,0)*VLOOKUP('Données projet'!$B$18,Paramètres!$A$1:$I$89,5,0)</f>
        <v>218.55132000000003</v>
      </c>
      <c r="GW80" s="13">
        <f t="shared" si="105"/>
        <v>53.79990131471051</v>
      </c>
      <c r="GX80" s="20">
        <f t="shared" si="82"/>
        <v>474.3450437897875</v>
      </c>
      <c r="GY80" s="59">
        <f t="shared" si="83"/>
        <v>767.67837712312075</v>
      </c>
      <c r="GZ80" s="59">
        <f ca="1">AVERAGE(OFFSET($GY$3,0,0,'Données projet'!$E$18+1,1))-AVERAGE(OFFSET($H$3,0,0,'Données projet'!$E$18+1,1))</f>
        <v>199.58763537752952</v>
      </c>
      <c r="HA80" s="59">
        <f t="shared" si="106"/>
        <v>242.62852778451929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>
        <f>EXP(-LN(2)/35)*HG79+(1-EXP(-LN(2)/35))/(LN(2)/35)*HC80*HD80*VLOOKUP('Données projet'!$B$18,Paramètres!$A$1:$I$89,3,0)*0.475*44/12</f>
        <v>0</v>
      </c>
      <c r="HH80" s="21">
        <f>EXP(-LN(2)/25)*HH79+(1-EXP(-LN(2)/25))/(LN(2)/25)*Calculateur!HC80*Calculateur!HE80*VLOOKUP('Données projet'!$B$18,Paramètres!$A$1:$I$89,3,0)*0.475*44/12</f>
        <v>2.793717254961237</v>
      </c>
      <c r="HI80" s="21">
        <f>EXP(-LN(2)/2)*HI79+(1-EXP(-LN(2)/2))/(LN(2)/2)*HC80*HF80*VLOOKUP('Données projet'!$B$18,Paramètres!$A$1:$I$89,3,0)*0.475*44/12</f>
        <v>9.071315426803856E-7</v>
      </c>
      <c r="HJ80" s="22">
        <f t="shared" si="84"/>
        <v>2.7937181620927798</v>
      </c>
    </row>
    <row r="81" spans="1:218" x14ac:dyDescent="0.2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69.35760000000009</v>
      </c>
      <c r="D81" s="11">
        <f t="shared" si="86"/>
        <v>19.51384151112245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686.02516254199861</v>
      </c>
      <c r="H81" s="67">
        <f t="shared" si="56"/>
        <v>448.11776063187176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-2.2737367544323206E-13</v>
      </c>
      <c r="O81" s="13">
        <f>N81*VLOOKUP('Données projet'!$B$9,Paramètres!$A$1:$I$89,3,0)*VLOOKUP('Données projet'!$B$9,Paramètres!$A$1:$I$89,5,0)</f>
        <v>-1.2710188457276673E-13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255.5374979188561</v>
      </c>
      <c r="T81" s="59">
        <f t="shared" si="88"/>
        <v>343.10418468620901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1.1943265405724504</v>
      </c>
      <c r="AA81" s="21">
        <f>EXP(-LN(2)/25)*AA80+(1-EXP(-LN(2)/25))/(LN(2)/25)*Calculateur!V81*Calculateur!X81*VLOOKUP('Données projet'!$B$9,Paramètres!$A$1:$I$89,3,0)*0.475*44/12</f>
        <v>4.217570458181946</v>
      </c>
      <c r="AB81" s="21">
        <f>EXP(-LN(2)/2)*AB80+(1-EXP(-LN(2)/2))/(LN(2)/2)*V81*Y81*VLOOKUP('Données projet'!$B$9,Paramètres!$A$1:$I$89,3,0)*0.475*44/12</f>
        <v>1.0088992592418587E-7</v>
      </c>
      <c r="AC81" s="22">
        <f t="shared" si="57"/>
        <v>5.4118970996443219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1.1368683772161603E-13</v>
      </c>
      <c r="AJ81" s="13">
        <f>AI81*VLOOKUP('Données projet'!$B$10,Paramètres!$A$1:$I$89,3,0)*VLOOKUP('Données projet'!$B$10,Paramètres!$A$1:$I$89,5,0)</f>
        <v>6.3550942286383367E-14</v>
      </c>
      <c r="AK81" s="13">
        <f t="shared" si="89"/>
        <v>1.0064464192543978E-12</v>
      </c>
      <c r="AL81" s="20">
        <f t="shared" si="58"/>
        <v>1.8635787380168604E-12</v>
      </c>
      <c r="AM81" s="59">
        <f t="shared" si="59"/>
        <v>293.33333333333519</v>
      </c>
      <c r="AN81" s="59">
        <f ca="1">AVERAGE(OFFSET($AM$3,0,0,'Données projet'!$E$10+1,1))-AVERAGE(OFFSET($H$3,0,0,'Données projet'!$E$10+1,1))</f>
        <v>224.7049802939942</v>
      </c>
      <c r="AO81" s="59">
        <f t="shared" si="90"/>
        <v>203.48513862195352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0.86236213267453921</v>
      </c>
      <c r="AV81" s="21">
        <f>EXP(-LN(2)/25)*AV80+(1-EXP(-LN(2)/25))/(LN(2)/25)*Calculateur!AQ81*Calculateur!AS81*VLOOKUP('Données projet'!$B$10,Paramètres!$A$1:$I$89,3,0)*0.475*44/12</f>
        <v>5.1594444600963305</v>
      </c>
      <c r="AW81" s="21">
        <f>EXP(-LN(2)/2)*AW80+(1-EXP(-LN(2)/2))/(LN(2)/2)*AQ81*AT81*VLOOKUP('Données projet'!$B$10,Paramètres!$A$1:$I$89,3,0)*0.475*44/12</f>
        <v>5.3409413046169308E-7</v>
      </c>
      <c r="AX81" s="21">
        <f t="shared" si="60"/>
        <v>6.0218071268650002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7.4</v>
      </c>
      <c r="BD81" s="12">
        <f>IF('Données projet'!$A$88&gt;35,BD80+BC81-BL80,IF(A81&lt;'Données projet'!$A$88,$BA$205^A81,IF(A81='Données projet'!$A$88,'Données projet'!$B$88,BD80+BC81-BL80)))</f>
        <v>418.20000000000005</v>
      </c>
      <c r="BE81" s="13">
        <f>BD81*VLOOKUP('Données projet'!$B$11,Paramètres!$A$1:$I$89,3,0)*VLOOKUP('Données projet'!$B$11,Paramètres!$A$1:$I$89,5,0)</f>
        <v>228.33720000000002</v>
      </c>
      <c r="BF81" s="13">
        <f t="shared" si="91"/>
        <v>55.922993607595103</v>
      </c>
      <c r="BG81" s="20">
        <f t="shared" si="61"/>
        <v>495.08650386656154</v>
      </c>
      <c r="BH81" s="59">
        <f t="shared" si="62"/>
        <v>788.4198371998948</v>
      </c>
      <c r="BI81" s="59">
        <f ca="1">AVERAGE(OFFSET($BH$3,0,0,'Données projet'!$E$11+1,1))-AVERAGE(OFFSET($H$3,0,0,'Données projet'!$E$11+1,1))</f>
        <v>210.04871822652808</v>
      </c>
      <c r="BJ81" s="59">
        <f t="shared" si="92"/>
        <v>250.17540614049324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2.8218920390389166</v>
      </c>
      <c r="BQ81" s="21">
        <f>EXP(-LN(2)/25)*BQ80+(1-EXP(-LN(2)/25))/(LN(2)/25)*Calculateur!BL81*Calculateur!BN81*VLOOKUP('Données projet'!$B$11,Paramètres!$A$1:$I$89,3,0)*0.475*44/12</f>
        <v>7.3543915850377681</v>
      </c>
      <c r="BR81" s="21">
        <f>EXP(-LN(2)/2)*BR80+(1-EXP(-LN(2)/2))/(LN(2)/2)*BL81*BO81*VLOOKUP('Données projet'!$B$11,Paramètres!$A$1:$I$89,3,0)*0.475*44/12</f>
        <v>1.284711881718141E-6</v>
      </c>
      <c r="BS81" s="22">
        <f t="shared" si="63"/>
        <v>10.176284908788567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6.1</v>
      </c>
      <c r="BY81" s="12">
        <f>IF('Données projet'!$A$114&gt;35,BY80+BX81-CG80,IF(A81&lt;'Données projet'!$A$114,$BV$205^A81,IF(A81='Données projet'!$A$114,'Données projet'!$B$114,BY80+BX81-CG80)))</f>
        <v>360.80000000000018</v>
      </c>
      <c r="BZ81" s="13">
        <f>BY81*VLOOKUP('Données projet'!$B$12,Paramètres!$A$1:$I$89,3,0)*VLOOKUP('Données projet'!$B$12,Paramètres!$A$1:$I$89,5,0)</f>
        <v>196.99680000000009</v>
      </c>
      <c r="CA81" s="13">
        <f t="shared" si="93"/>
        <v>49.083575208709597</v>
      </c>
      <c r="CB81" s="20">
        <f t="shared" si="64"/>
        <v>428.58998682183602</v>
      </c>
      <c r="CC81" s="59">
        <f t="shared" si="65"/>
        <v>721.92332015516934</v>
      </c>
      <c r="CD81" s="59">
        <f ca="1">AVERAGE(OFFSET($CC$3,0,0,'Données projet'!$E$12+1,1))-AVERAGE(OFFSET($H$3,0,0,'Données projet'!$E$12+1,1))</f>
        <v>168.72306536277267</v>
      </c>
      <c r="CE81" s="59">
        <f t="shared" si="94"/>
        <v>203.35476578922339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1.1757883495995487</v>
      </c>
      <c r="CL81" s="21">
        <f>EXP(-LN(2)/25)*CL80+(1-EXP(-LN(2)/25))/(LN(2)/25)*Calculateur!CG81*Calculateur!CI81*VLOOKUP('Données projet'!$B$12,Paramètres!$A$1:$I$89,3,0)*0.475*44/12</f>
        <v>6.0738956093060361</v>
      </c>
      <c r="CM81" s="21">
        <f>EXP(-LN(2)/2)*CM80+(1-EXP(-LN(2)/2))/(LN(2)/2)*CG81*CJ81*VLOOKUP('Données projet'!$B$12,Paramètres!$A$1:$I$89,3,0)*0.475*44/12</f>
        <v>1.1935142649465362E-6</v>
      </c>
      <c r="CN81" s="22">
        <f t="shared" si="66"/>
        <v>7.2496851524198505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16.923076923076923</v>
      </c>
      <c r="CT81" s="12">
        <f>IF('Données projet'!$A$140&gt;35,CT80+CS81-DB80,IF(A81&lt;'Données projet'!$A$140,$CQ$205^A81,IF(A81='Données projet'!$A$140,'Données projet'!$B$140,CT80+CS81-DB80)))</f>
        <v>519.99999999999989</v>
      </c>
      <c r="CU81" s="17">
        <f>CT81*VLOOKUP('Données projet'!$B$13,Paramètres!$A$1:$I$89,3,0)*VLOOKUP('Données projet'!$B$13,Paramètres!$A$1:$I$89,5,0)</f>
        <v>250.11999999999995</v>
      </c>
      <c r="CV81" s="13">
        <f t="shared" si="95"/>
        <v>60.611636328545892</v>
      </c>
      <c r="CW81" s="20">
        <f t="shared" si="67"/>
        <v>541.19093327221731</v>
      </c>
      <c r="CX81" s="59">
        <f t="shared" si="68"/>
        <v>834.52426660555057</v>
      </c>
      <c r="CY81" s="59">
        <f ca="1">AVERAGE(OFFSET($CX$3,0,0,'Données projet'!$E$13+1,1))-AVERAGE(OFFSET($H$3,0,0,'Données projet'!$E$13+1,1))</f>
        <v>304.15237106473313</v>
      </c>
      <c r="CZ81" s="59">
        <f t="shared" si="96"/>
        <v>120.85458928724336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>
        <f>EXP(-LN(2)/35)*DF80+(1-EXP(-LN(2)/35))/(LN(2)/35)*DB81*DC81*VLOOKUP('Données projet'!$B$13,Paramètres!$A$1:$I$89,3,0)*0.475*44/12</f>
        <v>0</v>
      </c>
      <c r="DG81" s="21">
        <f>EXP(-LN(2)/25)*DG80+(1-EXP(-LN(2)/25))/(LN(2)/25)*Calculateur!DB81*Calculateur!DD81*VLOOKUP('Données projet'!$B$13,Paramètres!$A$1:$I$89,3,0)*0.475*44/12</f>
        <v>0</v>
      </c>
      <c r="DH81" s="21">
        <f>EXP(-LN(2)/2)*DH80+(1-EXP(-LN(2)/2))/(LN(2)/2)*DB81*DE81*VLOOKUP('Données projet'!$B$13,Paramètres!$A$1:$I$89,3,0)*0.475*44/12</f>
        <v>0</v>
      </c>
      <c r="DI81" s="22">
        <f t="shared" si="69"/>
        <v>0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8.6923076923076898</v>
      </c>
      <c r="DO81" s="12">
        <f>IF('Données projet'!$A$166&gt;35,DO80+DN81-DW80,IF(A81&lt;'Données projet'!$A$166,$DL$205^A81,IF(A81='Données projet'!$A$166,'Données projet'!$B$166,DO80+DN81-DW80)))</f>
        <v>260.30769230769209</v>
      </c>
      <c r="DP81" s="17">
        <f>DO81*VLOOKUP('Données projet'!$B$14,Paramètres!$A$1:$I$89,3,0)*VLOOKUP('Données projet'!$B$14,Paramètres!$A$1:$I$89,5,0)</f>
        <v>125.2079999999999</v>
      </c>
      <c r="DQ81" s="13">
        <f t="shared" si="97"/>
        <v>32.886660076177087</v>
      </c>
      <c r="DR81" s="20">
        <f t="shared" si="70"/>
        <v>275.34819963267495</v>
      </c>
      <c r="DS81" s="59">
        <f t="shared" si="71"/>
        <v>568.68153296600826</v>
      </c>
      <c r="DT81" s="59">
        <f ca="1">AVERAGE(OFFSET($DS$3,0,0,'Données projet'!$E$14+1,1))-AVERAGE(OFFSET($H$3,0,0,'Données projet'!$E$14+1,1))</f>
        <v>91.053246648097399</v>
      </c>
      <c r="DU81" s="59">
        <f t="shared" si="98"/>
        <v>64.716270355703955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>
        <f>EXP(-LN(2)/35)*EA80+(1-EXP(-LN(2)/35))/(LN(2)/35)*DW81*DX81*VLOOKUP('Données projet'!$B$14,Paramètres!$A$1:$I$89,3,0)*0.475*44/12</f>
        <v>0</v>
      </c>
      <c r="EB81" s="21">
        <f>EXP(-LN(2)/25)*EB80+(1-EXP(-LN(2)/25))/(LN(2)/25)*Calculateur!DW81*Calculateur!DY81*VLOOKUP('Données projet'!$B$14,Paramètres!$A$1:$I$89,3,0)*0.475*44/12</f>
        <v>0</v>
      </c>
      <c r="EC81" s="21">
        <f>EXP(-LN(2)/2)*EC80+(1-EXP(-LN(2)/2))/(LN(2)/2)*DW81*DZ81*VLOOKUP('Données projet'!$B$14,Paramètres!$A$1:$I$89,3,0)*0.475*44/12</f>
        <v>0</v>
      </c>
      <c r="ED81" s="22">
        <f t="shared" si="72"/>
        <v>0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14.5</v>
      </c>
      <c r="EJ81" s="12">
        <f>IF('Données projet'!$A$192&gt;35,EJ80+EI81-ER80,IF(A81&lt;'Données projet'!$A$192,$EG$205^A81,IF(A81='Données projet'!$A$192,'Données projet'!$B$192,EJ80+EI81-ER80)))</f>
        <v>576.99999999999955</v>
      </c>
      <c r="EK81" s="17">
        <f>EJ81*VLOOKUP('Données projet'!$B$15,Paramètres!$A$1:$I$89,3,0)*VLOOKUP('Données projet'!$B$15,Paramètres!$A$1:$I$89,5,0)</f>
        <v>345.04599999999976</v>
      </c>
      <c r="EL81" s="13">
        <f t="shared" si="99"/>
        <v>80.541586407606928</v>
      </c>
      <c r="EM81" s="20">
        <f t="shared" si="73"/>
        <v>741.23171299324815</v>
      </c>
      <c r="EN81" s="59">
        <f t="shared" si="74"/>
        <v>1034.5650463265815</v>
      </c>
      <c r="EO81" s="59">
        <f ca="1">AVERAGE(OFFSET($EN$3,0,0,'Données projet'!$E$15+1,1))-AVERAGE(OFFSET($H$3,0,0,'Données projet'!$E$15+1,1))</f>
        <v>316.58509520829671</v>
      </c>
      <c r="EP81" s="59">
        <f t="shared" si="100"/>
        <v>240.71332110643596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>
        <f>EXP(-LN(2)/35)*EV80+(1-EXP(-LN(2)/35))/(LN(2)/35)*ER81*ES81*VLOOKUP('Données projet'!$B$15,Paramètres!$A$1:$I$89,3,0)*0.475*44/12</f>
        <v>0.97962366066125717</v>
      </c>
      <c r="EW81" s="21">
        <f>EXP(-LN(2)/25)*EW80+(1-EXP(-LN(2)/25))/(LN(2)/25)*Calculateur!ER81*Calculateur!ET81*VLOOKUP('Données projet'!$B$15,Paramètres!$A$1:$I$89,3,0)*0.475*44/12</f>
        <v>4.034618496409661</v>
      </c>
      <c r="EX81" s="21">
        <f>EXP(-LN(2)/2)*EX80+(1-EXP(-LN(2)/2))/(LN(2)/2)*ER81*EU81*VLOOKUP('Données projet'!$B$15,Paramètres!$A$1:$I$89,3,0)*0.475*44/12</f>
        <v>1.3076867503011744E-6</v>
      </c>
      <c r="EY81" s="22">
        <f t="shared" si="75"/>
        <v>5.0142434647576684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12.5</v>
      </c>
      <c r="FE81" s="12">
        <f>IF('Données projet'!$A$218&gt;35,FE80+FD81-FM80,IF(A81&lt;'Données projet'!$A$218,$FB$205^A81,IF(A81='Données projet'!$A$218,'Données projet'!$B$218,FE80+FD81-FM80)))</f>
        <v>512.00000000000023</v>
      </c>
      <c r="FF81" s="17">
        <f>FE81*VLOOKUP('Données projet'!$B$16,Paramètres!$A$1:$I$89,3,0)*VLOOKUP('Données projet'!$B$16,Paramètres!$A$1:$I$89,5,0)</f>
        <v>306.17600000000016</v>
      </c>
      <c r="FG81" s="13">
        <f t="shared" si="101"/>
        <v>72.469650785730451</v>
      </c>
      <c r="FH81" s="20">
        <f t="shared" si="76"/>
        <v>659.47450845181413</v>
      </c>
      <c r="FI81" s="59">
        <f t="shared" si="77"/>
        <v>952.8078417851475</v>
      </c>
      <c r="FJ81" s="59">
        <f ca="1">AVERAGE(OFFSET($FI$3,0,0,'Données projet'!$E$16+1,1))-AVERAGE(OFFSET($H$3,0,0,'Données projet'!$E$16+1,1))</f>
        <v>270.30888762640245</v>
      </c>
      <c r="FK81" s="59">
        <f t="shared" si="102"/>
        <v>202.23783851977691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>
        <f>EXP(-LN(2)/35)*FQ80+(1-EXP(-LN(2)/35))/(LN(2)/35)*FM81*FN81*VLOOKUP('Données projet'!$B$16,Paramètres!$A$1:$I$89,3,0)*0.475*44/12</f>
        <v>0.82785098084049902</v>
      </c>
      <c r="FR81" s="21">
        <f>EXP(-LN(2)/25)*FR80+(1-EXP(-LN(2)/25))/(LN(2)/25)*Calculateur!FM81*Calculateur!FO81*VLOOKUP('Données projet'!$B$16,Paramètres!$A$1:$I$89,3,0)*0.475*44/12</f>
        <v>3.2490642126290461</v>
      </c>
      <c r="FS81" s="21">
        <f>EXP(-LN(2)/2)*FS80+(1-EXP(-LN(2)/2))/(LN(2)/2)*FM81*FP81*VLOOKUP('Données projet'!$B$16,Paramètres!$A$1:$I$89,3,0)*0.475*44/12</f>
        <v>1.1022453657664409E-6</v>
      </c>
      <c r="FT81" s="22">
        <f t="shared" si="78"/>
        <v>4.076916295714911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3.9</v>
      </c>
      <c r="FZ81" s="12">
        <f>IF('Données projet'!$A$244&gt;35,FZ80+FY81-GH80,IF(A81&lt;'Données projet'!$A$244,$FW$205^A81,IF(A81='Données projet'!$A$244,'Données projet'!$B$244,FZ80+FY81-GH80)))</f>
        <v>334.19999999999953</v>
      </c>
      <c r="GA81" s="17">
        <f>FZ81*VLOOKUP('Données projet'!$B$17,Paramètres!$A$1:$I$89,3,0)*VLOOKUP('Données projet'!$B$17,Paramètres!$A$1:$I$89,5,0)</f>
        <v>265.88951999999961</v>
      </c>
      <c r="GB81" s="13">
        <f t="shared" si="103"/>
        <v>63.97614434366357</v>
      </c>
      <c r="GC81" s="20">
        <f t="shared" si="79"/>
        <v>574.51603206521338</v>
      </c>
      <c r="GD81" s="59">
        <f t="shared" si="80"/>
        <v>867.84936539854675</v>
      </c>
      <c r="GE81" s="59">
        <f ca="1">AVERAGE(OFFSET($GD$3,0,0,'Données projet'!$E$17+1,1))-AVERAGE(OFFSET($H$3,0,0,'Données projet'!$E$17+1,1))</f>
        <v>260.20517190557814</v>
      </c>
      <c r="GF81" s="59">
        <f t="shared" si="104"/>
        <v>307.22009971147133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>
        <f>EXP(-LN(2)/35)*GL80+(1-EXP(-LN(2)/35))/(LN(2)/35)*GH81*GI81*VLOOKUP('Données projet'!$B$17,Paramètres!$A$1:$I$89,3,0)*0.475*44/12</f>
        <v>1.261172979749041</v>
      </c>
      <c r="GM81" s="21">
        <f>EXP(-LN(2)/25)*GM80+(1-EXP(-LN(2)/25))/(LN(2)/25)*Calculateur!GH81*Calculateur!GJ81*VLOOKUP('Données projet'!$B$17,Paramètres!$A$1:$I$89,3,0)*0.475*44/12</f>
        <v>5.4223975663157216</v>
      </c>
      <c r="GN81" s="21">
        <f>EXP(-LN(2)/2)*GN80+(1-EXP(-LN(2)/2))/(LN(2)/2)*GH81*GK81*VLOOKUP('Données projet'!$B$17,Paramètres!$A$1:$I$89,3,0)*0.475*44/12</f>
        <v>1.4328380973790459E-6</v>
      </c>
      <c r="GO81" s="21">
        <f t="shared" si="81"/>
        <v>6.6835719789028598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3.1</v>
      </c>
      <c r="GU81" s="12">
        <f>IF('Données projet'!$A$270&gt;35,GU80+GT81-HC80,IF(A81&lt;'Données projet'!$A$270,$GR$205^A81,IF(A81='Données projet'!$A$270,'Données projet'!$B$270,GU80+GT81-HC80)))</f>
        <v>277.8</v>
      </c>
      <c r="GV81" s="17">
        <f>GU81*VLOOKUP('Données projet'!$B$18,Paramètres!$A$1:$I$89,3,0)*VLOOKUP('Données projet'!$B$18,Paramètres!$A$1:$I$89,5,0)</f>
        <v>221.01768000000001</v>
      </c>
      <c r="GW81" s="13">
        <f t="shared" si="105"/>
        <v>54.336013993957934</v>
      </c>
      <c r="GX81" s="20">
        <f t="shared" si="82"/>
        <v>479.5743503728101</v>
      </c>
      <c r="GY81" s="59">
        <f t="shared" si="83"/>
        <v>772.90768370614342</v>
      </c>
      <c r="GZ81" s="59">
        <f ca="1">AVERAGE(OFFSET($GY$3,0,0,'Données projet'!$E$18+1,1))-AVERAGE(OFFSET($H$3,0,0,'Données projet'!$E$18+1,1))</f>
        <v>199.58763537752952</v>
      </c>
      <c r="HA81" s="59">
        <f t="shared" si="106"/>
        <v>242.62852778451929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>
        <f>EXP(-LN(2)/35)*HG80+(1-EXP(-LN(2)/35))/(LN(2)/35)*HC81*HD81*VLOOKUP('Données projet'!$B$18,Paramètres!$A$1:$I$89,3,0)*0.475*44/12</f>
        <v>0</v>
      </c>
      <c r="HH81" s="21">
        <f>EXP(-LN(2)/25)*HH80+(1-EXP(-LN(2)/25))/(LN(2)/25)*Calculateur!HC81*Calculateur!HE81*VLOOKUP('Données projet'!$B$18,Paramètres!$A$1:$I$89,3,0)*0.475*44/12</f>
        <v>2.7173229097091167</v>
      </c>
      <c r="HI81" s="21">
        <f>EXP(-LN(2)/2)*HI80+(1-EXP(-LN(2)/2))/(LN(2)/2)*HC81*HF81*VLOOKUP('Données projet'!$B$18,Paramètres!$A$1:$I$89,3,0)*0.475*44/12</f>
        <v>6.4143886525751471E-7</v>
      </c>
      <c r="HJ81" s="22">
        <f t="shared" si="84"/>
        <v>2.7173235511479819</v>
      </c>
    </row>
    <row r="82" spans="1:218" x14ac:dyDescent="0.2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70.246800000000093</v>
      </c>
      <c r="D82" s="11">
        <f t="shared" si="86"/>
        <v>19.734734149853086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694.59429870062104</v>
      </c>
      <c r="H82" s="67">
        <f t="shared" si="56"/>
        <v>450.05117197766094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-2.2737367544323206E-13</v>
      </c>
      <c r="O82" s="13">
        <f>N82*VLOOKUP('Données projet'!$B$9,Paramètres!$A$1:$I$89,3,0)*VLOOKUP('Données projet'!$B$9,Paramètres!$A$1:$I$89,5,0)</f>
        <v>-1.2710188457276673E-13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255.5374979188561</v>
      </c>
      <c r="T82" s="59">
        <f t="shared" si="88"/>
        <v>343.10418468620901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1.1709065255790843</v>
      </c>
      <c r="AA82" s="21">
        <f>EXP(-LN(2)/25)*AA81+(1-EXP(-LN(2)/25))/(LN(2)/25)*Calculateur!V82*Calculateur!X82*VLOOKUP('Données projet'!$B$9,Paramètres!$A$1:$I$89,3,0)*0.475*44/12</f>
        <v>4.1022407722105694</v>
      </c>
      <c r="AB82" s="21">
        <f>EXP(-LN(2)/2)*AB81+(1-EXP(-LN(2)/2))/(LN(2)/2)*V82*Y82*VLOOKUP('Données projet'!$B$9,Paramètres!$A$1:$I$89,3,0)*0.475*44/12</f>
        <v>7.1339950774400288E-8</v>
      </c>
      <c r="AC82" s="22">
        <f t="shared" si="57"/>
        <v>5.2731473691296049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1.1368683772161603E-13</v>
      </c>
      <c r="AJ82" s="13">
        <f>AI82*VLOOKUP('Données projet'!$B$10,Paramètres!$A$1:$I$89,3,0)*VLOOKUP('Données projet'!$B$10,Paramètres!$A$1:$I$89,5,0)</f>
        <v>6.3550942286383367E-14</v>
      </c>
      <c r="AK82" s="13">
        <f t="shared" si="89"/>
        <v>1.0064464192543978E-12</v>
      </c>
      <c r="AL82" s="20">
        <f t="shared" si="58"/>
        <v>1.8635787380168604E-12</v>
      </c>
      <c r="AM82" s="59">
        <f t="shared" si="59"/>
        <v>293.33333333333519</v>
      </c>
      <c r="AN82" s="59">
        <f ca="1">AVERAGE(OFFSET($AM$3,0,0,'Données projet'!$E$10+1,1))-AVERAGE(OFFSET($H$3,0,0,'Données projet'!$E$10+1,1))</f>
        <v>224.7049802939942</v>
      </c>
      <c r="AO82" s="59">
        <f t="shared" si="90"/>
        <v>203.48513862195352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0.84545173724175537</v>
      </c>
      <c r="AV82" s="21">
        <f>EXP(-LN(2)/25)*AV81+(1-EXP(-LN(2)/25))/(LN(2)/25)*Calculateur!AQ82*Calculateur!AS82*VLOOKUP('Données projet'!$B$10,Paramètres!$A$1:$I$89,3,0)*0.475*44/12</f>
        <v>5.0183591800116041</v>
      </c>
      <c r="AW82" s="21">
        <f>EXP(-LN(2)/2)*AW81+(1-EXP(-LN(2)/2))/(LN(2)/2)*AQ82*AT82*VLOOKUP('Données projet'!$B$10,Paramètres!$A$1:$I$89,3,0)*0.475*44/12</f>
        <v>3.7766158144139578E-7</v>
      </c>
      <c r="AX82" s="21">
        <f t="shared" si="60"/>
        <v>5.8638112949149406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7.4</v>
      </c>
      <c r="BD82" s="12">
        <f>IF('Données projet'!$A$88&gt;35,BD81+BC82-BL81,IF(A82&lt;'Données projet'!$A$88,$BA$205^A82,IF(A82='Données projet'!$A$88,'Données projet'!$B$88,BD81+BC82-BL81)))</f>
        <v>425.6</v>
      </c>
      <c r="BE82" s="13">
        <f>BD82*VLOOKUP('Données projet'!$B$11,Paramètres!$A$1:$I$89,3,0)*VLOOKUP('Données projet'!$B$11,Paramètres!$A$1:$I$89,5,0)</f>
        <v>232.37760000000003</v>
      </c>
      <c r="BF82" s="13">
        <f t="shared" si="91"/>
        <v>56.7964661260323</v>
      </c>
      <c r="BG82" s="20">
        <f t="shared" si="61"/>
        <v>503.64483183617295</v>
      </c>
      <c r="BH82" s="59">
        <f t="shared" si="62"/>
        <v>796.97816516950627</v>
      </c>
      <c r="BI82" s="59">
        <f ca="1">AVERAGE(OFFSET($BH$3,0,0,'Données projet'!$E$11+1,1))-AVERAGE(OFFSET($H$3,0,0,'Données projet'!$E$11+1,1))</f>
        <v>210.04871822652808</v>
      </c>
      <c r="BJ82" s="59">
        <f t="shared" si="92"/>
        <v>250.17540614049324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2.7665564573375545</v>
      </c>
      <c r="BQ82" s="21">
        <f>EXP(-LN(2)/25)*BQ81+(1-EXP(-LN(2)/25))/(LN(2)/25)*Calculateur!BL82*Calculateur!BN82*VLOOKUP('Données projet'!$B$11,Paramètres!$A$1:$I$89,3,0)*0.475*44/12</f>
        <v>7.1532853603942659</v>
      </c>
      <c r="BR82" s="21">
        <f>EXP(-LN(2)/2)*BR81+(1-EXP(-LN(2)/2))/(LN(2)/2)*BL82*BO82*VLOOKUP('Données projet'!$B$11,Paramètres!$A$1:$I$89,3,0)*0.475*44/12</f>
        <v>9.0842848343382724E-7</v>
      </c>
      <c r="BS82" s="22">
        <f t="shared" si="63"/>
        <v>9.9198427261603026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6.1</v>
      </c>
      <c r="BY82" s="12">
        <f>IF('Données projet'!$A$114&gt;35,BY81+BX82-CG81,IF(A82&lt;'Données projet'!$A$114,$BV$205^A82,IF(A82='Données projet'!$A$114,'Données projet'!$B$114,BY81+BX82-CG81)))</f>
        <v>366.9000000000002</v>
      </c>
      <c r="BZ82" s="13">
        <f>BY82*VLOOKUP('Données projet'!$B$12,Paramètres!$A$1:$I$89,3,0)*VLOOKUP('Données projet'!$B$12,Paramètres!$A$1:$I$89,5,0)</f>
        <v>200.3274000000001</v>
      </c>
      <c r="CA82" s="13">
        <f t="shared" si="93"/>
        <v>49.816113484973513</v>
      </c>
      <c r="CB82" s="20">
        <f t="shared" si="64"/>
        <v>435.66661931966229</v>
      </c>
      <c r="CC82" s="59">
        <f t="shared" si="65"/>
        <v>728.9999526529956</v>
      </c>
      <c r="CD82" s="59">
        <f ca="1">AVERAGE(OFFSET($CC$3,0,0,'Données projet'!$E$12+1,1))-AVERAGE(OFFSET($H$3,0,0,'Données projet'!$E$12+1,1))</f>
        <v>168.72306536277267</v>
      </c>
      <c r="CE82" s="59">
        <f t="shared" si="94"/>
        <v>203.35476578922339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1.1527318572239811</v>
      </c>
      <c r="CL82" s="21">
        <f>EXP(-LN(2)/25)*CL81+(1-EXP(-LN(2)/25))/(LN(2)/25)*Calculateur!CG82*Calculateur!CI82*VLOOKUP('Données projet'!$B$12,Paramètres!$A$1:$I$89,3,0)*0.475*44/12</f>
        <v>5.9078046144572749</v>
      </c>
      <c r="CM82" s="21">
        <f>EXP(-LN(2)/2)*CM81+(1-EXP(-LN(2)/2))/(LN(2)/2)*CG82*CJ82*VLOOKUP('Données projet'!$B$12,Paramètres!$A$1:$I$89,3,0)*0.475*44/12</f>
        <v>8.4394203018657349E-7</v>
      </c>
      <c r="CN82" s="22">
        <f t="shared" si="66"/>
        <v>7.0605373156232858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16.923076923076923</v>
      </c>
      <c r="CT82" s="12">
        <f>IF('Données projet'!$A$140&gt;35,CT81+CS82-DB81,IF(A82&lt;'Données projet'!$A$140,$CQ$205^A82,IF(A82='Données projet'!$A$140,'Données projet'!$B$140,CT81+CS82-DB81)))</f>
        <v>536.92307692307679</v>
      </c>
      <c r="CU82" s="17">
        <f>CT82*VLOOKUP('Données projet'!$B$13,Paramètres!$A$1:$I$89,3,0)*VLOOKUP('Données projet'!$B$13,Paramètres!$A$1:$I$89,5,0)</f>
        <v>258.25999999999993</v>
      </c>
      <c r="CV82" s="13">
        <f t="shared" si="95"/>
        <v>62.351335448308426</v>
      </c>
      <c r="CW82" s="20">
        <f t="shared" si="67"/>
        <v>558.39807590580369</v>
      </c>
      <c r="CX82" s="59">
        <f t="shared" si="68"/>
        <v>851.73140923913707</v>
      </c>
      <c r="CY82" s="59">
        <f ca="1">AVERAGE(OFFSET($CX$3,0,0,'Données projet'!$E$13+1,1))-AVERAGE(OFFSET($H$3,0,0,'Données projet'!$E$13+1,1))</f>
        <v>304.15237106473313</v>
      </c>
      <c r="CZ82" s="59">
        <f t="shared" si="96"/>
        <v>120.85458928724336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>
        <f>EXP(-LN(2)/35)*DF81+(1-EXP(-LN(2)/35))/(LN(2)/35)*DB82*DC82*VLOOKUP('Données projet'!$B$13,Paramètres!$A$1:$I$89,3,0)*0.475*44/12</f>
        <v>0</v>
      </c>
      <c r="DG82" s="21">
        <f>EXP(-LN(2)/25)*DG81+(1-EXP(-LN(2)/25))/(LN(2)/25)*Calculateur!DB82*Calculateur!DD82*VLOOKUP('Données projet'!$B$13,Paramètres!$A$1:$I$89,3,0)*0.475*44/12</f>
        <v>0</v>
      </c>
      <c r="DH82" s="21">
        <f>EXP(-LN(2)/2)*DH81+(1-EXP(-LN(2)/2))/(LN(2)/2)*DB82*DE82*VLOOKUP('Données projet'!$B$13,Paramètres!$A$1:$I$89,3,0)*0.475*44/12</f>
        <v>0</v>
      </c>
      <c r="DI82" s="22">
        <f t="shared" si="69"/>
        <v>0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8.6923076923076898</v>
      </c>
      <c r="DO82" s="12">
        <f>IF('Données projet'!$A$166&gt;35,DO81+DN82-DW81,IF(A82&lt;'Données projet'!$A$166,$DL$205^A82,IF(A82='Données projet'!$A$166,'Données projet'!$B$166,DO81+DN82-DW81)))</f>
        <v>268.99999999999977</v>
      </c>
      <c r="DP82" s="17">
        <f>DO82*VLOOKUP('Données projet'!$B$14,Paramètres!$A$1:$I$89,3,0)*VLOOKUP('Données projet'!$B$14,Paramètres!$A$1:$I$89,5,0)</f>
        <v>129.3889999999999</v>
      </c>
      <c r="DQ82" s="13">
        <f t="shared" si="97"/>
        <v>33.855136484520912</v>
      </c>
      <c r="DR82" s="20">
        <f t="shared" si="70"/>
        <v>284.31687104387373</v>
      </c>
      <c r="DS82" s="59">
        <f t="shared" si="71"/>
        <v>577.65020437720705</v>
      </c>
      <c r="DT82" s="59">
        <f ca="1">AVERAGE(OFFSET($DS$3,0,0,'Données projet'!$E$14+1,1))-AVERAGE(OFFSET($H$3,0,0,'Données projet'!$E$14+1,1))</f>
        <v>91.053246648097399</v>
      </c>
      <c r="DU82" s="59">
        <f t="shared" si="98"/>
        <v>64.716270355703955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>
        <f>EXP(-LN(2)/35)*EA81+(1-EXP(-LN(2)/35))/(LN(2)/35)*DW82*DX82*VLOOKUP('Données projet'!$B$14,Paramètres!$A$1:$I$89,3,0)*0.475*44/12</f>
        <v>0</v>
      </c>
      <c r="EB82" s="21">
        <f>EXP(-LN(2)/25)*EB81+(1-EXP(-LN(2)/25))/(LN(2)/25)*Calculateur!DW82*Calculateur!DY82*VLOOKUP('Données projet'!$B$14,Paramètres!$A$1:$I$89,3,0)*0.475*44/12</f>
        <v>0</v>
      </c>
      <c r="EC82" s="21">
        <f>EXP(-LN(2)/2)*EC81+(1-EXP(-LN(2)/2))/(LN(2)/2)*DW82*DZ82*VLOOKUP('Données projet'!$B$14,Paramètres!$A$1:$I$89,3,0)*0.475*44/12</f>
        <v>0</v>
      </c>
      <c r="ED82" s="22">
        <f t="shared" si="72"/>
        <v>0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14.5</v>
      </c>
      <c r="EJ82" s="12">
        <f>IF('Données projet'!$A$192&gt;35,EJ81+EI82-ER81,IF(A82&lt;'Données projet'!$A$192,$EG$205^A82,IF(A82='Données projet'!$A$192,'Données projet'!$B$192,EJ81+EI82-ER81)))</f>
        <v>591.49999999999955</v>
      </c>
      <c r="EK82" s="17">
        <f>EJ82*VLOOKUP('Données projet'!$B$15,Paramètres!$A$1:$I$89,3,0)*VLOOKUP('Données projet'!$B$15,Paramètres!$A$1:$I$89,5,0)</f>
        <v>353.71699999999976</v>
      </c>
      <c r="EL82" s="13">
        <f t="shared" si="99"/>
        <v>82.327408937870302</v>
      </c>
      <c r="EM82" s="20">
        <f t="shared" si="73"/>
        <v>759.4440122334571</v>
      </c>
      <c r="EN82" s="59">
        <f t="shared" si="74"/>
        <v>1052.7773455667905</v>
      </c>
      <c r="EO82" s="59">
        <f ca="1">AVERAGE(OFFSET($EN$3,0,0,'Données projet'!$E$15+1,1))-AVERAGE(OFFSET($H$3,0,0,'Données projet'!$E$15+1,1))</f>
        <v>316.58509520829671</v>
      </c>
      <c r="EP82" s="59">
        <f t="shared" si="100"/>
        <v>240.71332110643596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>
        <f>EXP(-LN(2)/35)*EV81+(1-EXP(-LN(2)/35))/(LN(2)/35)*ER82*ES82*VLOOKUP('Données projet'!$B$15,Paramètres!$A$1:$I$89,3,0)*0.475*44/12</f>
        <v>0.96041383818712356</v>
      </c>
      <c r="EW82" s="21">
        <f>EXP(-LN(2)/25)*EW81+(1-EXP(-LN(2)/25))/(LN(2)/25)*Calculateur!ER82*Calculateur!ET82*VLOOKUP('Données projet'!$B$15,Paramètres!$A$1:$I$89,3,0)*0.475*44/12</f>
        <v>3.9242916414539732</v>
      </c>
      <c r="EX82" s="21">
        <f>EXP(-LN(2)/2)*EX81+(1-EXP(-LN(2)/2))/(LN(2)/2)*ER82*EU82*VLOOKUP('Données projet'!$B$15,Paramètres!$A$1:$I$89,3,0)*0.475*44/12</f>
        <v>9.2467416880576001E-7</v>
      </c>
      <c r="EY82" s="22">
        <f t="shared" si="75"/>
        <v>4.8847064043152661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12.5</v>
      </c>
      <c r="FE82" s="12">
        <f>IF('Données projet'!$A$218&gt;35,FE81+FD82-FM81,IF(A82&lt;'Données projet'!$A$218,$FB$205^A82,IF(A82='Données projet'!$A$218,'Données projet'!$B$218,FE81+FD82-FM81)))</f>
        <v>524.50000000000023</v>
      </c>
      <c r="FF82" s="17">
        <f>FE82*VLOOKUP('Données projet'!$B$16,Paramètres!$A$1:$I$89,3,0)*VLOOKUP('Données projet'!$B$16,Paramètres!$A$1:$I$89,5,0)</f>
        <v>313.65100000000018</v>
      </c>
      <c r="FG82" s="13">
        <f t="shared" si="101"/>
        <v>74.030783927316818</v>
      </c>
      <c r="FH82" s="20">
        <f t="shared" si="76"/>
        <v>675.21244034007702</v>
      </c>
      <c r="FI82" s="59">
        <f t="shared" si="77"/>
        <v>968.54577367341039</v>
      </c>
      <c r="FJ82" s="59">
        <f ca="1">AVERAGE(OFFSET($FI$3,0,0,'Données projet'!$E$16+1,1))-AVERAGE(OFFSET($H$3,0,0,'Données projet'!$E$16+1,1))</f>
        <v>270.30888762640245</v>
      </c>
      <c r="FK82" s="59">
        <f t="shared" si="102"/>
        <v>202.23783851977691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>
        <f>EXP(-LN(2)/35)*FQ81+(1-EXP(-LN(2)/35))/(LN(2)/35)*FM82*FN82*VLOOKUP('Données projet'!$B$16,Paramètres!$A$1:$I$89,3,0)*0.475*44/12</f>
        <v>0.8116173280454565</v>
      </c>
      <c r="FR82" s="21">
        <f>EXP(-LN(2)/25)*FR81+(1-EXP(-LN(2)/25))/(LN(2)/25)*Calculateur!FM82*Calculateur!FO82*VLOOKUP('Données projet'!$B$16,Paramètres!$A$1:$I$89,3,0)*0.475*44/12</f>
        <v>3.1602183808738435</v>
      </c>
      <c r="FS82" s="21">
        <f>EXP(-LN(2)/2)*FS81+(1-EXP(-LN(2)/2))/(LN(2)/2)*FM82*FP82*VLOOKUP('Données projet'!$B$16,Paramètres!$A$1:$I$89,3,0)*0.475*44/12</f>
        <v>7.7940517266489675E-7</v>
      </c>
      <c r="FT82" s="22">
        <f t="shared" si="78"/>
        <v>3.971836488324473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3.9</v>
      </c>
      <c r="FZ82" s="12">
        <f>IF('Données projet'!$A$244&gt;35,FZ81+FY82-GH81,IF(A82&lt;'Données projet'!$A$244,$FW$205^A82,IF(A82='Données projet'!$A$244,'Données projet'!$B$244,FZ81+FY82-GH81)))</f>
        <v>338.09999999999951</v>
      </c>
      <c r="GA82" s="17">
        <f>FZ82*VLOOKUP('Données projet'!$B$17,Paramètres!$A$1:$I$89,3,0)*VLOOKUP('Données projet'!$B$17,Paramètres!$A$1:$I$89,5,0)</f>
        <v>268.99235999999962</v>
      </c>
      <c r="GB82" s="13">
        <f t="shared" si="103"/>
        <v>64.63537613607356</v>
      </c>
      <c r="GC82" s="20">
        <f t="shared" si="79"/>
        <v>581.06830710366069</v>
      </c>
      <c r="GD82" s="59">
        <f t="shared" si="80"/>
        <v>874.40164043699406</v>
      </c>
      <c r="GE82" s="59">
        <f ca="1">AVERAGE(OFFSET($GD$3,0,0,'Données projet'!$E$17+1,1))-AVERAGE(OFFSET($H$3,0,0,'Données projet'!$E$17+1,1))</f>
        <v>260.20517190557814</v>
      </c>
      <c r="GF82" s="59">
        <f t="shared" si="104"/>
        <v>307.22009971147133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>
        <f>EXP(-LN(2)/35)*GL81+(1-EXP(-LN(2)/35))/(LN(2)/35)*GH82*GI82*VLOOKUP('Données projet'!$B$17,Paramètres!$A$1:$I$89,3,0)*0.475*44/12</f>
        <v>1.2364421468557238</v>
      </c>
      <c r="GM82" s="21">
        <f>EXP(-LN(2)/25)*GM81+(1-EXP(-LN(2)/25))/(LN(2)/25)*Calculateur!GH82*Calculateur!GJ82*VLOOKUP('Données projet'!$B$17,Paramètres!$A$1:$I$89,3,0)*0.475*44/12</f>
        <v>5.2741218197133231</v>
      </c>
      <c r="GN82" s="21">
        <f>EXP(-LN(2)/2)*GN81+(1-EXP(-LN(2)/2))/(LN(2)/2)*GH82*GK82*VLOOKUP('Données projet'!$B$17,Paramètres!$A$1:$I$89,3,0)*0.475*44/12</f>
        <v>1.013169534999154E-6</v>
      </c>
      <c r="GO82" s="21">
        <f t="shared" si="81"/>
        <v>6.5105649797385814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3.1</v>
      </c>
      <c r="GU82" s="12">
        <f>IF('Données projet'!$A$270&gt;35,GU81+GT82-HC81,IF(A82&lt;'Données projet'!$A$270,$GR$205^A82,IF(A82='Données projet'!$A$270,'Données projet'!$B$270,GU81+GT82-HC81)))</f>
        <v>280.90000000000003</v>
      </c>
      <c r="GV82" s="17">
        <f>GU82*VLOOKUP('Données projet'!$B$18,Paramètres!$A$1:$I$89,3,0)*VLOOKUP('Données projet'!$B$18,Paramètres!$A$1:$I$89,5,0)</f>
        <v>223.48404000000002</v>
      </c>
      <c r="GW82" s="13">
        <f t="shared" si="105"/>
        <v>54.871430742470253</v>
      </c>
      <c r="GX82" s="20">
        <f t="shared" si="82"/>
        <v>484.80244487646905</v>
      </c>
      <c r="GY82" s="59">
        <f t="shared" si="83"/>
        <v>778.13577820980231</v>
      </c>
      <c r="GZ82" s="59">
        <f ca="1">AVERAGE(OFFSET($GY$3,0,0,'Données projet'!$E$18+1,1))-AVERAGE(OFFSET($H$3,0,0,'Données projet'!$E$18+1,1))</f>
        <v>199.58763537752952</v>
      </c>
      <c r="HA82" s="59">
        <f t="shared" si="106"/>
        <v>242.62852778451929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>
        <f>EXP(-LN(2)/35)*HG81+(1-EXP(-LN(2)/35))/(LN(2)/35)*HC82*HD82*VLOOKUP('Données projet'!$B$18,Paramètres!$A$1:$I$89,3,0)*0.475*44/12</f>
        <v>0</v>
      </c>
      <c r="HH82" s="21">
        <f>EXP(-LN(2)/25)*HH81+(1-EXP(-LN(2)/25))/(LN(2)/25)*Calculateur!HC82*Calculateur!HE82*VLOOKUP('Données projet'!$B$18,Paramètres!$A$1:$I$89,3,0)*0.475*44/12</f>
        <v>2.6430175718453195</v>
      </c>
      <c r="HI82" s="21">
        <f>EXP(-LN(2)/2)*HI81+(1-EXP(-LN(2)/2))/(LN(2)/2)*HC82*HF82*VLOOKUP('Données projet'!$B$18,Paramètres!$A$1:$I$89,3,0)*0.475*44/12</f>
        <v>4.535657713401928E-7</v>
      </c>
      <c r="HJ82" s="22">
        <f t="shared" si="84"/>
        <v>2.6430180254110907</v>
      </c>
    </row>
    <row r="83" spans="1:218" x14ac:dyDescent="0.2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71.136000000000095</v>
      </c>
      <c r="D83" s="11">
        <f t="shared" si="86"/>
        <v>19.955301551927505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703.16092426049374</v>
      </c>
      <c r="H83" s="67">
        <f t="shared" si="56"/>
        <v>451.98401686960722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-2.2737367544323206E-13</v>
      </c>
      <c r="O83" s="13">
        <f>N83*VLOOKUP('Données projet'!$B$9,Paramètres!$A$1:$I$89,3,0)*VLOOKUP('Données projet'!$B$9,Paramètres!$A$1:$I$89,5,0)</f>
        <v>-1.2710188457276673E-13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255.5374979188561</v>
      </c>
      <c r="T83" s="59">
        <f t="shared" si="88"/>
        <v>343.10418468620901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1.1479457627949394</v>
      </c>
      <c r="AA83" s="21">
        <f>EXP(-LN(2)/25)*AA82+(1-EXP(-LN(2)/25))/(LN(2)/25)*Calculateur!V83*Calculateur!X83*VLOOKUP('Données projet'!$B$9,Paramètres!$A$1:$I$89,3,0)*0.475*44/12</f>
        <v>3.9900647825670048</v>
      </c>
      <c r="AB83" s="21">
        <f>EXP(-LN(2)/2)*AB82+(1-EXP(-LN(2)/2))/(LN(2)/2)*V83*Y83*VLOOKUP('Données projet'!$B$9,Paramètres!$A$1:$I$89,3,0)*0.475*44/12</f>
        <v>5.0444962962092937E-8</v>
      </c>
      <c r="AC83" s="22">
        <f t="shared" si="57"/>
        <v>5.1380105958069073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1.1368683772161603E-13</v>
      </c>
      <c r="AJ83" s="13">
        <f>AI83*VLOOKUP('Données projet'!$B$10,Paramètres!$A$1:$I$89,3,0)*VLOOKUP('Données projet'!$B$10,Paramètres!$A$1:$I$89,5,0)</f>
        <v>6.3550942286383367E-14</v>
      </c>
      <c r="AK83" s="13">
        <f t="shared" si="89"/>
        <v>1.0064464192543978E-12</v>
      </c>
      <c r="AL83" s="20">
        <f t="shared" si="58"/>
        <v>1.8635787380168604E-12</v>
      </c>
      <c r="AM83" s="59">
        <f t="shared" si="59"/>
        <v>293.33333333333519</v>
      </c>
      <c r="AN83" s="59">
        <f ca="1">AVERAGE(OFFSET($AM$3,0,0,'Données projet'!$E$10+1,1))-AVERAGE(OFFSET($H$3,0,0,'Données projet'!$E$10+1,1))</f>
        <v>224.7049802939942</v>
      </c>
      <c r="AO83" s="59">
        <f t="shared" si="90"/>
        <v>203.48513862195352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0.82887294434908565</v>
      </c>
      <c r="AV83" s="21">
        <f>EXP(-LN(2)/25)*AV82+(1-EXP(-LN(2)/25))/(LN(2)/25)*Calculateur!AQ83*Calculateur!AS83*VLOOKUP('Données projet'!$B$10,Paramètres!$A$1:$I$89,3,0)*0.475*44/12</f>
        <v>4.8811318843301468</v>
      </c>
      <c r="AW83" s="21">
        <f>EXP(-LN(2)/2)*AW82+(1-EXP(-LN(2)/2))/(LN(2)/2)*AQ83*AT83*VLOOKUP('Données projet'!$B$10,Paramètres!$A$1:$I$89,3,0)*0.475*44/12</f>
        <v>2.6704706523084654E-7</v>
      </c>
      <c r="AX83" s="21">
        <f t="shared" si="60"/>
        <v>5.7100050957262978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>
        <f>VLOOKUP(A83,'Données projet'!$A$87:$I$107,2,0)</f>
        <v>433</v>
      </c>
      <c r="BB83" s="12">
        <f>VLOOKUP(A83,'Données projet'!$A$87:$I$107,9,0)</f>
        <v>7.4</v>
      </c>
      <c r="BC83" s="12">
        <f t="array" ref="BC83">INDEX(BB:BB,MIN(IF(ISNUMBER(BB83:BB279),ROW(BB83:BB279),"")))</f>
        <v>7.4</v>
      </c>
      <c r="BD83" s="12">
        <f>IF('Données projet'!$A$88&gt;35,BD82+BC83-BL82,IF(A83&lt;'Données projet'!$A$88,$BA$205^A83,IF(A83='Données projet'!$A$88,'Données projet'!$B$88,BD82+BC83-BL82)))</f>
        <v>433</v>
      </c>
      <c r="BE83" s="13">
        <f>BD83*VLOOKUP('Données projet'!$B$11,Paramètres!$A$1:$I$89,3,0)*VLOOKUP('Données projet'!$B$11,Paramètres!$A$1:$I$89,5,0)</f>
        <v>236.41799999999998</v>
      </c>
      <c r="BF83" s="13">
        <f t="shared" si="91"/>
        <v>57.668172541352746</v>
      </c>
      <c r="BG83" s="20">
        <f t="shared" si="61"/>
        <v>512.20008384285597</v>
      </c>
      <c r="BH83" s="59">
        <f t="shared" si="62"/>
        <v>805.53341717618923</v>
      </c>
      <c r="BI83" s="59">
        <f ca="1">AVERAGE(OFFSET($BH$3,0,0,'Données projet'!$E$11+1,1))-AVERAGE(OFFSET($H$3,0,0,'Données projet'!$E$11+1,1))</f>
        <v>210.04871822652808</v>
      </c>
      <c r="BJ83" s="59">
        <f t="shared" si="92"/>
        <v>250.17540614049324</v>
      </c>
      <c r="BK83" s="15">
        <f>IF(ISNA(VLOOKUP(A83,'Données projet'!$A$87:$I$107,3,0)),0,VLOOKUP(A83,'Données projet'!$A$87:$I$107,3,0))</f>
        <v>7</v>
      </c>
      <c r="BL83" s="21">
        <f>IF(ISNA(VLOOKUP(A83,'Données projet'!$A$87:$I$107,4,0)),0,VLOOKUP(A83,'Données projet'!$A$87:$I$107,4,0))</f>
        <v>433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2.712305972641984</v>
      </c>
      <c r="BQ83" s="21">
        <f>EXP(-LN(2)/25)*BQ82+(1-EXP(-LN(2)/25))/(LN(2)/25)*Calculateur!BL83*Calculateur!BN83*VLOOKUP('Données projet'!$B$11,Paramètres!$A$1:$I$89,3,0)*0.475*44/12</f>
        <v>6.9576783960393564</v>
      </c>
      <c r="BR83" s="21">
        <f>EXP(-LN(2)/2)*BR82+(1-EXP(-LN(2)/2))/(LN(2)/2)*BL83*BO83*VLOOKUP('Données projet'!$B$11,Paramètres!$A$1:$I$89,3,0)*0.475*44/12</f>
        <v>6.4235594085907048E-7</v>
      </c>
      <c r="BS83" s="22">
        <f t="shared" si="63"/>
        <v>9.6699850110372818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>
        <f>VLOOKUP(A83,'Données projet'!$A$113:$I$133,2,0)</f>
        <v>373</v>
      </c>
      <c r="BW83" s="12">
        <f>VLOOKUP(A83,'Données projet'!$A$113:$I$133,9,0)</f>
        <v>6.1</v>
      </c>
      <c r="BX83" s="12">
        <f t="array" ref="BX83">INDEX(BW:BW,MIN(IF(ISNUMBER(BW83:BW279),ROW(BW83:BW279),"")))</f>
        <v>6.1</v>
      </c>
      <c r="BY83" s="12">
        <f>IF('Données projet'!$A$114&gt;35,BY82+BX83-CG82,IF(A83&lt;'Données projet'!$A$114,$BV$205^A83,IF(A83='Données projet'!$A$114,'Données projet'!$B$114,BY82+BX83-CG82)))</f>
        <v>373.00000000000023</v>
      </c>
      <c r="BZ83" s="13">
        <f>BY83*VLOOKUP('Données projet'!$B$12,Paramètres!$A$1:$I$89,3,0)*VLOOKUP('Données projet'!$B$12,Paramètres!$A$1:$I$89,5,0)</f>
        <v>203.6580000000001</v>
      </c>
      <c r="CA83" s="13">
        <f t="shared" si="93"/>
        <v>50.547235424843521</v>
      </c>
      <c r="CB83" s="20">
        <f t="shared" si="64"/>
        <v>442.74078503160263</v>
      </c>
      <c r="CC83" s="59">
        <f t="shared" si="65"/>
        <v>736.07411836493588</v>
      </c>
      <c r="CD83" s="59">
        <f ca="1">AVERAGE(OFFSET($CC$3,0,0,'Données projet'!$E$12+1,1))-AVERAGE(OFFSET($H$3,0,0,'Données projet'!$E$12+1,1))</f>
        <v>168.72306536277267</v>
      </c>
      <c r="CE83" s="59">
        <f t="shared" si="94"/>
        <v>203.35476578922339</v>
      </c>
      <c r="CF83" s="15">
        <f>IF(ISNA(VLOOKUP(A83,'Données projet'!$A$113:$I$133,3,0)),0,VLOOKUP(A83,'Données projet'!$A$113:$I$133,3,0))</f>
        <v>7</v>
      </c>
      <c r="CG83" s="15">
        <f>IF(ISNA(VLOOKUP(A83,'Données projet'!$A$113:$I$133,4,0)),0,VLOOKUP(A83,'Données projet'!$A$113:$I$133,4,0))</f>
        <v>373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1.1301274886008266</v>
      </c>
      <c r="CL83" s="21">
        <f>EXP(-LN(2)/25)*CL82+(1-EXP(-LN(2)/25))/(LN(2)/25)*Calculateur!CG83*Calculateur!CI83*VLOOKUP('Données projet'!$B$12,Paramètres!$A$1:$I$89,3,0)*0.475*44/12</f>
        <v>5.7462553865969985</v>
      </c>
      <c r="CM83" s="21">
        <f>EXP(-LN(2)/2)*CM82+(1-EXP(-LN(2)/2))/(LN(2)/2)*CG83*CJ83*VLOOKUP('Données projet'!$B$12,Paramètres!$A$1:$I$89,3,0)*0.475*44/12</f>
        <v>5.967571324732681E-7</v>
      </c>
      <c r="CN83" s="22">
        <f t="shared" si="66"/>
        <v>6.8763834719549575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>
        <f>VLOOKUP(A83,'Données projet'!$A$139:$I$159,2,0)</f>
        <v>553.84615384615381</v>
      </c>
      <c r="CR83" s="12">
        <f>VLOOKUP(A83,'Données projet'!$A$139:$I$159,9,0)</f>
        <v>16.923076923076923</v>
      </c>
      <c r="CS83" s="12">
        <f t="array" ref="CS83">INDEX(CR:CR,MIN(IF(ISNUMBER(CR83:CR279),ROW(CR83:CR279),"")))</f>
        <v>16.923076923076923</v>
      </c>
      <c r="CT83" s="12">
        <f>IF('Données projet'!$A$140&gt;35,CT82+CS83-DB82,IF(A83&lt;'Données projet'!$A$140,$CQ$205^A83,IF(A83='Données projet'!$A$140,'Données projet'!$B$140,CT82+CS83-DB82)))</f>
        <v>553.8461538461537</v>
      </c>
      <c r="CU83" s="17">
        <f>CT83*VLOOKUP('Données projet'!$B$13,Paramètres!$A$1:$I$89,3,0)*VLOOKUP('Données projet'!$B$13,Paramètres!$A$1:$I$89,5,0)</f>
        <v>266.39999999999998</v>
      </c>
      <c r="CV83" s="13">
        <f t="shared" si="95"/>
        <v>64.084662594881863</v>
      </c>
      <c r="CW83" s="20">
        <f t="shared" si="67"/>
        <v>575.59412068608583</v>
      </c>
      <c r="CX83" s="59">
        <f t="shared" si="68"/>
        <v>868.9274540194192</v>
      </c>
      <c r="CY83" s="59">
        <f ca="1">AVERAGE(OFFSET($CX$3,0,0,'Données projet'!$E$13+1,1))-AVERAGE(OFFSET($H$3,0,0,'Données projet'!$E$13+1,1))</f>
        <v>304.15237106473313</v>
      </c>
      <c r="CZ83" s="59">
        <f t="shared" si="96"/>
        <v>120.85458928724336</v>
      </c>
      <c r="DA83" s="15">
        <f>IF(ISNA(VLOOKUP(A83,'Données projet'!$A$139:$I$159,3,0)),0,VLOOKUP(A83,'Données projet'!$A$139:$I$159,3,0))</f>
        <v>5</v>
      </c>
      <c r="DB83" s="15">
        <f>IF(ISNA(VLOOKUP(A83,'Données projet'!$A$139:$I$159,4,0)),0,VLOOKUP(A83,'Données projet'!$A$139:$I$159,4,0))</f>
        <v>34.615384615384613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>
        <f>EXP(-LN(2)/35)*DF82+(1-EXP(-LN(2)/35))/(LN(2)/35)*DB83*DC83*VLOOKUP('Données projet'!$B$13,Paramètres!$A$1:$I$89,3,0)*0.475*44/12</f>
        <v>0</v>
      </c>
      <c r="DG83" s="21">
        <f>EXP(-LN(2)/25)*DG82+(1-EXP(-LN(2)/25))/(LN(2)/25)*Calculateur!DB83*Calculateur!DD83*VLOOKUP('Données projet'!$B$13,Paramètres!$A$1:$I$89,3,0)*0.475*44/12</f>
        <v>0</v>
      </c>
      <c r="DH83" s="21">
        <f>EXP(-LN(2)/2)*DH82+(1-EXP(-LN(2)/2))/(LN(2)/2)*DB83*DE83*VLOOKUP('Données projet'!$B$13,Paramètres!$A$1:$I$89,3,0)*0.475*44/12</f>
        <v>0</v>
      </c>
      <c r="DI83" s="22">
        <f t="shared" si="69"/>
        <v>0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>
        <f>VLOOKUP(A83,'Données projet'!$A$165:$I$185,2,0)</f>
        <v>277.69230769230768</v>
      </c>
      <c r="DM83" s="12">
        <f>VLOOKUP(A83,'Données projet'!$A$165:$I$185,9,0)</f>
        <v>8.6923076923076898</v>
      </c>
      <c r="DN83" s="12">
        <f t="array" ref="DN83">INDEX(DM:DM,MIN(IF(ISNUMBER(DM83:DM279),ROW(DM83:DM279),"")))</f>
        <v>8.6923076923076898</v>
      </c>
      <c r="DO83" s="12">
        <f>IF('Données projet'!$A$166&gt;35,DO82+DN83-DW82,IF(A83&lt;'Données projet'!$A$166,$DL$205^A83,IF(A83='Données projet'!$A$166,'Données projet'!$B$166,DO82+DN83-DW82)))</f>
        <v>277.69230769230745</v>
      </c>
      <c r="DP83" s="17">
        <f>DO83*VLOOKUP('Données projet'!$B$14,Paramètres!$A$1:$I$89,3,0)*VLOOKUP('Données projet'!$B$14,Paramètres!$A$1:$I$89,5,0)</f>
        <v>133.56999999999988</v>
      </c>
      <c r="DQ83" s="13">
        <f t="shared" si="97"/>
        <v>34.819976354311834</v>
      </c>
      <c r="DR83" s="20">
        <f t="shared" si="70"/>
        <v>293.27920881709287</v>
      </c>
      <c r="DS83" s="59">
        <f t="shared" si="71"/>
        <v>586.61254215042618</v>
      </c>
      <c r="DT83" s="59">
        <f ca="1">AVERAGE(OFFSET($DS$3,0,0,'Données projet'!$E$14+1,1))-AVERAGE(OFFSET($H$3,0,0,'Données projet'!$E$14+1,1))</f>
        <v>91.053246648097399</v>
      </c>
      <c r="DU83" s="59">
        <f t="shared" si="98"/>
        <v>64.716270355703955</v>
      </c>
      <c r="DV83" s="15">
        <f>IF(ISNA(VLOOKUP(A83,'Données projet'!$A$165:$I$185,3,0)),0,VLOOKUP(A83,'Données projet'!$A$165:$I$185,3,0))</f>
        <v>5</v>
      </c>
      <c r="DW83" s="15">
        <f>IF(ISNA(VLOOKUP(A83,'Données projet'!$A$165:$I$185,4,0)),0,VLOOKUP(A83,'Données projet'!$A$165:$I$185,4,0))</f>
        <v>44.615384615384613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>
        <f>EXP(-LN(2)/35)*EA82+(1-EXP(-LN(2)/35))/(LN(2)/35)*DW83*DX83*VLOOKUP('Données projet'!$B$14,Paramètres!$A$1:$I$89,3,0)*0.475*44/12</f>
        <v>0</v>
      </c>
      <c r="EB83" s="21">
        <f>EXP(-LN(2)/25)*EB82+(1-EXP(-LN(2)/25))/(LN(2)/25)*Calculateur!DW83*Calculateur!DY83*VLOOKUP('Données projet'!$B$14,Paramètres!$A$1:$I$89,3,0)*0.475*44/12</f>
        <v>0</v>
      </c>
      <c r="EC83" s="21">
        <f>EXP(-LN(2)/2)*EC82+(1-EXP(-LN(2)/2))/(LN(2)/2)*DW83*DZ83*VLOOKUP('Données projet'!$B$14,Paramètres!$A$1:$I$89,3,0)*0.475*44/12</f>
        <v>0</v>
      </c>
      <c r="ED83" s="22">
        <f t="shared" si="72"/>
        <v>0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>
        <f>VLOOKUP(A83,'Données projet'!$A$191:$I$211,2,0)</f>
        <v>606</v>
      </c>
      <c r="EH83" s="12">
        <f>VLOOKUP(A83,'Données projet'!$A$191:$I$211,9,0)</f>
        <v>14.5</v>
      </c>
      <c r="EI83" s="12">
        <f t="array" ref="EI83">INDEX(EH:EH,MIN(IF(ISNUMBER(EH83:EH279),ROW(EH83:EH279),"")))</f>
        <v>14.5</v>
      </c>
      <c r="EJ83" s="12">
        <f>IF('Données projet'!$A$192&gt;35,EJ82+EI83-ER82,IF(A83&lt;'Données projet'!$A$192,$EG$205^A83,IF(A83='Données projet'!$A$192,'Données projet'!$B$192,EJ82+EI83-ER82)))</f>
        <v>605.99999999999955</v>
      </c>
      <c r="EK83" s="17">
        <f>EJ83*VLOOKUP('Données projet'!$B$15,Paramètres!$A$1:$I$89,3,0)*VLOOKUP('Données projet'!$B$15,Paramètres!$A$1:$I$89,5,0)</f>
        <v>362.38799999999981</v>
      </c>
      <c r="EL83" s="13">
        <f t="shared" si="99"/>
        <v>84.108142484692749</v>
      </c>
      <c r="EM83" s="20">
        <f t="shared" si="73"/>
        <v>777.64744816083942</v>
      </c>
      <c r="EN83" s="59">
        <f t="shared" si="74"/>
        <v>1070.9807814941728</v>
      </c>
      <c r="EO83" s="59">
        <f ca="1">AVERAGE(OFFSET($EN$3,0,0,'Données projet'!$E$15+1,1))-AVERAGE(OFFSET($H$3,0,0,'Données projet'!$E$15+1,1))</f>
        <v>316.58509520829671</v>
      </c>
      <c r="EP83" s="59">
        <f t="shared" si="100"/>
        <v>240.71332110643596</v>
      </c>
      <c r="EQ83" s="15">
        <f>IF(ISNA(VLOOKUP(A83,'Données projet'!$A$191:$I$211,3,0)),0,VLOOKUP(A83,'Données projet'!$A$191:$I$211,3,0))</f>
        <v>7</v>
      </c>
      <c r="ER83" s="15">
        <f>IF(ISNA(VLOOKUP(A83,'Données projet'!$A$191:$I$211,4,0)),0,VLOOKUP(A83,'Données projet'!$A$191:$I$211,4,0))</f>
        <v>94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>
        <f>EXP(-LN(2)/35)*EV82+(1-EXP(-LN(2)/35))/(LN(2)/35)*ER83*ES83*VLOOKUP('Données projet'!$B$15,Paramètres!$A$1:$I$89,3,0)*0.475*44/12</f>
        <v>0.94158070861487297</v>
      </c>
      <c r="EW83" s="21">
        <f>EXP(-LN(2)/25)*EW82+(1-EXP(-LN(2)/25))/(LN(2)/25)*Calculateur!ER83*Calculateur!ET83*VLOOKUP('Données projet'!$B$15,Paramètres!$A$1:$I$89,3,0)*0.475*44/12</f>
        <v>3.8169816801488858</v>
      </c>
      <c r="EX83" s="21">
        <f>EXP(-LN(2)/2)*EX82+(1-EXP(-LN(2)/2))/(LN(2)/2)*ER83*EU83*VLOOKUP('Données projet'!$B$15,Paramètres!$A$1:$I$89,3,0)*0.475*44/12</f>
        <v>6.5384337515058731E-7</v>
      </c>
      <c r="EY83" s="22">
        <f t="shared" si="75"/>
        <v>4.7585630426071335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>
        <f>VLOOKUP(A83,'Données projet'!$A$217:$I$237,2,0)</f>
        <v>537</v>
      </c>
      <c r="FC83" s="12">
        <f>VLOOKUP(A83,'Données projet'!$A$217:$I$237,9,0)</f>
        <v>12.5</v>
      </c>
      <c r="FD83" s="12">
        <f t="array" ref="FD83">INDEX(FC:FC,MIN(IF(ISNUMBER(FC83:FC279),ROW(FC83:FC279),"")))</f>
        <v>12.5</v>
      </c>
      <c r="FE83" s="12">
        <f>IF('Données projet'!$A$218&gt;35,FE82+FD83-FM82,IF(A83&lt;'Données projet'!$A$218,$FB$205^A83,IF(A83='Données projet'!$A$218,'Données projet'!$B$218,FE82+FD83-FM82)))</f>
        <v>537.00000000000023</v>
      </c>
      <c r="FF83" s="17">
        <f>FE83*VLOOKUP('Données projet'!$B$16,Paramètres!$A$1:$I$89,3,0)*VLOOKUP('Données projet'!$B$16,Paramètres!$A$1:$I$89,5,0)</f>
        <v>321.12600000000015</v>
      </c>
      <c r="FG83" s="13">
        <f t="shared" si="101"/>
        <v>75.587591944000323</v>
      </c>
      <c r="FH83" s="20">
        <f t="shared" si="76"/>
        <v>690.94283930246741</v>
      </c>
      <c r="FI83" s="59">
        <f t="shared" si="77"/>
        <v>984.27617263580078</v>
      </c>
      <c r="FJ83" s="59">
        <f ca="1">AVERAGE(OFFSET($FI$3,0,0,'Données projet'!$E$16+1,1))-AVERAGE(OFFSET($H$3,0,0,'Données projet'!$E$16+1,1))</f>
        <v>270.30888762640245</v>
      </c>
      <c r="FK83" s="59">
        <f t="shared" si="102"/>
        <v>202.23783851977691</v>
      </c>
      <c r="FL83" s="15">
        <f>IF(ISNA(VLOOKUP(A83,'Données projet'!$A$217:$I$237,3,0)),0,VLOOKUP(A83,'Données projet'!$A$217:$I$237,3,0))</f>
        <v>7</v>
      </c>
      <c r="FM83" s="15">
        <f>IF(ISNA(VLOOKUP(A83,'Données projet'!$A$217:$I$237,4,0)),0,VLOOKUP(A83,'Données projet'!$A$217:$I$237,4,0))</f>
        <v>78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>
        <f>EXP(-LN(2)/35)*FQ82+(1-EXP(-LN(2)/35))/(LN(2)/35)*FM83*FN83*VLOOKUP('Données projet'!$B$16,Paramètres!$A$1:$I$89,3,0)*0.475*44/12</f>
        <v>0.79570200728017426</v>
      </c>
      <c r="FR83" s="21">
        <f>EXP(-LN(2)/25)*FR82+(1-EXP(-LN(2)/25))/(LN(2)/25)*Calculateur!FM83*Calculateur!FO83*VLOOKUP('Données projet'!$B$16,Paramètres!$A$1:$I$89,3,0)*0.475*44/12</f>
        <v>3.0738020430601862</v>
      </c>
      <c r="FS83" s="21">
        <f>EXP(-LN(2)/2)*FS82+(1-EXP(-LN(2)/2))/(LN(2)/2)*FM83*FP83*VLOOKUP('Données projet'!$B$16,Paramètres!$A$1:$I$89,3,0)*0.475*44/12</f>
        <v>5.5112268288322043E-7</v>
      </c>
      <c r="FT83" s="22">
        <f t="shared" si="78"/>
        <v>3.8695046014630434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>
        <f>VLOOKUP(A83,'Données projet'!$A$243:$I$263,2,0)</f>
        <v>342</v>
      </c>
      <c r="FX83" s="12">
        <f>VLOOKUP(A83,'Données projet'!$A$243:$I$263,9,0)</f>
        <v>3.9</v>
      </c>
      <c r="FY83" s="12">
        <f t="array" ref="FY83">INDEX(FX:FX,MIN(IF(ISNUMBER(FX83:FX279),ROW(FX83:FX279),"")))</f>
        <v>3.9</v>
      </c>
      <c r="FZ83" s="12">
        <f>IF('Données projet'!$A$244&gt;35,FZ82+FY83-GH82,IF(A83&lt;'Données projet'!$A$244,$FW$205^A83,IF(A83='Données projet'!$A$244,'Données projet'!$B$244,FZ82+FY83-GH82)))</f>
        <v>341.99999999999949</v>
      </c>
      <c r="GA83" s="17">
        <f>FZ83*VLOOKUP('Données projet'!$B$17,Paramètres!$A$1:$I$89,3,0)*VLOOKUP('Données projet'!$B$17,Paramètres!$A$1:$I$89,5,0)</f>
        <v>272.09519999999958</v>
      </c>
      <c r="GB83" s="13">
        <f t="shared" si="103"/>
        <v>65.293723364568322</v>
      </c>
      <c r="GC83" s="20">
        <f t="shared" si="79"/>
        <v>587.61904152662237</v>
      </c>
      <c r="GD83" s="59">
        <f t="shared" si="80"/>
        <v>880.95237485995563</v>
      </c>
      <c r="GE83" s="59">
        <f ca="1">AVERAGE(OFFSET($GD$3,0,0,'Données projet'!$E$17+1,1))-AVERAGE(OFFSET($H$3,0,0,'Données projet'!$E$17+1,1))</f>
        <v>260.20517190557814</v>
      </c>
      <c r="GF83" s="59">
        <f t="shared" si="104"/>
        <v>307.22009971147133</v>
      </c>
      <c r="GG83" s="15">
        <f>IF(ISNA(VLOOKUP(A83,'Données projet'!$A$243:$I$263,3,0)),0,VLOOKUP(A83,'Données projet'!$A$243:$I$263,3,0))</f>
        <v>7</v>
      </c>
      <c r="GH83" s="15">
        <f>IF(ISNA(VLOOKUP(A83,'Données projet'!$A$243:$I$263,4,0)),0,VLOOKUP(A83,'Données projet'!$A$243:$I$263,4,0))</f>
        <v>342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>
        <f>EXP(-LN(2)/35)*GL82+(1-EXP(-LN(2)/35))/(LN(2)/35)*GH83*GI83*VLOOKUP('Données projet'!$B$17,Paramètres!$A$1:$I$89,3,0)*0.475*44/12</f>
        <v>1.212196270511126</v>
      </c>
      <c r="GM83" s="21">
        <f>EXP(-LN(2)/25)*GM82+(1-EXP(-LN(2)/25))/(LN(2)/25)*Calculateur!GH83*Calculateur!GJ83*VLOOKUP('Données projet'!$B$17,Paramètres!$A$1:$I$89,3,0)*0.475*44/12</f>
        <v>5.12990068119925</v>
      </c>
      <c r="GN83" s="21">
        <f>EXP(-LN(2)/2)*GN82+(1-EXP(-LN(2)/2))/(LN(2)/2)*GH83*GK83*VLOOKUP('Données projet'!$B$17,Paramètres!$A$1:$I$89,3,0)*0.475*44/12</f>
        <v>7.1641904868952293E-7</v>
      </c>
      <c r="GO83" s="21">
        <f t="shared" si="81"/>
        <v>6.3420976681294245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>
        <f>VLOOKUP(A83,'Données projet'!$A$269:$I$289,2,0)</f>
        <v>284</v>
      </c>
      <c r="GS83" s="12">
        <f>VLOOKUP(A83,'Données projet'!$A$269:$I$289,9,0)</f>
        <v>3.1</v>
      </c>
      <c r="GT83" s="12">
        <f t="array" ref="GT83">INDEX(GS:GS,MIN(IF(ISNUMBER(GS83:GS279),ROW(GS83:GS279),"")))</f>
        <v>3.1</v>
      </c>
      <c r="GU83" s="12">
        <f>IF('Données projet'!$A$270&gt;35,GU82+GT83-HC82,IF(A83&lt;'Données projet'!$A$270,$GR$205^A83,IF(A83='Données projet'!$A$270,'Données projet'!$B$270,GU82+GT83-HC82)))</f>
        <v>284.00000000000006</v>
      </c>
      <c r="GV83" s="17">
        <f>GU83*VLOOKUP('Données projet'!$B$18,Paramètres!$A$1:$I$89,3,0)*VLOOKUP('Données projet'!$B$18,Paramètres!$A$1:$I$89,5,0)</f>
        <v>225.95040000000006</v>
      </c>
      <c r="GW83" s="13">
        <f t="shared" si="105"/>
        <v>55.406160129335312</v>
      </c>
      <c r="GX83" s="20">
        <f t="shared" si="82"/>
        <v>490.02934222525914</v>
      </c>
      <c r="GY83" s="59">
        <f t="shared" si="83"/>
        <v>783.3626755585924</v>
      </c>
      <c r="GZ83" s="59">
        <f ca="1">AVERAGE(OFFSET($GY$3,0,0,'Données projet'!$E$18+1,1))-AVERAGE(OFFSET($H$3,0,0,'Données projet'!$E$18+1,1))</f>
        <v>199.58763537752952</v>
      </c>
      <c r="HA83" s="59">
        <f t="shared" si="106"/>
        <v>242.62852778451929</v>
      </c>
      <c r="HB83" s="15">
        <f>IF(ISNA(VLOOKUP(A83,'Données projet'!$A$269:$I$289,3,0)),0,VLOOKUP(A83,'Données projet'!$A$269:$I$289,3,0))</f>
        <v>7</v>
      </c>
      <c r="HC83" s="15">
        <f>IF(ISNA(VLOOKUP(A83,'Données projet'!$A$269:$I$289,4,0)),0,VLOOKUP(A83,'Données projet'!$A$269:$I$289,4,0))</f>
        <v>284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>
        <f>EXP(-LN(2)/35)*HG82+(1-EXP(-LN(2)/35))/(LN(2)/35)*HC83*HD83*VLOOKUP('Données projet'!$B$18,Paramètres!$A$1:$I$89,3,0)*0.475*44/12</f>
        <v>0</v>
      </c>
      <c r="HH83" s="21">
        <f>EXP(-LN(2)/25)*HH82+(1-EXP(-LN(2)/25))/(LN(2)/25)*Calculateur!HC83*Calculateur!HE83*VLOOKUP('Données projet'!$B$18,Paramètres!$A$1:$I$89,3,0)*0.475*44/12</f>
        <v>2.5707441173529557</v>
      </c>
      <c r="HI83" s="21">
        <f>EXP(-LN(2)/2)*HI82+(1-EXP(-LN(2)/2))/(LN(2)/2)*HC83*HF83*VLOOKUP('Données projet'!$B$18,Paramètres!$A$1:$I$89,3,0)*0.475*44/12</f>
        <v>3.2071943262875735E-7</v>
      </c>
      <c r="HJ83" s="22">
        <f t="shared" si="84"/>
        <v>2.5707444380723885</v>
      </c>
    </row>
    <row r="84" spans="1:218" x14ac:dyDescent="0.2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72.025200000000098</v>
      </c>
      <c r="D84" s="11">
        <f t="shared" si="86"/>
        <v>20.175548252960489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711.72507423337993</v>
      </c>
      <c r="H84" s="67">
        <f t="shared" si="56"/>
        <v>453.91630320723971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-2.2737367544323206E-13</v>
      </c>
      <c r="O84" s="13">
        <f>N84*VLOOKUP('Données projet'!$B$9,Paramètres!$A$1:$I$89,3,0)*VLOOKUP('Données projet'!$B$9,Paramètres!$A$1:$I$89,5,0)</f>
        <v>-1.2710188457276673E-13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255.5374979188561</v>
      </c>
      <c r="T84" s="59">
        <f t="shared" si="88"/>
        <v>343.10418468620901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1.1254352465643092</v>
      </c>
      <c r="AA84" s="21">
        <f>EXP(-LN(2)/25)*AA83+(1-EXP(-LN(2)/25))/(LN(2)/25)*Calculateur!V84*Calculateur!X84*VLOOKUP('Données projet'!$B$9,Paramètres!$A$1:$I$89,3,0)*0.475*44/12</f>
        <v>3.8809562512593225</v>
      </c>
      <c r="AB84" s="21">
        <f>EXP(-LN(2)/2)*AB83+(1-EXP(-LN(2)/2))/(LN(2)/2)*V84*Y84*VLOOKUP('Données projet'!$B$9,Paramètres!$A$1:$I$89,3,0)*0.475*44/12</f>
        <v>3.5669975387200144E-8</v>
      </c>
      <c r="AC84" s="22">
        <f t="shared" si="57"/>
        <v>5.0063915334936073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1.1368683772161603E-13</v>
      </c>
      <c r="AJ84" s="13">
        <f>AI84*VLOOKUP('Données projet'!$B$10,Paramètres!$A$1:$I$89,3,0)*VLOOKUP('Données projet'!$B$10,Paramètres!$A$1:$I$89,5,0)</f>
        <v>6.3550942286383367E-14</v>
      </c>
      <c r="AK84" s="13">
        <f t="shared" si="89"/>
        <v>1.0064464192543978E-12</v>
      </c>
      <c r="AL84" s="20">
        <f t="shared" si="58"/>
        <v>1.8635787380168604E-12</v>
      </c>
      <c r="AM84" s="59">
        <f t="shared" si="59"/>
        <v>293.33333333333519</v>
      </c>
      <c r="AN84" s="59">
        <f ca="1">AVERAGE(OFFSET($AM$3,0,0,'Données projet'!$E$10+1,1))-AVERAGE(OFFSET($H$3,0,0,'Données projet'!$E$10+1,1))</f>
        <v>224.7049802939942</v>
      </c>
      <c r="AO84" s="59">
        <f t="shared" si="90"/>
        <v>203.48513862195352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0.81261925147297598</v>
      </c>
      <c r="AV84" s="21">
        <f>EXP(-LN(2)/25)*AV83+(1-EXP(-LN(2)/25))/(LN(2)/25)*Calculateur!AQ84*Calculateur!AS84*VLOOKUP('Données projet'!$B$10,Paramètres!$A$1:$I$89,3,0)*0.475*44/12</f>
        <v>4.7476570762655692</v>
      </c>
      <c r="AW84" s="21">
        <f>EXP(-LN(2)/2)*AW83+(1-EXP(-LN(2)/2))/(LN(2)/2)*AQ84*AT84*VLOOKUP('Données projet'!$B$10,Paramètres!$A$1:$I$89,3,0)*0.475*44/12</f>
        <v>1.8883079072069789E-7</v>
      </c>
      <c r="AX84" s="21">
        <f t="shared" si="60"/>
        <v>5.5602765165693366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>
        <f>BD84*VLOOKUP('Données projet'!$B$11,Paramètres!$A$1:$I$89,3,0)*VLOOKUP('Données projet'!$B$11,Paramètres!$A$1:$I$89,5,0)</f>
        <v>0</v>
      </c>
      <c r="BF84" s="13" t="e">
        <f t="shared" si="91"/>
        <v>#NUM!</v>
      </c>
      <c r="BG84" s="20" t="e">
        <f t="shared" si="61"/>
        <v>#NUM!</v>
      </c>
      <c r="BH84" s="59" t="e">
        <f t="shared" si="62"/>
        <v>#NUM!</v>
      </c>
      <c r="BI84" s="59">
        <f ca="1">AVERAGE(OFFSET($BH$3,0,0,'Données projet'!$E$11+1,1))-AVERAGE(OFFSET($H$3,0,0,'Données projet'!$E$11+1,1))</f>
        <v>210.04871822652808</v>
      </c>
      <c r="BJ84" s="59">
        <f t="shared" si="92"/>
        <v>250.17540614049324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2.6591193068617653</v>
      </c>
      <c r="BQ84" s="21">
        <f>EXP(-LN(2)/25)*BQ83+(1-EXP(-LN(2)/25))/(LN(2)/25)*Calculateur!BL84*Calculateur!BN84*VLOOKUP('Données projet'!$B$11,Paramètres!$A$1:$I$89,3,0)*0.475*44/12</f>
        <v>6.7674203144112557</v>
      </c>
      <c r="BR84" s="21">
        <f>EXP(-LN(2)/2)*BR83+(1-EXP(-LN(2)/2))/(LN(2)/2)*BL84*BO84*VLOOKUP('Données projet'!$B$11,Paramètres!$A$1:$I$89,3,0)*0.475*44/12</f>
        <v>4.5421424171691362E-7</v>
      </c>
      <c r="BS84" s="22">
        <f t="shared" si="63"/>
        <v>9.4265400754872619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2.2737367544323206E-13</v>
      </c>
      <c r="BZ84" s="13">
        <f>BY84*VLOOKUP('Données projet'!$B$12,Paramètres!$A$1:$I$89,3,0)*VLOOKUP('Données projet'!$B$12,Paramètres!$A$1:$I$89,5,0)</f>
        <v>1.2414602679200471E-13</v>
      </c>
      <c r="CA84" s="13">
        <f t="shared" si="93"/>
        <v>1.8186582995804361E-12</v>
      </c>
      <c r="CB84" s="20">
        <f t="shared" si="64"/>
        <v>3.3837175350986671E-12</v>
      </c>
      <c r="CC84" s="59">
        <f t="shared" si="65"/>
        <v>293.33333333333672</v>
      </c>
      <c r="CD84" s="59">
        <f ca="1">AVERAGE(OFFSET($CC$3,0,0,'Données projet'!$E$12+1,1))-AVERAGE(OFFSET($H$3,0,0,'Données projet'!$E$12+1,1))</f>
        <v>168.72306536277267</v>
      </c>
      <c r="CE84" s="59">
        <f t="shared" si="94"/>
        <v>203.35476578922339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1.1079663778590687</v>
      </c>
      <c r="CL84" s="21">
        <f>EXP(-LN(2)/25)*CL83+(1-EXP(-LN(2)/25))/(LN(2)/25)*Calculateur!CG84*Calculateur!CI84*VLOOKUP('Données projet'!$B$12,Paramètres!$A$1:$I$89,3,0)*0.475*44/12</f>
        <v>5.5891237308680664</v>
      </c>
      <c r="CM84" s="21">
        <f>EXP(-LN(2)/2)*CM83+(1-EXP(-LN(2)/2))/(LN(2)/2)*CG84*CJ84*VLOOKUP('Données projet'!$B$12,Paramètres!$A$1:$I$89,3,0)*0.475*44/12</f>
        <v>4.2197101509328674E-7</v>
      </c>
      <c r="CN84" s="22">
        <f t="shared" si="66"/>
        <v>6.6970905306981505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20.769230769230774</v>
      </c>
      <c r="CT84" s="12">
        <f>IF('Données projet'!$A$140&gt;35,CT83+CS84-DB83,IF(A84&lt;'Données projet'!$A$140,$CQ$205^A84,IF(A84='Données projet'!$A$140,'Données projet'!$B$140,CT83+CS84-DB83)))</f>
        <v>539.99999999999989</v>
      </c>
      <c r="CU84" s="17">
        <f>CT84*VLOOKUP('Données projet'!$B$13,Paramètres!$A$1:$I$89,3,0)*VLOOKUP('Données projet'!$B$13,Paramètres!$A$1:$I$89,5,0)</f>
        <v>259.73999999999995</v>
      </c>
      <c r="CV84" s="13">
        <f t="shared" si="95"/>
        <v>62.666953236268725</v>
      </c>
      <c r="CW84" s="20">
        <f t="shared" si="67"/>
        <v>561.52544355316797</v>
      </c>
      <c r="CX84" s="59">
        <f t="shared" si="68"/>
        <v>854.85877688650135</v>
      </c>
      <c r="CY84" s="59">
        <f ca="1">AVERAGE(OFFSET($CX$3,0,0,'Données projet'!$E$13+1,1))-AVERAGE(OFFSET($H$3,0,0,'Données projet'!$E$13+1,1))</f>
        <v>304.15237106473313</v>
      </c>
      <c r="CZ84" s="59">
        <f t="shared" si="96"/>
        <v>120.85458928724336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>
        <f>EXP(-LN(2)/35)*DF83+(1-EXP(-LN(2)/35))/(LN(2)/35)*DB84*DC84*VLOOKUP('Données projet'!$B$13,Paramètres!$A$1:$I$89,3,0)*0.475*44/12</f>
        <v>0</v>
      </c>
      <c r="DG84" s="21">
        <f>EXP(-LN(2)/25)*DG83+(1-EXP(-LN(2)/25))/(LN(2)/25)*Calculateur!DB84*Calculateur!DD84*VLOOKUP('Données projet'!$B$13,Paramètres!$A$1:$I$89,3,0)*0.475*44/12</f>
        <v>0</v>
      </c>
      <c r="DH84" s="21">
        <f>EXP(-LN(2)/2)*DH83+(1-EXP(-LN(2)/2))/(LN(2)/2)*DB84*DE84*VLOOKUP('Données projet'!$B$13,Paramètres!$A$1:$I$89,3,0)*0.475*44/12</f>
        <v>0</v>
      </c>
      <c r="DI84" s="22">
        <f t="shared" si="69"/>
        <v>0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9.0769230769230749</v>
      </c>
      <c r="DO84" s="12">
        <f>IF('Données projet'!$A$166&gt;35,DO83+DN84-DW83,IF(A84&lt;'Données projet'!$A$166,$DL$205^A84,IF(A84='Données projet'!$A$166,'Données projet'!$B$166,DO83+DN84-DW83)))</f>
        <v>242.15384615384593</v>
      </c>
      <c r="DP84" s="17">
        <f>DO84*VLOOKUP('Données projet'!$B$14,Paramètres!$A$1:$I$89,3,0)*VLOOKUP('Données projet'!$B$14,Paramètres!$A$1:$I$89,5,0)</f>
        <v>116.47599999999989</v>
      </c>
      <c r="DQ84" s="13">
        <f t="shared" si="97"/>
        <v>30.851663802010368</v>
      </c>
      <c r="DR84" s="20">
        <f t="shared" si="70"/>
        <v>256.5956811218345</v>
      </c>
      <c r="DS84" s="59">
        <f t="shared" si="71"/>
        <v>549.92901445516782</v>
      </c>
      <c r="DT84" s="59">
        <f ca="1">AVERAGE(OFFSET($DS$3,0,0,'Données projet'!$E$14+1,1))-AVERAGE(OFFSET($H$3,0,0,'Données projet'!$E$14+1,1))</f>
        <v>91.053246648097399</v>
      </c>
      <c r="DU84" s="59">
        <f t="shared" si="98"/>
        <v>64.716270355703955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>
        <f>EXP(-LN(2)/35)*EA83+(1-EXP(-LN(2)/35))/(LN(2)/35)*DW84*DX84*VLOOKUP('Données projet'!$B$14,Paramètres!$A$1:$I$89,3,0)*0.475*44/12</f>
        <v>0</v>
      </c>
      <c r="EB84" s="21">
        <f>EXP(-LN(2)/25)*EB83+(1-EXP(-LN(2)/25))/(LN(2)/25)*Calculateur!DW84*Calculateur!DY84*VLOOKUP('Données projet'!$B$14,Paramètres!$A$1:$I$89,3,0)*0.475*44/12</f>
        <v>0</v>
      </c>
      <c r="EC84" s="21">
        <f>EXP(-LN(2)/2)*EC83+(1-EXP(-LN(2)/2))/(LN(2)/2)*DW84*DZ84*VLOOKUP('Données projet'!$B$14,Paramètres!$A$1:$I$89,3,0)*0.475*44/12</f>
        <v>0</v>
      </c>
      <c r="ED84" s="22">
        <f t="shared" si="72"/>
        <v>0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12.5</v>
      </c>
      <c r="EJ84" s="12">
        <f>IF('Données projet'!$A$192&gt;35,EJ83+EI84-ER83,IF(A84&lt;'Données projet'!$A$192,$EG$205^A84,IF(A84='Données projet'!$A$192,'Données projet'!$B$192,EJ83+EI84-ER83)))</f>
        <v>524.49999999999955</v>
      </c>
      <c r="EK84" s="17">
        <f>EJ84*VLOOKUP('Données projet'!$B$15,Paramètres!$A$1:$I$89,3,0)*VLOOKUP('Données projet'!$B$15,Paramètres!$A$1:$I$89,5,0)</f>
        <v>313.65099999999978</v>
      </c>
      <c r="EL84" s="13">
        <f t="shared" si="99"/>
        <v>74.030783927316818</v>
      </c>
      <c r="EM84" s="20">
        <f t="shared" si="73"/>
        <v>675.21244034007634</v>
      </c>
      <c r="EN84" s="59">
        <f t="shared" si="74"/>
        <v>968.54577367340971</v>
      </c>
      <c r="EO84" s="59">
        <f ca="1">AVERAGE(OFFSET($EN$3,0,0,'Données projet'!$E$15+1,1))-AVERAGE(OFFSET($H$3,0,0,'Données projet'!$E$15+1,1))</f>
        <v>316.58509520829671</v>
      </c>
      <c r="EP84" s="59">
        <f t="shared" si="100"/>
        <v>240.71332110643596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>
        <f>EXP(-LN(2)/35)*EV83+(1-EXP(-LN(2)/35))/(LN(2)/35)*ER84*ES84*VLOOKUP('Données projet'!$B$15,Paramètres!$A$1:$I$89,3,0)*0.475*44/12</f>
        <v>0.9231168852264594</v>
      </c>
      <c r="EW84" s="21">
        <f>EXP(-LN(2)/25)*EW83+(1-EXP(-LN(2)/25))/(LN(2)/25)*Calculateur!ER84*Calculateur!ET84*VLOOKUP('Données projet'!$B$15,Paramètres!$A$1:$I$89,3,0)*0.475*44/12</f>
        <v>3.7126061153788719</v>
      </c>
      <c r="EX84" s="21">
        <f>EXP(-LN(2)/2)*EX83+(1-EXP(-LN(2)/2))/(LN(2)/2)*ER84*EU84*VLOOKUP('Données projet'!$B$15,Paramètres!$A$1:$I$89,3,0)*0.475*44/12</f>
        <v>4.6233708440288006E-7</v>
      </c>
      <c r="EY84" s="22">
        <f t="shared" si="75"/>
        <v>4.6357234629424156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10.8</v>
      </c>
      <c r="FE84" s="12">
        <f>IF('Données projet'!$A$218&gt;35,FE83+FD84-FM83,IF(A84&lt;'Données projet'!$A$218,$FB$205^A84,IF(A84='Données projet'!$A$218,'Données projet'!$B$218,FE83+FD84-FM83)))</f>
        <v>469.80000000000018</v>
      </c>
      <c r="FF84" s="17">
        <f>FE84*VLOOKUP('Données projet'!$B$16,Paramètres!$A$1:$I$89,3,0)*VLOOKUP('Données projet'!$B$16,Paramètres!$A$1:$I$89,5,0)</f>
        <v>280.94040000000012</v>
      </c>
      <c r="FG84" s="13">
        <f t="shared" si="101"/>
        <v>67.165703636653262</v>
      </c>
      <c r="FH84" s="20">
        <f t="shared" si="76"/>
        <v>606.2847971671714</v>
      </c>
      <c r="FI84" s="59">
        <f t="shared" si="77"/>
        <v>899.61813050050478</v>
      </c>
      <c r="FJ84" s="59">
        <f ca="1">AVERAGE(OFFSET($FI$3,0,0,'Données projet'!$E$16+1,1))-AVERAGE(OFFSET($H$3,0,0,'Données projet'!$E$16+1,1))</f>
        <v>270.30888762640245</v>
      </c>
      <c r="FK84" s="59">
        <f t="shared" si="102"/>
        <v>202.23783851977691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>
        <f>EXP(-LN(2)/35)*FQ83+(1-EXP(-LN(2)/35))/(LN(2)/35)*FM84*FN84*VLOOKUP('Données projet'!$B$16,Paramètres!$A$1:$I$89,3,0)*0.475*44/12</f>
        <v>0.78009877624771207</v>
      </c>
      <c r="FR84" s="21">
        <f>EXP(-LN(2)/25)*FR83+(1-EXP(-LN(2)/25))/(LN(2)/25)*Calculateur!FM84*Calculateur!FO84*VLOOKUP('Données projet'!$B$16,Paramètres!$A$1:$I$89,3,0)*0.475*44/12</f>
        <v>2.989748764548481</v>
      </c>
      <c r="FS84" s="21">
        <f>EXP(-LN(2)/2)*FS83+(1-EXP(-LN(2)/2))/(LN(2)/2)*FM84*FP84*VLOOKUP('Données projet'!$B$16,Paramètres!$A$1:$I$89,3,0)*0.475*44/12</f>
        <v>3.8970258633244837E-7</v>
      </c>
      <c r="FT84" s="22">
        <f t="shared" si="78"/>
        <v>3.7698479304987793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-5.1159076974727213E-13</v>
      </c>
      <c r="GA84" s="17">
        <f>FZ84*VLOOKUP('Données projet'!$B$17,Paramètres!$A$1:$I$89,3,0)*VLOOKUP('Données projet'!$B$17,Paramètres!$A$1:$I$89,5,0)</f>
        <v>-4.0702161641092972E-13</v>
      </c>
      <c r="GB84" s="13" t="e">
        <f t="shared" si="103"/>
        <v>#NUM!</v>
      </c>
      <c r="GC84" s="20" t="e">
        <f t="shared" si="79"/>
        <v>#NUM!</v>
      </c>
      <c r="GD84" s="59" t="e">
        <f t="shared" si="80"/>
        <v>#NUM!</v>
      </c>
      <c r="GE84" s="59">
        <f ca="1">AVERAGE(OFFSET($GD$3,0,0,'Données projet'!$E$17+1,1))-AVERAGE(OFFSET($H$3,0,0,'Données projet'!$E$17+1,1))</f>
        <v>260.20517190557814</v>
      </c>
      <c r="GF84" s="59">
        <f t="shared" si="104"/>
        <v>307.22009971147133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>
        <f>EXP(-LN(2)/35)*GL83+(1-EXP(-LN(2)/35))/(LN(2)/35)*GH84*GI84*VLOOKUP('Données projet'!$B$17,Paramètres!$A$1:$I$89,3,0)*0.475*44/12</f>
        <v>1.1884258410131214</v>
      </c>
      <c r="GM84" s="21">
        <f>EXP(-LN(2)/25)*GM83+(1-EXP(-LN(2)/25))/(LN(2)/25)*Calculateur!GH84*Calculateur!GJ84*VLOOKUP('Données projet'!$B$17,Paramètres!$A$1:$I$89,3,0)*0.475*44/12</f>
        <v>4.9896232773021039</v>
      </c>
      <c r="GN84" s="21">
        <f>EXP(-LN(2)/2)*GN83+(1-EXP(-LN(2)/2))/(LN(2)/2)*GH84*GK84*VLOOKUP('Données projet'!$B$17,Paramètres!$A$1:$I$89,3,0)*0.475*44/12</f>
        <v>5.0658476749957702E-7</v>
      </c>
      <c r="GO84" s="21">
        <f t="shared" si="81"/>
        <v>6.1780496248999937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5.6843418860808015E-14</v>
      </c>
      <c r="GV84" s="17">
        <f>GU84*VLOOKUP('Données projet'!$B$18,Paramètres!$A$1:$I$89,3,0)*VLOOKUP('Données projet'!$B$18,Paramètres!$A$1:$I$89,5,0)</f>
        <v>4.5224624045658861E-14</v>
      </c>
      <c r="GW84" s="13">
        <f t="shared" si="105"/>
        <v>7.4514601661523691E-13</v>
      </c>
      <c r="GX84" s="20">
        <f t="shared" si="82"/>
        <v>1.3765621991510601E-12</v>
      </c>
      <c r="GY84" s="59">
        <f t="shared" si="83"/>
        <v>293.33333333333468</v>
      </c>
      <c r="GZ84" s="59">
        <f ca="1">AVERAGE(OFFSET($GY$3,0,0,'Données projet'!$E$18+1,1))-AVERAGE(OFFSET($H$3,0,0,'Données projet'!$E$18+1,1))</f>
        <v>199.58763537752952</v>
      </c>
      <c r="HA84" s="59">
        <f t="shared" si="106"/>
        <v>242.62852778451929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>
        <f>EXP(-LN(2)/35)*HG83+(1-EXP(-LN(2)/35))/(LN(2)/35)*HC84*HD84*VLOOKUP('Données projet'!$B$18,Paramètres!$A$1:$I$89,3,0)*0.475*44/12</f>
        <v>0</v>
      </c>
      <c r="HH84" s="21">
        <f>EXP(-LN(2)/25)*HH83+(1-EXP(-LN(2)/25))/(LN(2)/25)*Calculateur!HC84*Calculateur!HE84*VLOOKUP('Données projet'!$B$18,Paramètres!$A$1:$I$89,3,0)*0.475*44/12</f>
        <v>2.5004469842743817</v>
      </c>
      <c r="HI84" s="21">
        <f>EXP(-LN(2)/2)*HI83+(1-EXP(-LN(2)/2))/(LN(2)/2)*HC84*HF84*VLOOKUP('Données projet'!$B$18,Paramètres!$A$1:$I$89,3,0)*0.475*44/12</f>
        <v>2.267828856700964E-7</v>
      </c>
      <c r="HJ84" s="22">
        <f t="shared" si="84"/>
        <v>2.5004472110572675</v>
      </c>
    </row>
    <row r="85" spans="1:218" x14ac:dyDescent="0.2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72.9144000000001</v>
      </c>
      <c r="D85" s="11">
        <f t="shared" si="86"/>
        <v>20.395478670134686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720.28678271683009</v>
      </c>
      <c r="H85" s="67">
        <f t="shared" si="56"/>
        <v>455.84803868381812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-2.2737367544323206E-13</v>
      </c>
      <c r="O85" s="13">
        <f>N85*VLOOKUP('Données projet'!$B$9,Paramètres!$A$1:$I$89,3,0)*VLOOKUP('Données projet'!$B$9,Paramètres!$A$1:$I$89,5,0)</f>
        <v>-1.2710188457276673E-13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255.5374979188561</v>
      </c>
      <c r="T85" s="59">
        <f t="shared" si="88"/>
        <v>343.10418468620901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1.1033661478269023</v>
      </c>
      <c r="AA85" s="21">
        <f>EXP(-LN(2)/25)*AA84+(1-EXP(-LN(2)/25))/(LN(2)/25)*Calculateur!V85*Calculateur!X85*VLOOKUP('Données projet'!$B$9,Paramètres!$A$1:$I$89,3,0)*0.475*44/12</f>
        <v>3.7748312984780172</v>
      </c>
      <c r="AB85" s="21">
        <f>EXP(-LN(2)/2)*AB84+(1-EXP(-LN(2)/2))/(LN(2)/2)*V85*Y85*VLOOKUP('Données projet'!$B$9,Paramètres!$A$1:$I$89,3,0)*0.475*44/12</f>
        <v>2.5222481481046469E-8</v>
      </c>
      <c r="AC85" s="22">
        <f t="shared" si="57"/>
        <v>4.8781974715274012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1.1368683772161603E-13</v>
      </c>
      <c r="AJ85" s="13">
        <f>AI85*VLOOKUP('Données projet'!$B$10,Paramètres!$A$1:$I$89,3,0)*VLOOKUP('Données projet'!$B$10,Paramètres!$A$1:$I$89,5,0)</f>
        <v>6.3550942286383367E-14</v>
      </c>
      <c r="AK85" s="13">
        <f t="shared" si="89"/>
        <v>1.0064464192543978E-12</v>
      </c>
      <c r="AL85" s="20">
        <f t="shared" si="58"/>
        <v>1.8635787380168604E-12</v>
      </c>
      <c r="AM85" s="59">
        <f t="shared" si="59"/>
        <v>293.33333333333519</v>
      </c>
      <c r="AN85" s="59">
        <f ca="1">AVERAGE(OFFSET($AM$3,0,0,'Données projet'!$E$10+1,1))-AVERAGE(OFFSET($H$3,0,0,'Données projet'!$E$10+1,1))</f>
        <v>224.7049802939942</v>
      </c>
      <c r="AO85" s="59">
        <f t="shared" si="90"/>
        <v>203.48513862195352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0.79668428360039312</v>
      </c>
      <c r="AV85" s="21">
        <f>EXP(-LN(2)/25)*AV84+(1-EXP(-LN(2)/25))/(LN(2)/25)*Calculateur!AQ85*Calculateur!AS85*VLOOKUP('Données projet'!$B$10,Paramètres!$A$1:$I$89,3,0)*0.475*44/12</f>
        <v>4.6178321438466527</v>
      </c>
      <c r="AW85" s="21">
        <f>EXP(-LN(2)/2)*AW84+(1-EXP(-LN(2)/2))/(LN(2)/2)*AQ85*AT85*VLOOKUP('Données projet'!$B$10,Paramètres!$A$1:$I$89,3,0)*0.475*44/12</f>
        <v>1.3352353261542327E-7</v>
      </c>
      <c r="AX85" s="21">
        <f t="shared" si="60"/>
        <v>5.4145165609705783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>
        <f>BD85*VLOOKUP('Données projet'!$B$11,Paramètres!$A$1:$I$89,3,0)*VLOOKUP('Données projet'!$B$11,Paramètres!$A$1:$I$89,5,0)</f>
        <v>0</v>
      </c>
      <c r="BF85" s="13" t="e">
        <f t="shared" si="91"/>
        <v>#NUM!</v>
      </c>
      <c r="BG85" s="20" t="e">
        <f t="shared" si="61"/>
        <v>#NUM!</v>
      </c>
      <c r="BH85" s="59" t="e">
        <f t="shared" si="62"/>
        <v>#NUM!</v>
      </c>
      <c r="BI85" s="59">
        <f ca="1">AVERAGE(OFFSET($BH$3,0,0,'Données projet'!$E$11+1,1))-AVERAGE(OFFSET($H$3,0,0,'Données projet'!$E$11+1,1))</f>
        <v>210.04871822652808</v>
      </c>
      <c r="BJ85" s="59">
        <f t="shared" si="92"/>
        <v>250.17540614049324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2.6069755991568337</v>
      </c>
      <c r="BQ85" s="21">
        <f>EXP(-LN(2)/25)*BQ84+(1-EXP(-LN(2)/25))/(LN(2)/25)*Calculateur!BL85*Calculateur!BN85*VLOOKUP('Données projet'!$B$11,Paramètres!$A$1:$I$89,3,0)*0.475*44/12</f>
        <v>6.5823648500305127</v>
      </c>
      <c r="BR85" s="21">
        <f>EXP(-LN(2)/2)*BR84+(1-EXP(-LN(2)/2))/(LN(2)/2)*BL85*BO85*VLOOKUP('Données projet'!$B$11,Paramètres!$A$1:$I$89,3,0)*0.475*44/12</f>
        <v>3.2117797042953524E-7</v>
      </c>
      <c r="BS85" s="22">
        <f t="shared" si="63"/>
        <v>9.189340770365316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2.2737367544323206E-13</v>
      </c>
      <c r="BZ85" s="13">
        <f>BY85*VLOOKUP('Données projet'!$B$12,Paramètres!$A$1:$I$89,3,0)*VLOOKUP('Données projet'!$B$12,Paramètres!$A$1:$I$89,5,0)</f>
        <v>1.2414602679200471E-13</v>
      </c>
      <c r="CA85" s="13">
        <f t="shared" si="93"/>
        <v>1.8186582995804361E-12</v>
      </c>
      <c r="CB85" s="20">
        <f t="shared" si="64"/>
        <v>3.3837175350986671E-12</v>
      </c>
      <c r="CC85" s="59">
        <f t="shared" si="65"/>
        <v>293.33333333333672</v>
      </c>
      <c r="CD85" s="59">
        <f ca="1">AVERAGE(OFFSET($CC$3,0,0,'Données projet'!$E$12+1,1))-AVERAGE(OFFSET($H$3,0,0,'Données projet'!$E$12+1,1))</f>
        <v>168.72306536277267</v>
      </c>
      <c r="CE85" s="59">
        <f t="shared" si="94"/>
        <v>203.35476578922339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1.0862398329820138</v>
      </c>
      <c r="CL85" s="21">
        <f>EXP(-LN(2)/25)*CL84+(1-EXP(-LN(2)/25))/(LN(2)/25)*Calculateur!CG85*Calculateur!CI85*VLOOKUP('Données projet'!$B$12,Paramètres!$A$1:$I$89,3,0)*0.475*44/12</f>
        <v>5.4362888485282364</v>
      </c>
      <c r="CM85" s="21">
        <f>EXP(-LN(2)/2)*CM84+(1-EXP(-LN(2)/2))/(LN(2)/2)*CG85*CJ85*VLOOKUP('Données projet'!$B$12,Paramètres!$A$1:$I$89,3,0)*0.475*44/12</f>
        <v>2.9837856623663405E-7</v>
      </c>
      <c r="CN85" s="22">
        <f t="shared" si="66"/>
        <v>6.5225289798888166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20.769230769230774</v>
      </c>
      <c r="CT85" s="12">
        <f>IF('Données projet'!$A$140&gt;35,CT84+CS85-DB84,IF(A85&lt;'Données projet'!$A$140,$CQ$205^A85,IF(A85='Données projet'!$A$140,'Données projet'!$B$140,CT84+CS85-DB84)))</f>
        <v>560.76923076923072</v>
      </c>
      <c r="CU85" s="17">
        <f>CT85*VLOOKUP('Données projet'!$B$13,Paramètres!$A$1:$I$89,3,0)*VLOOKUP('Données projet'!$B$13,Paramètres!$A$1:$I$89,5,0)</f>
        <v>269.72999999999996</v>
      </c>
      <c r="CV85" s="13">
        <f t="shared" si="95"/>
        <v>64.791965137346921</v>
      </c>
      <c r="CW85" s="20">
        <f t="shared" si="67"/>
        <v>582.62575594754583</v>
      </c>
      <c r="CX85" s="59">
        <f t="shared" si="68"/>
        <v>875.9590892808792</v>
      </c>
      <c r="CY85" s="59">
        <f ca="1">AVERAGE(OFFSET($CX$3,0,0,'Données projet'!$E$13+1,1))-AVERAGE(OFFSET($H$3,0,0,'Données projet'!$E$13+1,1))</f>
        <v>304.15237106473313</v>
      </c>
      <c r="CZ85" s="59">
        <f t="shared" si="96"/>
        <v>120.85458928724336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>
        <f>EXP(-LN(2)/35)*DF84+(1-EXP(-LN(2)/35))/(LN(2)/35)*DB85*DC85*VLOOKUP('Données projet'!$B$13,Paramètres!$A$1:$I$89,3,0)*0.475*44/12</f>
        <v>0</v>
      </c>
      <c r="DG85" s="21">
        <f>EXP(-LN(2)/25)*DG84+(1-EXP(-LN(2)/25))/(LN(2)/25)*Calculateur!DB85*Calculateur!DD85*VLOOKUP('Données projet'!$B$13,Paramètres!$A$1:$I$89,3,0)*0.475*44/12</f>
        <v>0</v>
      </c>
      <c r="DH85" s="21">
        <f>EXP(-LN(2)/2)*DH84+(1-EXP(-LN(2)/2))/(LN(2)/2)*DB85*DE85*VLOOKUP('Données projet'!$B$13,Paramètres!$A$1:$I$89,3,0)*0.475*44/12</f>
        <v>0</v>
      </c>
      <c r="DI85" s="22">
        <f t="shared" si="69"/>
        <v>0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9.0769230769230749</v>
      </c>
      <c r="DO85" s="12">
        <f>IF('Données projet'!$A$166&gt;35,DO84+DN85-DW84,IF(A85&lt;'Données projet'!$A$166,$DL$205^A85,IF(A85='Données projet'!$A$166,'Données projet'!$B$166,DO84+DN85-DW84)))</f>
        <v>251.230769230769</v>
      </c>
      <c r="DP85" s="17">
        <f>DO85*VLOOKUP('Données projet'!$B$14,Paramètres!$A$1:$I$89,3,0)*VLOOKUP('Données projet'!$B$14,Paramètres!$A$1:$I$89,5,0)</f>
        <v>120.8419999999999</v>
      </c>
      <c r="DQ85" s="13">
        <f t="shared" si="97"/>
        <v>31.871301978751884</v>
      </c>
      <c r="DR85" s="20">
        <f t="shared" si="70"/>
        <v>265.97566761299265</v>
      </c>
      <c r="DS85" s="59">
        <f t="shared" si="71"/>
        <v>559.30900094632602</v>
      </c>
      <c r="DT85" s="59">
        <f ca="1">AVERAGE(OFFSET($DS$3,0,0,'Données projet'!$E$14+1,1))-AVERAGE(OFFSET($H$3,0,0,'Données projet'!$E$14+1,1))</f>
        <v>91.053246648097399</v>
      </c>
      <c r="DU85" s="59">
        <f t="shared" si="98"/>
        <v>64.716270355703955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>
        <f>EXP(-LN(2)/35)*EA84+(1-EXP(-LN(2)/35))/(LN(2)/35)*DW85*DX85*VLOOKUP('Données projet'!$B$14,Paramètres!$A$1:$I$89,3,0)*0.475*44/12</f>
        <v>0</v>
      </c>
      <c r="EB85" s="21">
        <f>EXP(-LN(2)/25)*EB84+(1-EXP(-LN(2)/25))/(LN(2)/25)*Calculateur!DW85*Calculateur!DY85*VLOOKUP('Données projet'!$B$14,Paramètres!$A$1:$I$89,3,0)*0.475*44/12</f>
        <v>0</v>
      </c>
      <c r="EC85" s="21">
        <f>EXP(-LN(2)/2)*EC84+(1-EXP(-LN(2)/2))/(LN(2)/2)*DW85*DZ85*VLOOKUP('Données projet'!$B$14,Paramètres!$A$1:$I$89,3,0)*0.475*44/12</f>
        <v>0</v>
      </c>
      <c r="ED85" s="22">
        <f t="shared" si="72"/>
        <v>0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12.5</v>
      </c>
      <c r="EJ85" s="12">
        <f>IF('Données projet'!$A$192&gt;35,EJ84+EI85-ER84,IF(A85&lt;'Données projet'!$A$192,$EG$205^A85,IF(A85='Données projet'!$A$192,'Données projet'!$B$192,EJ84+EI85-ER84)))</f>
        <v>536.99999999999955</v>
      </c>
      <c r="EK85" s="17">
        <f>EJ85*VLOOKUP('Données projet'!$B$15,Paramètres!$A$1:$I$89,3,0)*VLOOKUP('Données projet'!$B$15,Paramètres!$A$1:$I$89,5,0)</f>
        <v>321.12599999999975</v>
      </c>
      <c r="EL85" s="13">
        <f t="shared" si="99"/>
        <v>75.587591944000252</v>
      </c>
      <c r="EM85" s="20">
        <f t="shared" si="73"/>
        <v>690.94283930246672</v>
      </c>
      <c r="EN85" s="59">
        <f t="shared" si="74"/>
        <v>984.27617263580009</v>
      </c>
      <c r="EO85" s="59">
        <f ca="1">AVERAGE(OFFSET($EN$3,0,0,'Données projet'!$E$15+1,1))-AVERAGE(OFFSET($H$3,0,0,'Données projet'!$E$15+1,1))</f>
        <v>316.58509520829671</v>
      </c>
      <c r="EP85" s="59">
        <f t="shared" si="100"/>
        <v>240.71332110643596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>
        <f>EXP(-LN(2)/35)*EV84+(1-EXP(-LN(2)/35))/(LN(2)/35)*ER85*ES85*VLOOKUP('Données projet'!$B$15,Paramètres!$A$1:$I$89,3,0)*0.475*44/12</f>
        <v>0.90501512615287238</v>
      </c>
      <c r="EW85" s="21">
        <f>EXP(-LN(2)/25)*EW84+(1-EXP(-LN(2)/25))/(LN(2)/25)*Calculateur!ER85*Calculateur!ET85*VLOOKUP('Données projet'!$B$15,Paramètres!$A$1:$I$89,3,0)*0.475*44/12</f>
        <v>3.6110847059163662</v>
      </c>
      <c r="EX85" s="21">
        <f>EXP(-LN(2)/2)*EX84+(1-EXP(-LN(2)/2))/(LN(2)/2)*ER85*EU85*VLOOKUP('Données projet'!$B$15,Paramètres!$A$1:$I$89,3,0)*0.475*44/12</f>
        <v>3.2692168757529371E-7</v>
      </c>
      <c r="EY85" s="22">
        <f t="shared" si="75"/>
        <v>4.5161001589909269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10.8</v>
      </c>
      <c r="FE85" s="12">
        <f>IF('Données projet'!$A$218&gt;35,FE84+FD85-FM84,IF(A85&lt;'Données projet'!$A$218,$FB$205^A85,IF(A85='Données projet'!$A$218,'Données projet'!$B$218,FE84+FD85-FM84)))</f>
        <v>480.60000000000019</v>
      </c>
      <c r="FF85" s="17">
        <f>FE85*VLOOKUP('Données projet'!$B$16,Paramètres!$A$1:$I$89,3,0)*VLOOKUP('Données projet'!$B$16,Paramètres!$A$1:$I$89,5,0)</f>
        <v>287.39880000000016</v>
      </c>
      <c r="FG85" s="13">
        <f t="shared" si="101"/>
        <v>68.528206713592894</v>
      </c>
      <c r="FH85" s="20">
        <f t="shared" si="76"/>
        <v>619.90620335950791</v>
      </c>
      <c r="FI85" s="59">
        <f t="shared" si="77"/>
        <v>913.23953669284128</v>
      </c>
      <c r="FJ85" s="59">
        <f ca="1">AVERAGE(OFFSET($FI$3,0,0,'Données projet'!$E$16+1,1))-AVERAGE(OFFSET($H$3,0,0,'Données projet'!$E$16+1,1))</f>
        <v>270.30888762640245</v>
      </c>
      <c r="FK85" s="59">
        <f t="shared" si="102"/>
        <v>202.23783851977691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>
        <f>EXP(-LN(2)/35)*FQ84+(1-EXP(-LN(2)/35))/(LN(2)/35)*FM85*FN85*VLOOKUP('Données projet'!$B$16,Paramètres!$A$1:$I$89,3,0)*0.475*44/12</f>
        <v>0.76480151505876526</v>
      </c>
      <c r="FR85" s="21">
        <f>EXP(-LN(2)/25)*FR84+(1-EXP(-LN(2)/25))/(LN(2)/25)*Calculateur!FM85*Calculateur!FO85*VLOOKUP('Données projet'!$B$16,Paramètres!$A$1:$I$89,3,0)*0.475*44/12</f>
        <v>2.9079939273578486</v>
      </c>
      <c r="FS85" s="21">
        <f>EXP(-LN(2)/2)*FS84+(1-EXP(-LN(2)/2))/(LN(2)/2)*FM85*FP85*VLOOKUP('Données projet'!$B$16,Paramètres!$A$1:$I$89,3,0)*0.475*44/12</f>
        <v>2.7556134144161022E-7</v>
      </c>
      <c r="FT85" s="22">
        <f t="shared" si="78"/>
        <v>3.6727957179779551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-5.1159076974727213E-13</v>
      </c>
      <c r="GA85" s="17">
        <f>FZ85*VLOOKUP('Données projet'!$B$17,Paramètres!$A$1:$I$89,3,0)*VLOOKUP('Données projet'!$B$17,Paramètres!$A$1:$I$89,5,0)</f>
        <v>-4.0702161641092972E-13</v>
      </c>
      <c r="GB85" s="13" t="e">
        <f t="shared" si="103"/>
        <v>#NUM!</v>
      </c>
      <c r="GC85" s="20" t="e">
        <f t="shared" si="79"/>
        <v>#NUM!</v>
      </c>
      <c r="GD85" s="59" t="e">
        <f t="shared" si="80"/>
        <v>#NUM!</v>
      </c>
      <c r="GE85" s="59">
        <f ca="1">AVERAGE(OFFSET($GD$3,0,0,'Données projet'!$E$17+1,1))-AVERAGE(OFFSET($H$3,0,0,'Données projet'!$E$17+1,1))</f>
        <v>260.20517190557814</v>
      </c>
      <c r="GF85" s="59">
        <f t="shared" si="104"/>
        <v>307.22009971147133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>
        <f>EXP(-LN(2)/35)*GL84+(1-EXP(-LN(2)/35))/(LN(2)/35)*GH85*GI85*VLOOKUP('Données projet'!$B$17,Paramètres!$A$1:$I$89,3,0)*0.475*44/12</f>
        <v>1.1651215351390423</v>
      </c>
      <c r="GM85" s="21">
        <f>EXP(-LN(2)/25)*GM84+(1-EXP(-LN(2)/25))/(LN(2)/25)*Calculateur!GH85*Calculateur!GJ85*VLOOKUP('Données projet'!$B$17,Paramètres!$A$1:$I$89,3,0)*0.475*44/12</f>
        <v>4.8531817663913932</v>
      </c>
      <c r="GN85" s="21">
        <f>EXP(-LN(2)/2)*GN84+(1-EXP(-LN(2)/2))/(LN(2)/2)*GH85*GK85*VLOOKUP('Données projet'!$B$17,Paramètres!$A$1:$I$89,3,0)*0.475*44/12</f>
        <v>3.5820952434476146E-7</v>
      </c>
      <c r="GO85" s="21">
        <f t="shared" si="81"/>
        <v>6.01830365973996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5.6843418860808015E-14</v>
      </c>
      <c r="GV85" s="17">
        <f>GU85*VLOOKUP('Données projet'!$B$18,Paramètres!$A$1:$I$89,3,0)*VLOOKUP('Données projet'!$B$18,Paramètres!$A$1:$I$89,5,0)</f>
        <v>4.5224624045658861E-14</v>
      </c>
      <c r="GW85" s="13">
        <f t="shared" si="105"/>
        <v>7.4514601661523691E-13</v>
      </c>
      <c r="GX85" s="20">
        <f t="shared" si="82"/>
        <v>1.3765621991510601E-12</v>
      </c>
      <c r="GY85" s="59">
        <f t="shared" si="83"/>
        <v>293.33333333333468</v>
      </c>
      <c r="GZ85" s="59">
        <f ca="1">AVERAGE(OFFSET($GY$3,0,0,'Données projet'!$E$18+1,1))-AVERAGE(OFFSET($H$3,0,0,'Données projet'!$E$18+1,1))</f>
        <v>199.58763537752952</v>
      </c>
      <c r="HA85" s="59">
        <f t="shared" si="106"/>
        <v>242.62852778451929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>
        <f>EXP(-LN(2)/35)*HG84+(1-EXP(-LN(2)/35))/(LN(2)/35)*HC85*HD85*VLOOKUP('Données projet'!$B$18,Paramètres!$A$1:$I$89,3,0)*0.475*44/12</f>
        <v>0</v>
      </c>
      <c r="HH85" s="21">
        <f>EXP(-LN(2)/25)*HH84+(1-EXP(-LN(2)/25))/(LN(2)/25)*Calculateur!HC85*Calculateur!HE85*VLOOKUP('Données projet'!$B$18,Paramètres!$A$1:$I$89,3,0)*0.475*44/12</f>
        <v>2.4320721299966066</v>
      </c>
      <c r="HI85" s="21">
        <f>EXP(-LN(2)/2)*HI84+(1-EXP(-LN(2)/2))/(LN(2)/2)*HC85*HF85*VLOOKUP('Données projet'!$B$18,Paramètres!$A$1:$I$89,3,0)*0.475*44/12</f>
        <v>1.6035971631437868E-7</v>
      </c>
      <c r="HJ85" s="22">
        <f t="shared" si="84"/>
        <v>2.4320722903563228</v>
      </c>
    </row>
    <row r="86" spans="1:218" x14ac:dyDescent="0.2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73.803600000000102</v>
      </c>
      <c r="D86" s="11">
        <f t="shared" si="86"/>
        <v>20.615097106698798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728.8460829289038</v>
      </c>
      <c r="H86" s="67">
        <f t="shared" si="56"/>
        <v>457.77923079416723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-2.2737367544323206E-13</v>
      </c>
      <c r="O86" s="13">
        <f>N86*VLOOKUP('Données projet'!$B$9,Paramètres!$A$1:$I$89,3,0)*VLOOKUP('Données projet'!$B$9,Paramètres!$A$1:$I$89,5,0)</f>
        <v>-1.2710188457276673E-13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255.5374979188561</v>
      </c>
      <c r="T86" s="59">
        <f t="shared" si="88"/>
        <v>343.10418468620901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1.0817298106549151</v>
      </c>
      <c r="AA86" s="21">
        <f>EXP(-LN(2)/25)*AA85+(1-EXP(-LN(2)/25))/(LN(2)/25)*Calculateur!V86*Calculateur!X86*VLOOKUP('Données projet'!$B$9,Paramètres!$A$1:$I$89,3,0)*0.475*44/12</f>
        <v>3.6716083381113855</v>
      </c>
      <c r="AB86" s="21">
        <f>EXP(-LN(2)/2)*AB85+(1-EXP(-LN(2)/2))/(LN(2)/2)*V86*Y86*VLOOKUP('Données projet'!$B$9,Paramètres!$A$1:$I$89,3,0)*0.475*44/12</f>
        <v>1.7834987693600072E-8</v>
      </c>
      <c r="AC86" s="22">
        <f t="shared" si="57"/>
        <v>4.7533381666012886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1.1368683772161603E-13</v>
      </c>
      <c r="AJ86" s="13">
        <f>AI86*VLOOKUP('Données projet'!$B$10,Paramètres!$A$1:$I$89,3,0)*VLOOKUP('Données projet'!$B$10,Paramètres!$A$1:$I$89,5,0)</f>
        <v>6.3550942286383367E-14</v>
      </c>
      <c r="AK86" s="13">
        <f t="shared" si="89"/>
        <v>1.0064464192543978E-12</v>
      </c>
      <c r="AL86" s="20">
        <f t="shared" si="58"/>
        <v>1.8635787380168604E-12</v>
      </c>
      <c r="AM86" s="59">
        <f t="shared" si="59"/>
        <v>293.33333333333519</v>
      </c>
      <c r="AN86" s="59">
        <f ca="1">AVERAGE(OFFSET($AM$3,0,0,'Données projet'!$E$10+1,1))-AVERAGE(OFFSET($H$3,0,0,'Données projet'!$E$10+1,1))</f>
        <v>224.7049802939942</v>
      </c>
      <c r="AO86" s="59">
        <f t="shared" si="90"/>
        <v>203.48513862195352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0.78106179072842086</v>
      </c>
      <c r="AV86" s="21">
        <f>EXP(-LN(2)/25)*AV85+(1-EXP(-LN(2)/25))/(LN(2)/25)*Calculateur!AQ86*Calculateur!AS86*VLOOKUP('Données projet'!$B$10,Paramètres!$A$1:$I$89,3,0)*0.475*44/12</f>
        <v>4.4915572810319278</v>
      </c>
      <c r="AW86" s="21">
        <f>EXP(-LN(2)/2)*AW85+(1-EXP(-LN(2)/2))/(LN(2)/2)*AQ86*AT86*VLOOKUP('Données projet'!$B$10,Paramètres!$A$1:$I$89,3,0)*0.475*44/12</f>
        <v>9.4415395360348944E-8</v>
      </c>
      <c r="AX86" s="21">
        <f t="shared" si="60"/>
        <v>5.272619166175744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>
        <f>BD86*VLOOKUP('Données projet'!$B$11,Paramètres!$A$1:$I$89,3,0)*VLOOKUP('Données projet'!$B$11,Paramètres!$A$1:$I$89,5,0)</f>
        <v>0</v>
      </c>
      <c r="BF86" s="13" t="e">
        <f t="shared" si="91"/>
        <v>#NUM!</v>
      </c>
      <c r="BG86" s="20" t="e">
        <f t="shared" si="61"/>
        <v>#NUM!</v>
      </c>
      <c r="BH86" s="59" t="e">
        <f t="shared" si="62"/>
        <v>#NUM!</v>
      </c>
      <c r="BI86" s="59">
        <f ca="1">AVERAGE(OFFSET($BH$3,0,0,'Données projet'!$E$11+1,1))-AVERAGE(OFFSET($H$3,0,0,'Données projet'!$E$11+1,1))</f>
        <v>210.04871822652808</v>
      </c>
      <c r="BJ86" s="59">
        <f t="shared" si="92"/>
        <v>250.17540614049324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2.5558543977554744</v>
      </c>
      <c r="BQ86" s="21">
        <f>EXP(-LN(2)/25)*BQ85+(1-EXP(-LN(2)/25))/(LN(2)/25)*Calculateur!BL86*Calculateur!BN86*VLOOKUP('Données projet'!$B$11,Paramètres!$A$1:$I$89,3,0)*0.475*44/12</f>
        <v>6.4023697370549053</v>
      </c>
      <c r="BR86" s="21">
        <f>EXP(-LN(2)/2)*BR85+(1-EXP(-LN(2)/2))/(LN(2)/2)*BL86*BO86*VLOOKUP('Données projet'!$B$11,Paramètres!$A$1:$I$89,3,0)*0.475*44/12</f>
        <v>2.2710712085845681E-7</v>
      </c>
      <c r="BS86" s="22">
        <f t="shared" si="63"/>
        <v>8.9582243619174999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2.2737367544323206E-13</v>
      </c>
      <c r="BZ86" s="13">
        <f>BY86*VLOOKUP('Données projet'!$B$12,Paramètres!$A$1:$I$89,3,0)*VLOOKUP('Données projet'!$B$12,Paramètres!$A$1:$I$89,5,0)</f>
        <v>1.2414602679200471E-13</v>
      </c>
      <c r="CA86" s="13">
        <f t="shared" si="93"/>
        <v>1.8186582995804361E-12</v>
      </c>
      <c r="CB86" s="20">
        <f t="shared" si="64"/>
        <v>3.3837175350986671E-12</v>
      </c>
      <c r="CC86" s="59">
        <f t="shared" si="65"/>
        <v>293.33333333333672</v>
      </c>
      <c r="CD86" s="59">
        <f ca="1">AVERAGE(OFFSET($CC$3,0,0,'Données projet'!$E$12+1,1))-AVERAGE(OFFSET($H$3,0,0,'Données projet'!$E$12+1,1))</f>
        <v>168.72306536277267</v>
      </c>
      <c r="CE86" s="59">
        <f t="shared" si="94"/>
        <v>203.35476578922339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1.0649393323981142</v>
      </c>
      <c r="CL86" s="21">
        <f>EXP(-LN(2)/25)*CL85+(1-EXP(-LN(2)/25))/(LN(2)/25)*Calculateur!CG86*Calculateur!CI86*VLOOKUP('Données projet'!$B$12,Paramètres!$A$1:$I$89,3,0)*0.475*44/12</f>
        <v>5.2876332440832261</v>
      </c>
      <c r="CM86" s="21">
        <f>EXP(-LN(2)/2)*CM85+(1-EXP(-LN(2)/2))/(LN(2)/2)*CG86*CJ86*VLOOKUP('Données projet'!$B$12,Paramètres!$A$1:$I$89,3,0)*0.475*44/12</f>
        <v>2.1098550754664337E-7</v>
      </c>
      <c r="CN86" s="22">
        <f t="shared" si="66"/>
        <v>6.3525727874668476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20.769230769230774</v>
      </c>
      <c r="CT86" s="12">
        <f>IF('Données projet'!$A$140&gt;35,CT85+CS86-DB85,IF(A86&lt;'Données projet'!$A$140,$CQ$205^A86,IF(A86='Données projet'!$A$140,'Données projet'!$B$140,CT85+CS86-DB85)))</f>
        <v>581.53846153846143</v>
      </c>
      <c r="CU86" s="17">
        <f>CT86*VLOOKUP('Données projet'!$B$13,Paramètres!$A$1:$I$89,3,0)*VLOOKUP('Données projet'!$B$13,Paramètres!$A$1:$I$89,5,0)</f>
        <v>279.71999999999997</v>
      </c>
      <c r="CV86" s="13">
        <f t="shared" si="95"/>
        <v>66.907833386965152</v>
      </c>
      <c r="CW86" s="20">
        <f t="shared" si="67"/>
        <v>603.71014314896422</v>
      </c>
      <c r="CX86" s="59">
        <f t="shared" si="68"/>
        <v>897.04347648229759</v>
      </c>
      <c r="CY86" s="59">
        <f ca="1">AVERAGE(OFFSET($CX$3,0,0,'Données projet'!$E$13+1,1))-AVERAGE(OFFSET($H$3,0,0,'Données projet'!$E$13+1,1))</f>
        <v>304.15237106473313</v>
      </c>
      <c r="CZ86" s="59">
        <f t="shared" si="96"/>
        <v>120.85458928724336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>
        <f>EXP(-LN(2)/35)*DF85+(1-EXP(-LN(2)/35))/(LN(2)/35)*DB86*DC86*VLOOKUP('Données projet'!$B$13,Paramètres!$A$1:$I$89,3,0)*0.475*44/12</f>
        <v>0</v>
      </c>
      <c r="DG86" s="21">
        <f>EXP(-LN(2)/25)*DG85+(1-EXP(-LN(2)/25))/(LN(2)/25)*Calculateur!DB86*Calculateur!DD86*VLOOKUP('Données projet'!$B$13,Paramètres!$A$1:$I$89,3,0)*0.475*44/12</f>
        <v>0</v>
      </c>
      <c r="DH86" s="21">
        <f>EXP(-LN(2)/2)*DH85+(1-EXP(-LN(2)/2))/(LN(2)/2)*DB86*DE86*VLOOKUP('Données projet'!$B$13,Paramètres!$A$1:$I$89,3,0)*0.475*44/12</f>
        <v>0</v>
      </c>
      <c r="DI86" s="22">
        <f t="shared" si="69"/>
        <v>0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9.0769230769230749</v>
      </c>
      <c r="DO86" s="12">
        <f>IF('Données projet'!$A$166&gt;35,DO85+DN86-DW85,IF(A86&lt;'Données projet'!$A$166,$DL$205^A86,IF(A86='Données projet'!$A$166,'Données projet'!$B$166,DO85+DN86-DW85)))</f>
        <v>260.30769230769209</v>
      </c>
      <c r="DP86" s="17">
        <f>DO86*VLOOKUP('Données projet'!$B$14,Paramètres!$A$1:$I$89,3,0)*VLOOKUP('Données projet'!$B$14,Paramètres!$A$1:$I$89,5,0)</f>
        <v>125.2079999999999</v>
      </c>
      <c r="DQ86" s="13">
        <f t="shared" si="97"/>
        <v>32.886660076177087</v>
      </c>
      <c r="DR86" s="20">
        <f t="shared" si="70"/>
        <v>275.34819963267495</v>
      </c>
      <c r="DS86" s="59">
        <f t="shared" si="71"/>
        <v>568.68153296600826</v>
      </c>
      <c r="DT86" s="59">
        <f ca="1">AVERAGE(OFFSET($DS$3,0,0,'Données projet'!$E$14+1,1))-AVERAGE(OFFSET($H$3,0,0,'Données projet'!$E$14+1,1))</f>
        <v>91.053246648097399</v>
      </c>
      <c r="DU86" s="59">
        <f t="shared" si="98"/>
        <v>64.716270355703955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>
        <f>EXP(-LN(2)/35)*EA85+(1-EXP(-LN(2)/35))/(LN(2)/35)*DW86*DX86*VLOOKUP('Données projet'!$B$14,Paramètres!$A$1:$I$89,3,0)*0.475*44/12</f>
        <v>0</v>
      </c>
      <c r="EB86" s="21">
        <f>EXP(-LN(2)/25)*EB85+(1-EXP(-LN(2)/25))/(LN(2)/25)*Calculateur!DW86*Calculateur!DY86*VLOOKUP('Données projet'!$B$14,Paramètres!$A$1:$I$89,3,0)*0.475*44/12</f>
        <v>0</v>
      </c>
      <c r="EC86" s="21">
        <f>EXP(-LN(2)/2)*EC85+(1-EXP(-LN(2)/2))/(LN(2)/2)*DW86*DZ86*VLOOKUP('Données projet'!$B$14,Paramètres!$A$1:$I$89,3,0)*0.475*44/12</f>
        <v>0</v>
      </c>
      <c r="ED86" s="22">
        <f t="shared" si="72"/>
        <v>0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12.5</v>
      </c>
      <c r="EJ86" s="12">
        <f>IF('Données projet'!$A$192&gt;35,EJ85+EI86-ER85,IF(A86&lt;'Données projet'!$A$192,$EG$205^A86,IF(A86='Données projet'!$A$192,'Données projet'!$B$192,EJ85+EI86-ER85)))</f>
        <v>549.49999999999955</v>
      </c>
      <c r="EK86" s="17">
        <f>EJ86*VLOOKUP('Données projet'!$B$15,Paramètres!$A$1:$I$89,3,0)*VLOOKUP('Données projet'!$B$15,Paramètres!$A$1:$I$89,5,0)</f>
        <v>328.60099999999977</v>
      </c>
      <c r="EL86" s="13">
        <f t="shared" si="99"/>
        <v>77.140187101009843</v>
      </c>
      <c r="EM86" s="20">
        <f t="shared" si="73"/>
        <v>706.66590086759163</v>
      </c>
      <c r="EN86" s="59">
        <f t="shared" si="74"/>
        <v>999.999234200925</v>
      </c>
      <c r="EO86" s="59">
        <f ca="1">AVERAGE(OFFSET($EN$3,0,0,'Données projet'!$E$15+1,1))-AVERAGE(OFFSET($H$3,0,0,'Données projet'!$E$15+1,1))</f>
        <v>316.58509520829671</v>
      </c>
      <c r="EP86" s="59">
        <f t="shared" si="100"/>
        <v>240.71332110643596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>
        <f>EXP(-LN(2)/35)*EV85+(1-EXP(-LN(2)/35))/(LN(2)/35)*ER86*ES86*VLOOKUP('Données projet'!$B$15,Paramètres!$A$1:$I$89,3,0)*0.475*44/12</f>
        <v>0.88726833153373552</v>
      </c>
      <c r="EW86" s="21">
        <f>EXP(-LN(2)/25)*EW85+(1-EXP(-LN(2)/25))/(LN(2)/25)*Calculateur!ER86*Calculateur!ET86*VLOOKUP('Données projet'!$B$15,Paramètres!$A$1:$I$89,3,0)*0.475*44/12</f>
        <v>3.5123394047343917</v>
      </c>
      <c r="EX86" s="21">
        <f>EXP(-LN(2)/2)*EX85+(1-EXP(-LN(2)/2))/(LN(2)/2)*ER86*EU86*VLOOKUP('Données projet'!$B$15,Paramètres!$A$1:$I$89,3,0)*0.475*44/12</f>
        <v>2.3116854220144008E-7</v>
      </c>
      <c r="EY86" s="22">
        <f t="shared" si="75"/>
        <v>4.399607967436669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10.8</v>
      </c>
      <c r="FE86" s="12">
        <f>IF('Données projet'!$A$218&gt;35,FE85+FD86-FM85,IF(A86&lt;'Données projet'!$A$218,$FB$205^A86,IF(A86='Données projet'!$A$218,'Données projet'!$B$218,FE85+FD86-FM85)))</f>
        <v>491.4000000000002</v>
      </c>
      <c r="FF86" s="17">
        <f>FE86*VLOOKUP('Données projet'!$B$16,Paramètres!$A$1:$I$89,3,0)*VLOOKUP('Données projet'!$B$16,Paramètres!$A$1:$I$89,5,0)</f>
        <v>293.85720000000015</v>
      </c>
      <c r="FG86" s="13">
        <f t="shared" si="101"/>
        <v>69.887150190339838</v>
      </c>
      <c r="FH86" s="20">
        <f t="shared" si="76"/>
        <v>633.52140991484214</v>
      </c>
      <c r="FI86" s="59">
        <f t="shared" si="77"/>
        <v>926.85474324817551</v>
      </c>
      <c r="FJ86" s="59">
        <f ca="1">AVERAGE(OFFSET($FI$3,0,0,'Données projet'!$E$16+1,1))-AVERAGE(OFFSET($H$3,0,0,'Données projet'!$E$16+1,1))</f>
        <v>270.30888762640245</v>
      </c>
      <c r="FK86" s="59">
        <f t="shared" si="102"/>
        <v>202.23783851977691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>
        <f>EXP(-LN(2)/35)*FQ85+(1-EXP(-LN(2)/35))/(LN(2)/35)*FM86*FN86*VLOOKUP('Données projet'!$B$16,Paramètres!$A$1:$I$89,3,0)*0.475*44/12</f>
        <v>0.74980422383132572</v>
      </c>
      <c r="FR86" s="21">
        <f>EXP(-LN(2)/25)*FR85+(1-EXP(-LN(2)/25))/(LN(2)/25)*Calculateur!FM86*Calculateur!FO86*VLOOKUP('Données projet'!$B$16,Paramètres!$A$1:$I$89,3,0)*0.475*44/12</f>
        <v>2.828474680489494</v>
      </c>
      <c r="FS86" s="21">
        <f>EXP(-LN(2)/2)*FS85+(1-EXP(-LN(2)/2))/(LN(2)/2)*FM86*FP86*VLOOKUP('Données projet'!$B$16,Paramètres!$A$1:$I$89,3,0)*0.475*44/12</f>
        <v>1.9485129316622419E-7</v>
      </c>
      <c r="FT86" s="22">
        <f t="shared" si="78"/>
        <v>3.578279099172113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-5.1159076974727213E-13</v>
      </c>
      <c r="GA86" s="17">
        <f>FZ86*VLOOKUP('Données projet'!$B$17,Paramètres!$A$1:$I$89,3,0)*VLOOKUP('Données projet'!$B$17,Paramètres!$A$1:$I$89,5,0)</f>
        <v>-4.0702161641092972E-13</v>
      </c>
      <c r="GB86" s="13" t="e">
        <f t="shared" si="103"/>
        <v>#NUM!</v>
      </c>
      <c r="GC86" s="20" t="e">
        <f t="shared" si="79"/>
        <v>#NUM!</v>
      </c>
      <c r="GD86" s="59" t="e">
        <f t="shared" si="80"/>
        <v>#NUM!</v>
      </c>
      <c r="GE86" s="59">
        <f ca="1">AVERAGE(OFFSET($GD$3,0,0,'Données projet'!$E$17+1,1))-AVERAGE(OFFSET($H$3,0,0,'Données projet'!$E$17+1,1))</f>
        <v>260.20517190557814</v>
      </c>
      <c r="GF86" s="59">
        <f t="shared" si="104"/>
        <v>307.22009971147133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>
        <f>EXP(-LN(2)/35)*GL85+(1-EXP(-LN(2)/35))/(LN(2)/35)*GH86*GI86*VLOOKUP('Données projet'!$B$17,Paramètres!$A$1:$I$89,3,0)*0.475*44/12</f>
        <v>1.1422742124889309</v>
      </c>
      <c r="GM86" s="21">
        <f>EXP(-LN(2)/25)*GM85+(1-EXP(-LN(2)/25))/(LN(2)/25)*Calculateur!GH86*Calculateur!GJ86*VLOOKUP('Données projet'!$B$17,Paramètres!$A$1:$I$89,3,0)*0.475*44/12</f>
        <v>4.7204712557716837</v>
      </c>
      <c r="GN86" s="21">
        <f>EXP(-LN(2)/2)*GN85+(1-EXP(-LN(2)/2))/(LN(2)/2)*GH86*GK86*VLOOKUP('Données projet'!$B$17,Paramètres!$A$1:$I$89,3,0)*0.475*44/12</f>
        <v>2.5329238374978851E-7</v>
      </c>
      <c r="GO86" s="21">
        <f t="shared" si="81"/>
        <v>5.8627457215529981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5.6843418860808015E-14</v>
      </c>
      <c r="GV86" s="17">
        <f>GU86*VLOOKUP('Données projet'!$B$18,Paramètres!$A$1:$I$89,3,0)*VLOOKUP('Données projet'!$B$18,Paramètres!$A$1:$I$89,5,0)</f>
        <v>4.5224624045658861E-14</v>
      </c>
      <c r="GW86" s="13">
        <f t="shared" si="105"/>
        <v>7.4514601661523691E-13</v>
      </c>
      <c r="GX86" s="20">
        <f t="shared" si="82"/>
        <v>1.3765621991510601E-12</v>
      </c>
      <c r="GY86" s="59">
        <f t="shared" si="83"/>
        <v>293.33333333333468</v>
      </c>
      <c r="GZ86" s="59">
        <f ca="1">AVERAGE(OFFSET($GY$3,0,0,'Données projet'!$E$18+1,1))-AVERAGE(OFFSET($H$3,0,0,'Données projet'!$E$18+1,1))</f>
        <v>199.58763537752952</v>
      </c>
      <c r="HA86" s="59">
        <f t="shared" si="106"/>
        <v>242.62852778451929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>
        <f>EXP(-LN(2)/35)*HG85+(1-EXP(-LN(2)/35))/(LN(2)/35)*HC86*HD86*VLOOKUP('Données projet'!$B$18,Paramètres!$A$1:$I$89,3,0)*0.475*44/12</f>
        <v>0</v>
      </c>
      <c r="HH86" s="21">
        <f>EXP(-LN(2)/25)*HH85+(1-EXP(-LN(2)/25))/(LN(2)/25)*Calculateur!HC86*Calculateur!HE86*VLOOKUP('Données projet'!$B$18,Paramètres!$A$1:$I$89,3,0)*0.475*44/12</f>
        <v>2.3655669897047344</v>
      </c>
      <c r="HI86" s="21">
        <f>EXP(-LN(2)/2)*HI85+(1-EXP(-LN(2)/2))/(LN(2)/2)*HC86*HF86*VLOOKUP('Données projet'!$B$18,Paramètres!$A$1:$I$89,3,0)*0.475*44/12</f>
        <v>1.133914428350482E-7</v>
      </c>
      <c r="HJ86" s="22">
        <f t="shared" si="84"/>
        <v>2.3655671030961773</v>
      </c>
    </row>
    <row r="87" spans="1:218" x14ac:dyDescent="0.2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74.692800000000105</v>
      </c>
      <c r="D87" s="11">
        <f t="shared" si="86"/>
        <v>20.834407756242857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737.40300724117378</v>
      </c>
      <c r="H87" s="67">
        <f t="shared" si="56"/>
        <v>459.70988684212313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-2.2737367544323206E-13</v>
      </c>
      <c r="O87" s="13">
        <f>N87*VLOOKUP('Données projet'!$B$9,Paramètres!$A$1:$I$89,3,0)*VLOOKUP('Données projet'!$B$9,Paramètres!$A$1:$I$89,5,0)</f>
        <v>-1.2710188457276673E-13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255.5374979188561</v>
      </c>
      <c r="T87" s="59">
        <f t="shared" si="88"/>
        <v>343.10418468620901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1.060517748858008</v>
      </c>
      <c r="AA87" s="21">
        <f>EXP(-LN(2)/25)*AA86+(1-EXP(-LN(2)/25))/(LN(2)/25)*Calculateur!V87*Calculateur!X87*VLOOKUP('Données projet'!$B$9,Paramètres!$A$1:$I$89,3,0)*0.475*44/12</f>
        <v>3.5712080150242387</v>
      </c>
      <c r="AB87" s="21">
        <f>EXP(-LN(2)/2)*AB86+(1-EXP(-LN(2)/2))/(LN(2)/2)*V87*Y87*VLOOKUP('Données projet'!$B$9,Paramètres!$A$1:$I$89,3,0)*0.475*44/12</f>
        <v>1.2611240740523234E-8</v>
      </c>
      <c r="AC87" s="22">
        <f t="shared" si="57"/>
        <v>4.6317257764934876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1.1368683772161603E-13</v>
      </c>
      <c r="AJ87" s="13">
        <f>AI87*VLOOKUP('Données projet'!$B$10,Paramètres!$A$1:$I$89,3,0)*VLOOKUP('Données projet'!$B$10,Paramètres!$A$1:$I$89,5,0)</f>
        <v>6.3550942286383367E-14</v>
      </c>
      <c r="AK87" s="13">
        <f t="shared" si="89"/>
        <v>1.0064464192543978E-12</v>
      </c>
      <c r="AL87" s="20">
        <f t="shared" si="58"/>
        <v>1.8635787380168604E-12</v>
      </c>
      <c r="AM87" s="59">
        <f t="shared" si="59"/>
        <v>293.33333333333519</v>
      </c>
      <c r="AN87" s="59">
        <f ca="1">AVERAGE(OFFSET($AM$3,0,0,'Données projet'!$E$10+1,1))-AVERAGE(OFFSET($H$3,0,0,'Données projet'!$E$10+1,1))</f>
        <v>224.7049802939942</v>
      </c>
      <c r="AO87" s="59">
        <f t="shared" si="90"/>
        <v>203.48513862195352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0.76574564541288825</v>
      </c>
      <c r="AV87" s="21">
        <f>EXP(-LN(2)/25)*AV86+(1-EXP(-LN(2)/25))/(LN(2)/25)*Calculateur!AQ87*Calculateur!AS87*VLOOKUP('Données projet'!$B$10,Paramètres!$A$1:$I$89,3,0)*0.475*44/12</f>
        <v>4.3687354109813779</v>
      </c>
      <c r="AW87" s="21">
        <f>EXP(-LN(2)/2)*AW86+(1-EXP(-LN(2)/2))/(LN(2)/2)*AQ87*AT87*VLOOKUP('Données projet'!$B$10,Paramètres!$A$1:$I$89,3,0)*0.475*44/12</f>
        <v>6.6761766307711635E-8</v>
      </c>
      <c r="AX87" s="21">
        <f t="shared" si="60"/>
        <v>5.1344811231560321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>
        <f>BD87*VLOOKUP('Données projet'!$B$11,Paramètres!$A$1:$I$89,3,0)*VLOOKUP('Données projet'!$B$11,Paramètres!$A$1:$I$89,5,0)</f>
        <v>0</v>
      </c>
      <c r="BF87" s="13" t="e">
        <f t="shared" si="91"/>
        <v>#NUM!</v>
      </c>
      <c r="BG87" s="20" t="e">
        <f t="shared" si="61"/>
        <v>#NUM!</v>
      </c>
      <c r="BH87" s="59" t="e">
        <f t="shared" si="62"/>
        <v>#NUM!</v>
      </c>
      <c r="BI87" s="59">
        <f ca="1">AVERAGE(OFFSET($BH$3,0,0,'Données projet'!$E$11+1,1))-AVERAGE(OFFSET($H$3,0,0,'Données projet'!$E$11+1,1))</f>
        <v>210.04871822652808</v>
      </c>
      <c r="BJ87" s="59">
        <f t="shared" si="92"/>
        <v>250.17540614049324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2.5057356519327421</v>
      </c>
      <c r="BQ87" s="21">
        <f>EXP(-LN(2)/25)*BQ86+(1-EXP(-LN(2)/25))/(LN(2)/25)*Calculateur!BL87*Calculateur!BN87*VLOOKUP('Données projet'!$B$11,Paramètres!$A$1:$I$89,3,0)*0.475*44/12</f>
        <v>6.2272965999091472</v>
      </c>
      <c r="BR87" s="21">
        <f>EXP(-LN(2)/2)*BR86+(1-EXP(-LN(2)/2))/(LN(2)/2)*BL87*BO87*VLOOKUP('Données projet'!$B$11,Paramètres!$A$1:$I$89,3,0)*0.475*44/12</f>
        <v>1.6058898521476762E-7</v>
      </c>
      <c r="BS87" s="22">
        <f t="shared" si="63"/>
        <v>8.7330324124308749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2.2737367544323206E-13</v>
      </c>
      <c r="BZ87" s="13">
        <f>BY87*VLOOKUP('Données projet'!$B$12,Paramètres!$A$1:$I$89,3,0)*VLOOKUP('Données projet'!$B$12,Paramètres!$A$1:$I$89,5,0)</f>
        <v>1.2414602679200471E-13</v>
      </c>
      <c r="CA87" s="13">
        <f t="shared" si="93"/>
        <v>1.8186582995804361E-12</v>
      </c>
      <c r="CB87" s="20">
        <f t="shared" si="64"/>
        <v>3.3837175350986671E-12</v>
      </c>
      <c r="CC87" s="59">
        <f t="shared" si="65"/>
        <v>293.33333333333672</v>
      </c>
      <c r="CD87" s="59">
        <f ca="1">AVERAGE(OFFSET($CC$3,0,0,'Données projet'!$E$12+1,1))-AVERAGE(OFFSET($H$3,0,0,'Données projet'!$E$12+1,1))</f>
        <v>168.72306536277267</v>
      </c>
      <c r="CE87" s="59">
        <f t="shared" si="94"/>
        <v>203.35476578922339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1.0440565216386424</v>
      </c>
      <c r="CL87" s="21">
        <f>EXP(-LN(2)/25)*CL86+(1-EXP(-LN(2)/25))/(LN(2)/25)*Calculateur!CG87*Calculateur!CI87*VLOOKUP('Données projet'!$B$12,Paramètres!$A$1:$I$89,3,0)*0.475*44/12</f>
        <v>5.1430426349592233</v>
      </c>
      <c r="CM87" s="21">
        <f>EXP(-LN(2)/2)*CM86+(1-EXP(-LN(2)/2))/(LN(2)/2)*CG87*CJ87*VLOOKUP('Données projet'!$B$12,Paramètres!$A$1:$I$89,3,0)*0.475*44/12</f>
        <v>1.4918928311831702E-7</v>
      </c>
      <c r="CN87" s="22">
        <f t="shared" si="66"/>
        <v>6.1870993057871484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20.769230769230774</v>
      </c>
      <c r="CT87" s="12">
        <f>IF('Données projet'!$A$140&gt;35,CT86+CS87-DB86,IF(A87&lt;'Données projet'!$A$140,$CQ$205^A87,IF(A87='Données projet'!$A$140,'Données projet'!$B$140,CT86+CS87-DB86)))</f>
        <v>602.30769230769215</v>
      </c>
      <c r="CU87" s="17">
        <f>CT87*VLOOKUP('Données projet'!$B$13,Paramètres!$A$1:$I$89,3,0)*VLOOKUP('Données projet'!$B$13,Paramètres!$A$1:$I$89,5,0)</f>
        <v>289.70999999999992</v>
      </c>
      <c r="CV87" s="13">
        <f t="shared" si="95"/>
        <v>69.014921956176849</v>
      </c>
      <c r="CW87" s="20">
        <f t="shared" si="67"/>
        <v>624.77923907367449</v>
      </c>
      <c r="CX87" s="59">
        <f t="shared" si="68"/>
        <v>918.11257240700775</v>
      </c>
      <c r="CY87" s="59">
        <f ca="1">AVERAGE(OFFSET($CX$3,0,0,'Données projet'!$E$13+1,1))-AVERAGE(OFFSET($H$3,0,0,'Données projet'!$E$13+1,1))</f>
        <v>304.15237106473313</v>
      </c>
      <c r="CZ87" s="59">
        <f t="shared" si="96"/>
        <v>120.85458928724336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>
        <f>EXP(-LN(2)/35)*DF86+(1-EXP(-LN(2)/35))/(LN(2)/35)*DB87*DC87*VLOOKUP('Données projet'!$B$13,Paramètres!$A$1:$I$89,3,0)*0.475*44/12</f>
        <v>0</v>
      </c>
      <c r="DG87" s="21">
        <f>EXP(-LN(2)/25)*DG86+(1-EXP(-LN(2)/25))/(LN(2)/25)*Calculateur!DB87*Calculateur!DD87*VLOOKUP('Données projet'!$B$13,Paramètres!$A$1:$I$89,3,0)*0.475*44/12</f>
        <v>0</v>
      </c>
      <c r="DH87" s="21">
        <f>EXP(-LN(2)/2)*DH86+(1-EXP(-LN(2)/2))/(LN(2)/2)*DB87*DE87*VLOOKUP('Données projet'!$B$13,Paramètres!$A$1:$I$89,3,0)*0.475*44/12</f>
        <v>0</v>
      </c>
      <c r="DI87" s="22">
        <f t="shared" si="69"/>
        <v>0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9.0769230769230749</v>
      </c>
      <c r="DO87" s="12">
        <f>IF('Données projet'!$A$166&gt;35,DO86+DN87-DW86,IF(A87&lt;'Données projet'!$A$166,$DL$205^A87,IF(A87='Données projet'!$A$166,'Données projet'!$B$166,DO86+DN87-DW86)))</f>
        <v>269.38461538461519</v>
      </c>
      <c r="DP87" s="17">
        <f>DO87*VLOOKUP('Données projet'!$B$14,Paramètres!$A$1:$I$89,3,0)*VLOOKUP('Données projet'!$B$14,Paramètres!$A$1:$I$89,5,0)</f>
        <v>129.5739999999999</v>
      </c>
      <c r="DQ87" s="13">
        <f t="shared" si="97"/>
        <v>33.897904443655825</v>
      </c>
      <c r="DR87" s="20">
        <f t="shared" si="70"/>
        <v>284.71356690603369</v>
      </c>
      <c r="DS87" s="59">
        <f t="shared" si="71"/>
        <v>578.04690023936701</v>
      </c>
      <c r="DT87" s="59">
        <f ca="1">AVERAGE(OFFSET($DS$3,0,0,'Données projet'!$E$14+1,1))-AVERAGE(OFFSET($H$3,0,0,'Données projet'!$E$14+1,1))</f>
        <v>91.053246648097399</v>
      </c>
      <c r="DU87" s="59">
        <f t="shared" si="98"/>
        <v>64.716270355703955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>
        <f>EXP(-LN(2)/35)*EA86+(1-EXP(-LN(2)/35))/(LN(2)/35)*DW87*DX87*VLOOKUP('Données projet'!$B$14,Paramètres!$A$1:$I$89,3,0)*0.475*44/12</f>
        <v>0</v>
      </c>
      <c r="EB87" s="21">
        <f>EXP(-LN(2)/25)*EB86+(1-EXP(-LN(2)/25))/(LN(2)/25)*Calculateur!DW87*Calculateur!DY87*VLOOKUP('Données projet'!$B$14,Paramètres!$A$1:$I$89,3,0)*0.475*44/12</f>
        <v>0</v>
      </c>
      <c r="EC87" s="21">
        <f>EXP(-LN(2)/2)*EC86+(1-EXP(-LN(2)/2))/(LN(2)/2)*DW87*DZ87*VLOOKUP('Données projet'!$B$14,Paramètres!$A$1:$I$89,3,0)*0.475*44/12</f>
        <v>0</v>
      </c>
      <c r="ED87" s="22">
        <f t="shared" si="72"/>
        <v>0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12.5</v>
      </c>
      <c r="EJ87" s="12">
        <f>IF('Données projet'!$A$192&gt;35,EJ86+EI87-ER86,IF(A87&lt;'Données projet'!$A$192,$EG$205^A87,IF(A87='Données projet'!$A$192,'Données projet'!$B$192,EJ86+EI87-ER86)))</f>
        <v>561.99999999999955</v>
      </c>
      <c r="EK87" s="17">
        <f>EJ87*VLOOKUP('Données projet'!$B$15,Paramètres!$A$1:$I$89,3,0)*VLOOKUP('Données projet'!$B$15,Paramètres!$A$1:$I$89,5,0)</f>
        <v>336.07599999999979</v>
      </c>
      <c r="EL87" s="13">
        <f t="shared" si="99"/>
        <v>78.688676264452241</v>
      </c>
      <c r="EM87" s="20">
        <f t="shared" si="73"/>
        <v>722.38181116058729</v>
      </c>
      <c r="EN87" s="59">
        <f t="shared" si="74"/>
        <v>1015.7151444939207</v>
      </c>
      <c r="EO87" s="59">
        <f ca="1">AVERAGE(OFFSET($EN$3,0,0,'Données projet'!$E$15+1,1))-AVERAGE(OFFSET($H$3,0,0,'Données projet'!$E$15+1,1))</f>
        <v>316.58509520829671</v>
      </c>
      <c r="EP87" s="59">
        <f t="shared" si="100"/>
        <v>240.71332110643596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>
        <f>EXP(-LN(2)/35)*EV86+(1-EXP(-LN(2)/35))/(LN(2)/35)*ER87*ES87*VLOOKUP('Données projet'!$B$15,Paramètres!$A$1:$I$89,3,0)*0.475*44/12</f>
        <v>0.86986954073260414</v>
      </c>
      <c r="EW87" s="21">
        <f>EXP(-LN(2)/25)*EW86+(1-EXP(-LN(2)/25))/(LN(2)/25)*Calculateur!ER87*Calculateur!ET87*VLOOKUP('Données projet'!$B$15,Paramètres!$A$1:$I$89,3,0)*0.475*44/12</f>
        <v>3.4162942990060281</v>
      </c>
      <c r="EX87" s="21">
        <f>EXP(-LN(2)/2)*EX86+(1-EXP(-LN(2)/2))/(LN(2)/2)*ER87*EU87*VLOOKUP('Données projet'!$B$15,Paramètres!$A$1:$I$89,3,0)*0.475*44/12</f>
        <v>1.6346084378764688E-7</v>
      </c>
      <c r="EY87" s="22">
        <f t="shared" si="75"/>
        <v>4.2861640031994765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10.8</v>
      </c>
      <c r="FE87" s="12">
        <f>IF('Données projet'!$A$218&gt;35,FE86+FD87-FM86,IF(A87&lt;'Données projet'!$A$218,$FB$205^A87,IF(A87='Données projet'!$A$218,'Données projet'!$B$218,FE86+FD87-FM86)))</f>
        <v>502.20000000000022</v>
      </c>
      <c r="FF87" s="17">
        <f>FE87*VLOOKUP('Données projet'!$B$16,Paramètres!$A$1:$I$89,3,0)*VLOOKUP('Données projet'!$B$16,Paramètres!$A$1:$I$89,5,0)</f>
        <v>300.31560000000013</v>
      </c>
      <c r="FG87" s="13">
        <f t="shared" si="101"/>
        <v>71.242621308749136</v>
      </c>
      <c r="FH87" s="20">
        <f t="shared" si="76"/>
        <v>647.13056877940483</v>
      </c>
      <c r="FI87" s="59">
        <f t="shared" si="77"/>
        <v>940.4639021127382</v>
      </c>
      <c r="FJ87" s="59">
        <f ca="1">AVERAGE(OFFSET($FI$3,0,0,'Données projet'!$E$16+1,1))-AVERAGE(OFFSET($H$3,0,0,'Données projet'!$E$16+1,1))</f>
        <v>270.30888762640245</v>
      </c>
      <c r="FK87" s="59">
        <f t="shared" si="102"/>
        <v>202.23783851977691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>
        <f>EXP(-LN(2)/35)*FQ86+(1-EXP(-LN(2)/35))/(LN(2)/35)*FM87*FN87*VLOOKUP('Données projet'!$B$16,Paramètres!$A$1:$I$89,3,0)*0.475*44/12</f>
        <v>0.73510102033741187</v>
      </c>
      <c r="FR87" s="21">
        <f>EXP(-LN(2)/25)*FR86+(1-EXP(-LN(2)/25))/(LN(2)/25)*Calculateur!FM87*Calculateur!FO87*VLOOKUP('Données projet'!$B$16,Paramètres!$A$1:$I$89,3,0)*0.475*44/12</f>
        <v>2.7511298916084899</v>
      </c>
      <c r="FS87" s="21">
        <f>EXP(-LN(2)/2)*FS86+(1-EXP(-LN(2)/2))/(LN(2)/2)*FM87*FP87*VLOOKUP('Données projet'!$B$16,Paramètres!$A$1:$I$89,3,0)*0.475*44/12</f>
        <v>1.3778067072080511E-7</v>
      </c>
      <c r="FT87" s="22">
        <f t="shared" si="78"/>
        <v>3.4862310497265727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-5.1159076974727213E-13</v>
      </c>
      <c r="GA87" s="17">
        <f>FZ87*VLOOKUP('Données projet'!$B$17,Paramètres!$A$1:$I$89,3,0)*VLOOKUP('Données projet'!$B$17,Paramètres!$A$1:$I$89,5,0)</f>
        <v>-4.0702161641092972E-13</v>
      </c>
      <c r="GB87" s="13" t="e">
        <f t="shared" si="103"/>
        <v>#NUM!</v>
      </c>
      <c r="GC87" s="20" t="e">
        <f t="shared" si="79"/>
        <v>#NUM!</v>
      </c>
      <c r="GD87" s="59" t="e">
        <f t="shared" si="80"/>
        <v>#NUM!</v>
      </c>
      <c r="GE87" s="59">
        <f ca="1">AVERAGE(OFFSET($GD$3,0,0,'Données projet'!$E$17+1,1))-AVERAGE(OFFSET($H$3,0,0,'Données projet'!$E$17+1,1))</f>
        <v>260.20517190557814</v>
      </c>
      <c r="GF87" s="59">
        <f t="shared" si="104"/>
        <v>307.22009971147133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>
        <f>EXP(-LN(2)/35)*GL86+(1-EXP(-LN(2)/35))/(LN(2)/35)*GH87*GI87*VLOOKUP('Données projet'!$B$17,Paramètres!$A$1:$I$89,3,0)*0.475*44/12</f>
        <v>1.1198749119004974</v>
      </c>
      <c r="GM87" s="21">
        <f>EXP(-LN(2)/25)*GM86+(1-EXP(-LN(2)/25))/(LN(2)/25)*Calculateur!GH87*Calculateur!GJ87*VLOOKUP('Données projet'!$B$17,Paramètres!$A$1:$I$89,3,0)*0.475*44/12</f>
        <v>4.5913897210438126</v>
      </c>
      <c r="GN87" s="21">
        <f>EXP(-LN(2)/2)*GN86+(1-EXP(-LN(2)/2))/(LN(2)/2)*GH87*GK87*VLOOKUP('Données projet'!$B$17,Paramètres!$A$1:$I$89,3,0)*0.475*44/12</f>
        <v>1.7910476217238073E-7</v>
      </c>
      <c r="GO87" s="21">
        <f t="shared" si="81"/>
        <v>5.7112648120490723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5.6843418860808015E-14</v>
      </c>
      <c r="GV87" s="17">
        <f>GU87*VLOOKUP('Données projet'!$B$18,Paramètres!$A$1:$I$89,3,0)*VLOOKUP('Données projet'!$B$18,Paramètres!$A$1:$I$89,5,0)</f>
        <v>4.5224624045658861E-14</v>
      </c>
      <c r="GW87" s="13">
        <f t="shared" si="105"/>
        <v>7.4514601661523691E-13</v>
      </c>
      <c r="GX87" s="20">
        <f t="shared" si="82"/>
        <v>1.3765621991510601E-12</v>
      </c>
      <c r="GY87" s="59">
        <f t="shared" si="83"/>
        <v>293.33333333333468</v>
      </c>
      <c r="GZ87" s="59">
        <f ca="1">AVERAGE(OFFSET($GY$3,0,0,'Données projet'!$E$18+1,1))-AVERAGE(OFFSET($H$3,0,0,'Données projet'!$E$18+1,1))</f>
        <v>199.58763537752952</v>
      </c>
      <c r="HA87" s="59">
        <f t="shared" si="106"/>
        <v>242.62852778451929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>
        <f>EXP(-LN(2)/35)*HG86+(1-EXP(-LN(2)/35))/(LN(2)/35)*HC87*HD87*VLOOKUP('Données projet'!$B$18,Paramètres!$A$1:$I$89,3,0)*0.475*44/12</f>
        <v>0</v>
      </c>
      <c r="HH87" s="21">
        <f>EXP(-LN(2)/25)*HH86+(1-EXP(-LN(2)/25))/(LN(2)/25)*Calculateur!HC87*Calculateur!HE87*VLOOKUP('Données projet'!$B$18,Paramètres!$A$1:$I$89,3,0)*0.475*44/12</f>
        <v>2.3008804359714969</v>
      </c>
      <c r="HI87" s="21">
        <f>EXP(-LN(2)/2)*HI86+(1-EXP(-LN(2)/2))/(LN(2)/2)*HC87*HF87*VLOOKUP('Données projet'!$B$18,Paramètres!$A$1:$I$89,3,0)*0.475*44/12</f>
        <v>8.0179858157189339E-8</v>
      </c>
      <c r="HJ87" s="22">
        <f t="shared" si="84"/>
        <v>2.3008805161513552</v>
      </c>
    </row>
    <row r="88" spans="1:218" x14ac:dyDescent="0.2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75.582000000000107</v>
      </c>
      <c r="D88" s="11">
        <f t="shared" si="86"/>
        <v>21.053414706764155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745.95758721011009</v>
      </c>
      <c r="H88" s="67">
        <f t="shared" si="56"/>
        <v>461.64001394761442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-2.2737367544323206E-13</v>
      </c>
      <c r="O88" s="13">
        <f>N88*VLOOKUP('Données projet'!$B$9,Paramètres!$A$1:$I$89,3,0)*VLOOKUP('Données projet'!$B$9,Paramètres!$A$1:$I$89,5,0)</f>
        <v>-1.2710188457276673E-13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255.5374979188561</v>
      </c>
      <c r="T88" s="59">
        <f t="shared" si="88"/>
        <v>343.10418468620901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1.0397216426548579</v>
      </c>
      <c r="AA88" s="21">
        <f>EXP(-LN(2)/25)*AA87+(1-EXP(-LN(2)/25))/(LN(2)/25)*Calculateur!V88*Calculateur!X88*VLOOKUP('Données projet'!$B$9,Paramètres!$A$1:$I$89,3,0)*0.475*44/12</f>
        <v>3.4735531440517335</v>
      </c>
      <c r="AB88" s="21">
        <f>EXP(-LN(2)/2)*AB87+(1-EXP(-LN(2)/2))/(LN(2)/2)*V88*Y88*VLOOKUP('Données projet'!$B$9,Paramètres!$A$1:$I$89,3,0)*0.475*44/12</f>
        <v>8.9174938468000361E-9</v>
      </c>
      <c r="AC88" s="22">
        <f t="shared" si="57"/>
        <v>4.5132747956240848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1.1368683772161603E-13</v>
      </c>
      <c r="AJ88" s="13">
        <f>AI88*VLOOKUP('Données projet'!$B$10,Paramètres!$A$1:$I$89,3,0)*VLOOKUP('Données projet'!$B$10,Paramètres!$A$1:$I$89,5,0)</f>
        <v>6.3550942286383367E-14</v>
      </c>
      <c r="AK88" s="13">
        <f t="shared" si="89"/>
        <v>1.0064464192543978E-12</v>
      </c>
      <c r="AL88" s="20">
        <f t="shared" si="58"/>
        <v>1.8635787380168604E-12</v>
      </c>
      <c r="AM88" s="59">
        <f t="shared" si="59"/>
        <v>293.33333333333519</v>
      </c>
      <c r="AN88" s="59">
        <f ca="1">AVERAGE(OFFSET($AM$3,0,0,'Données projet'!$E$10+1,1))-AVERAGE(OFFSET($H$3,0,0,'Données projet'!$E$10+1,1))</f>
        <v>224.7049802939942</v>
      </c>
      <c r="AO88" s="59">
        <f t="shared" si="90"/>
        <v>203.48513862195352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0.75072984036506696</v>
      </c>
      <c r="AV88" s="21">
        <f>EXP(-LN(2)/25)*AV87+(1-EXP(-LN(2)/25))/(LN(2)/25)*Calculateur!AQ88*Calculateur!AS88*VLOOKUP('Données projet'!$B$10,Paramètres!$A$1:$I$89,3,0)*0.475*44/12</f>
        <v>4.2492721114262819</v>
      </c>
      <c r="AW88" s="21">
        <f>EXP(-LN(2)/2)*AW87+(1-EXP(-LN(2)/2))/(LN(2)/2)*AQ88*AT88*VLOOKUP('Données projet'!$B$10,Paramètres!$A$1:$I$89,3,0)*0.475*44/12</f>
        <v>4.7207697680174472E-8</v>
      </c>
      <c r="AX88" s="21">
        <f t="shared" si="60"/>
        <v>5.0000019989990463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>
        <f>BD88*VLOOKUP('Données projet'!$B$11,Paramètres!$A$1:$I$89,3,0)*VLOOKUP('Données projet'!$B$11,Paramètres!$A$1:$I$89,5,0)</f>
        <v>0</v>
      </c>
      <c r="BF88" s="13" t="e">
        <f t="shared" si="91"/>
        <v>#NUM!</v>
      </c>
      <c r="BG88" s="20" t="e">
        <f t="shared" si="61"/>
        <v>#NUM!</v>
      </c>
      <c r="BH88" s="59" t="e">
        <f t="shared" si="62"/>
        <v>#NUM!</v>
      </c>
      <c r="BI88" s="59">
        <f ca="1">AVERAGE(OFFSET($BH$3,0,0,'Données projet'!$E$11+1,1))-AVERAGE(OFFSET($H$3,0,0,'Données projet'!$E$11+1,1))</f>
        <v>210.04871822652808</v>
      </c>
      <c r="BJ88" s="59">
        <f t="shared" si="92"/>
        <v>250.17540614049324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2.4565997041461767</v>
      </c>
      <c r="BQ88" s="21">
        <f>EXP(-LN(2)/25)*BQ87+(1-EXP(-LN(2)/25))/(LN(2)/25)*Calculateur!BL88*Calculateur!BN88*VLOOKUP('Données projet'!$B$11,Paramètres!$A$1:$I$89,3,0)*0.475*44/12</f>
        <v>6.0570108469053361</v>
      </c>
      <c r="BR88" s="21">
        <f>EXP(-LN(2)/2)*BR87+(1-EXP(-LN(2)/2))/(LN(2)/2)*BL88*BO88*VLOOKUP('Données projet'!$B$11,Paramètres!$A$1:$I$89,3,0)*0.475*44/12</f>
        <v>1.135535604292284E-7</v>
      </c>
      <c r="BS88" s="22">
        <f t="shared" si="63"/>
        <v>8.5136106646050749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2.2737367544323206E-13</v>
      </c>
      <c r="BZ88" s="13">
        <f>BY88*VLOOKUP('Données projet'!$B$12,Paramètres!$A$1:$I$89,3,0)*VLOOKUP('Données projet'!$B$12,Paramètres!$A$1:$I$89,5,0)</f>
        <v>1.2414602679200471E-13</v>
      </c>
      <c r="CA88" s="13">
        <f t="shared" si="93"/>
        <v>1.8186582995804361E-12</v>
      </c>
      <c r="CB88" s="20">
        <f t="shared" si="64"/>
        <v>3.3837175350986671E-12</v>
      </c>
      <c r="CC88" s="59">
        <f t="shared" si="65"/>
        <v>293.33333333333672</v>
      </c>
      <c r="CD88" s="59">
        <f ca="1">AVERAGE(OFFSET($CC$3,0,0,'Données projet'!$E$12+1,1))-AVERAGE(OFFSET($H$3,0,0,'Données projet'!$E$12+1,1))</f>
        <v>168.72306536277267</v>
      </c>
      <c r="CE88" s="59">
        <f t="shared" si="94"/>
        <v>203.35476578922339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1.0235832100609068</v>
      </c>
      <c r="CL88" s="21">
        <f>EXP(-LN(2)/25)*CL87+(1-EXP(-LN(2)/25))/(LN(2)/25)*Calculateur!CG88*Calculateur!CI88*VLOOKUP('Données projet'!$B$12,Paramètres!$A$1:$I$89,3,0)*0.475*44/12</f>
        <v>5.0024058636454054</v>
      </c>
      <c r="CM88" s="21">
        <f>EXP(-LN(2)/2)*CM87+(1-EXP(-LN(2)/2))/(LN(2)/2)*CG88*CJ88*VLOOKUP('Données projet'!$B$12,Paramètres!$A$1:$I$89,3,0)*0.475*44/12</f>
        <v>1.0549275377332169E-7</v>
      </c>
      <c r="CN88" s="22">
        <f t="shared" si="66"/>
        <v>6.0259891791990663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20.769230769230774</v>
      </c>
      <c r="CT88" s="12">
        <f>IF('Données projet'!$A$140&gt;35,CT87+CS88-DB87,IF(A88&lt;'Données projet'!$A$140,$CQ$205^A88,IF(A88='Données projet'!$A$140,'Données projet'!$B$140,CT87+CS88-DB87)))</f>
        <v>623.07692307692287</v>
      </c>
      <c r="CU88" s="17">
        <f>CT88*VLOOKUP('Données projet'!$B$13,Paramètres!$A$1:$I$89,3,0)*VLOOKUP('Données projet'!$B$13,Paramètres!$A$1:$I$89,5,0)</f>
        <v>299.69999999999993</v>
      </c>
      <c r="CV88" s="13">
        <f t="shared" si="95"/>
        <v>71.113568290911687</v>
      </c>
      <c r="CW88" s="20">
        <f t="shared" si="67"/>
        <v>645.83363144000441</v>
      </c>
      <c r="CX88" s="59">
        <f t="shared" si="68"/>
        <v>939.16696477333767</v>
      </c>
      <c r="CY88" s="59">
        <f ca="1">AVERAGE(OFFSET($CX$3,0,0,'Données projet'!$E$13+1,1))-AVERAGE(OFFSET($H$3,0,0,'Données projet'!$E$13+1,1))</f>
        <v>304.15237106473313</v>
      </c>
      <c r="CZ88" s="59">
        <f t="shared" si="96"/>
        <v>120.85458928724336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>
        <f>EXP(-LN(2)/35)*DF87+(1-EXP(-LN(2)/35))/(LN(2)/35)*DB88*DC88*VLOOKUP('Données projet'!$B$13,Paramètres!$A$1:$I$89,3,0)*0.475*44/12</f>
        <v>0</v>
      </c>
      <c r="DG88" s="21">
        <f>EXP(-LN(2)/25)*DG87+(1-EXP(-LN(2)/25))/(LN(2)/25)*Calculateur!DB88*Calculateur!DD88*VLOOKUP('Données projet'!$B$13,Paramètres!$A$1:$I$89,3,0)*0.475*44/12</f>
        <v>0</v>
      </c>
      <c r="DH88" s="21">
        <f>EXP(-LN(2)/2)*DH87+(1-EXP(-LN(2)/2))/(LN(2)/2)*DB88*DE88*VLOOKUP('Données projet'!$B$13,Paramètres!$A$1:$I$89,3,0)*0.475*44/12</f>
        <v>0</v>
      </c>
      <c r="DI88" s="22">
        <f t="shared" si="69"/>
        <v>0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9.0769230769230749</v>
      </c>
      <c r="DO88" s="12">
        <f>IF('Données projet'!$A$166&gt;35,DO87+DN88-DW87,IF(A88&lt;'Données projet'!$A$166,$DL$205^A88,IF(A88='Données projet'!$A$166,'Données projet'!$B$166,DO87+DN88-DW87)))</f>
        <v>278.46153846153828</v>
      </c>
      <c r="DP88" s="17">
        <f>DO88*VLOOKUP('Données projet'!$B$14,Paramètres!$A$1:$I$89,3,0)*VLOOKUP('Données projet'!$B$14,Paramètres!$A$1:$I$89,5,0)</f>
        <v>133.93999999999991</v>
      </c>
      <c r="DQ88" s="13">
        <f t="shared" si="97"/>
        <v>34.905189584238514</v>
      </c>
      <c r="DR88" s="20">
        <f t="shared" si="70"/>
        <v>294.07203852588191</v>
      </c>
      <c r="DS88" s="59">
        <f t="shared" si="71"/>
        <v>587.40537185921517</v>
      </c>
      <c r="DT88" s="59">
        <f ca="1">AVERAGE(OFFSET($DS$3,0,0,'Données projet'!$E$14+1,1))-AVERAGE(OFFSET($H$3,0,0,'Données projet'!$E$14+1,1))</f>
        <v>91.053246648097399</v>
      </c>
      <c r="DU88" s="59">
        <f t="shared" si="98"/>
        <v>64.716270355703955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>
        <f>EXP(-LN(2)/35)*EA87+(1-EXP(-LN(2)/35))/(LN(2)/35)*DW88*DX88*VLOOKUP('Données projet'!$B$14,Paramètres!$A$1:$I$89,3,0)*0.475*44/12</f>
        <v>0</v>
      </c>
      <c r="EB88" s="21">
        <f>EXP(-LN(2)/25)*EB87+(1-EXP(-LN(2)/25))/(LN(2)/25)*Calculateur!DW88*Calculateur!DY88*VLOOKUP('Données projet'!$B$14,Paramètres!$A$1:$I$89,3,0)*0.475*44/12</f>
        <v>0</v>
      </c>
      <c r="EC88" s="21">
        <f>EXP(-LN(2)/2)*EC87+(1-EXP(-LN(2)/2))/(LN(2)/2)*DW88*DZ88*VLOOKUP('Données projet'!$B$14,Paramètres!$A$1:$I$89,3,0)*0.475*44/12</f>
        <v>0</v>
      </c>
      <c r="ED88" s="22">
        <f t="shared" si="72"/>
        <v>0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12.5</v>
      </c>
      <c r="EJ88" s="12">
        <f>IF('Données projet'!$A$192&gt;35,EJ87+EI88-ER87,IF(A88&lt;'Données projet'!$A$192,$EG$205^A88,IF(A88='Données projet'!$A$192,'Données projet'!$B$192,EJ87+EI88-ER87)))</f>
        <v>574.49999999999955</v>
      </c>
      <c r="EK88" s="17">
        <f>EJ88*VLOOKUP('Données projet'!$B$15,Paramètres!$A$1:$I$89,3,0)*VLOOKUP('Données projet'!$B$15,Paramètres!$A$1:$I$89,5,0)</f>
        <v>343.55099999999976</v>
      </c>
      <c r="EL88" s="13">
        <f t="shared" si="99"/>
        <v>80.233161275191421</v>
      </c>
      <c r="EM88" s="20">
        <f t="shared" si="73"/>
        <v>738.09074755429128</v>
      </c>
      <c r="EN88" s="59">
        <f t="shared" si="74"/>
        <v>1031.4240808876245</v>
      </c>
      <c r="EO88" s="59">
        <f ca="1">AVERAGE(OFFSET($EN$3,0,0,'Données projet'!$E$15+1,1))-AVERAGE(OFFSET($H$3,0,0,'Données projet'!$E$15+1,1))</f>
        <v>316.58509520829671</v>
      </c>
      <c r="EP88" s="59">
        <f t="shared" si="100"/>
        <v>240.71332110643596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>
        <f>EXP(-LN(2)/35)*EV87+(1-EXP(-LN(2)/35))/(LN(2)/35)*ER88*ES88*VLOOKUP('Données projet'!$B$15,Paramètres!$A$1:$I$89,3,0)*0.475*44/12</f>
        <v>0.85281192960686836</v>
      </c>
      <c r="EW88" s="21">
        <f>EXP(-LN(2)/25)*EW87+(1-EXP(-LN(2)/25))/(LN(2)/25)*Calculateur!ER88*Calculateur!ET88*VLOOKUP('Données projet'!$B$15,Paramètres!$A$1:$I$89,3,0)*0.475*44/12</f>
        <v>3.3228755517445991</v>
      </c>
      <c r="EX88" s="21">
        <f>EXP(-LN(2)/2)*EX87+(1-EXP(-LN(2)/2))/(LN(2)/2)*ER88*EU88*VLOOKUP('Données projet'!$B$15,Paramètres!$A$1:$I$89,3,0)*0.475*44/12</f>
        <v>1.1558427110072005E-7</v>
      </c>
      <c r="EY88" s="22">
        <f t="shared" si="75"/>
        <v>4.1756875969357381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10.8</v>
      </c>
      <c r="FE88" s="12">
        <f>IF('Données projet'!$A$218&gt;35,FE87+FD88-FM87,IF(A88&lt;'Données projet'!$A$218,$FB$205^A88,IF(A88='Données projet'!$A$218,'Données projet'!$B$218,FE87+FD88-FM87)))</f>
        <v>513.00000000000023</v>
      </c>
      <c r="FF88" s="17">
        <f>FE88*VLOOKUP('Données projet'!$B$16,Paramètres!$A$1:$I$89,3,0)*VLOOKUP('Données projet'!$B$16,Paramètres!$A$1:$I$89,5,0)</f>
        <v>306.77400000000017</v>
      </c>
      <c r="FG88" s="13">
        <f t="shared" si="101"/>
        <v>72.594703343999115</v>
      </c>
      <c r="FH88" s="20">
        <f t="shared" si="76"/>
        <v>660.73382499079878</v>
      </c>
      <c r="FI88" s="59">
        <f t="shared" si="77"/>
        <v>954.06715832413215</v>
      </c>
      <c r="FJ88" s="59">
        <f ca="1">AVERAGE(OFFSET($FI$3,0,0,'Données projet'!$E$16+1,1))-AVERAGE(OFFSET($H$3,0,0,'Données projet'!$E$16+1,1))</f>
        <v>270.30888762640245</v>
      </c>
      <c r="FK88" s="59">
        <f t="shared" si="102"/>
        <v>202.23783851977691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>
        <f>EXP(-LN(2)/35)*FQ87+(1-EXP(-LN(2)/35))/(LN(2)/35)*FM88*FN88*VLOOKUP('Données projet'!$B$16,Paramètres!$A$1:$I$89,3,0)*0.475*44/12</f>
        <v>0.72068613769594503</v>
      </c>
      <c r="FR88" s="21">
        <f>EXP(-LN(2)/25)*FR87+(1-EXP(-LN(2)/25))/(LN(2)/25)*Calculateur!FM88*Calculateur!FO88*VLOOKUP('Données projet'!$B$16,Paramètres!$A$1:$I$89,3,0)*0.475*44/12</f>
        <v>2.6759001000468223</v>
      </c>
      <c r="FS88" s="21">
        <f>EXP(-LN(2)/2)*FS87+(1-EXP(-LN(2)/2))/(LN(2)/2)*FM88*FP88*VLOOKUP('Données projet'!$B$16,Paramètres!$A$1:$I$89,3,0)*0.475*44/12</f>
        <v>9.7425646583112094E-8</v>
      </c>
      <c r="FT88" s="22">
        <f t="shared" si="78"/>
        <v>3.396586335168414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-5.1159076974727213E-13</v>
      </c>
      <c r="GA88" s="17">
        <f>FZ88*VLOOKUP('Données projet'!$B$17,Paramètres!$A$1:$I$89,3,0)*VLOOKUP('Données projet'!$B$17,Paramètres!$A$1:$I$89,5,0)</f>
        <v>-4.0702161641092972E-13</v>
      </c>
      <c r="GB88" s="13" t="e">
        <f t="shared" si="103"/>
        <v>#NUM!</v>
      </c>
      <c r="GC88" s="20" t="e">
        <f t="shared" si="79"/>
        <v>#NUM!</v>
      </c>
      <c r="GD88" s="59" t="e">
        <f t="shared" si="80"/>
        <v>#NUM!</v>
      </c>
      <c r="GE88" s="59">
        <f ca="1">AVERAGE(OFFSET($GD$3,0,0,'Données projet'!$E$17+1,1))-AVERAGE(OFFSET($H$3,0,0,'Données projet'!$E$17+1,1))</f>
        <v>260.20517190557814</v>
      </c>
      <c r="GF88" s="59">
        <f t="shared" si="104"/>
        <v>307.22009971147133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>
        <f>EXP(-LN(2)/35)*GL87+(1-EXP(-LN(2)/35))/(LN(2)/35)*GH88*GI88*VLOOKUP('Données projet'!$B$17,Paramètres!$A$1:$I$89,3,0)*0.475*44/12</f>
        <v>1.0979148479343788</v>
      </c>
      <c r="GM88" s="21">
        <f>EXP(-LN(2)/25)*GM87+(1-EXP(-LN(2)/25))/(LN(2)/25)*Calculateur!GH88*Calculateur!GJ88*VLOOKUP('Données projet'!$B$17,Paramètres!$A$1:$I$89,3,0)*0.475*44/12</f>
        <v>4.4658379276711777</v>
      </c>
      <c r="GN88" s="21">
        <f>EXP(-LN(2)/2)*GN87+(1-EXP(-LN(2)/2))/(LN(2)/2)*GH88*GK88*VLOOKUP('Données projet'!$B$17,Paramètres!$A$1:$I$89,3,0)*0.475*44/12</f>
        <v>1.2664619187489426E-7</v>
      </c>
      <c r="GO88" s="21">
        <f t="shared" si="81"/>
        <v>5.5637529022517489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5.6843418860808015E-14</v>
      </c>
      <c r="GV88" s="17">
        <f>GU88*VLOOKUP('Données projet'!$B$18,Paramètres!$A$1:$I$89,3,0)*VLOOKUP('Données projet'!$B$18,Paramètres!$A$1:$I$89,5,0)</f>
        <v>4.5224624045658861E-14</v>
      </c>
      <c r="GW88" s="13">
        <f t="shared" si="105"/>
        <v>7.4514601661523691E-13</v>
      </c>
      <c r="GX88" s="20">
        <f t="shared" si="82"/>
        <v>1.3765621991510601E-12</v>
      </c>
      <c r="GY88" s="59">
        <f t="shared" si="83"/>
        <v>293.33333333333468</v>
      </c>
      <c r="GZ88" s="59">
        <f ca="1">AVERAGE(OFFSET($GY$3,0,0,'Données projet'!$E$18+1,1))-AVERAGE(OFFSET($H$3,0,0,'Données projet'!$E$18+1,1))</f>
        <v>199.58763537752952</v>
      </c>
      <c r="HA88" s="59">
        <f t="shared" si="106"/>
        <v>242.62852778451929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>
        <f>EXP(-LN(2)/35)*HG87+(1-EXP(-LN(2)/35))/(LN(2)/35)*HC88*HD88*VLOOKUP('Données projet'!$B$18,Paramètres!$A$1:$I$89,3,0)*0.475*44/12</f>
        <v>0</v>
      </c>
      <c r="HH88" s="21">
        <f>EXP(-LN(2)/25)*HH87+(1-EXP(-LN(2)/25))/(LN(2)/25)*Calculateur!HC88*Calculateur!HE88*VLOOKUP('Données projet'!$B$18,Paramètres!$A$1:$I$89,3,0)*0.475*44/12</f>
        <v>2.2379627394518131</v>
      </c>
      <c r="HI88" s="21">
        <f>EXP(-LN(2)/2)*HI87+(1-EXP(-LN(2)/2))/(LN(2)/2)*HC88*HF88*VLOOKUP('Données projet'!$B$18,Paramètres!$A$1:$I$89,3,0)*0.475*44/12</f>
        <v>5.66957214175241E-8</v>
      </c>
      <c r="HJ88" s="22">
        <f t="shared" si="84"/>
        <v>2.2379627961475346</v>
      </c>
    </row>
    <row r="89" spans="1:218" x14ac:dyDescent="0.2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76.47120000000011</v>
      </c>
      <c r="D89" s="11">
        <f t="shared" si="86"/>
        <v>21.272121944536373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754.50985360694824</v>
      </c>
      <c r="H89" s="67">
        <f t="shared" si="56"/>
        <v>463.56961905340103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-2.2737367544323206E-13</v>
      </c>
      <c r="O89" s="13">
        <f>N89*VLOOKUP('Données projet'!$B$9,Paramètres!$A$1:$I$89,3,0)*VLOOKUP('Données projet'!$B$9,Paramètres!$A$1:$I$89,5,0)</f>
        <v>-1.2710188457276673E-13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255.5374979188561</v>
      </c>
      <c r="T89" s="59">
        <f t="shared" si="88"/>
        <v>343.10418468620901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1.0193333354099794</v>
      </c>
      <c r="AA89" s="21">
        <f>EXP(-LN(2)/25)*AA88+(1-EXP(-LN(2)/25))/(LN(2)/25)*Calculateur!V89*Calculateur!X89*VLOOKUP('Données projet'!$B$9,Paramètres!$A$1:$I$89,3,0)*0.475*44/12</f>
        <v>3.3785686506614181</v>
      </c>
      <c r="AB89" s="21">
        <f>EXP(-LN(2)/2)*AB88+(1-EXP(-LN(2)/2))/(LN(2)/2)*V89*Y89*VLOOKUP('Données projet'!$B$9,Paramètres!$A$1:$I$89,3,0)*0.475*44/12</f>
        <v>6.3056203702616171E-9</v>
      </c>
      <c r="AC89" s="22">
        <f t="shared" si="57"/>
        <v>4.397901992377018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1.1368683772161603E-13</v>
      </c>
      <c r="AJ89" s="13">
        <f>AI89*VLOOKUP('Données projet'!$B$10,Paramètres!$A$1:$I$89,3,0)*VLOOKUP('Données projet'!$B$10,Paramètres!$A$1:$I$89,5,0)</f>
        <v>6.3550942286383367E-14</v>
      </c>
      <c r="AK89" s="13">
        <f t="shared" si="89"/>
        <v>1.0064464192543978E-12</v>
      </c>
      <c r="AL89" s="20">
        <f t="shared" si="58"/>
        <v>1.8635787380168604E-12</v>
      </c>
      <c r="AM89" s="59">
        <f t="shared" si="59"/>
        <v>293.33333333333519</v>
      </c>
      <c r="AN89" s="59">
        <f ca="1">AVERAGE(OFFSET($AM$3,0,0,'Données projet'!$E$10+1,1))-AVERAGE(OFFSET($H$3,0,0,'Données projet'!$E$10+1,1))</f>
        <v>224.7049802939942</v>
      </c>
      <c r="AO89" s="59">
        <f t="shared" si="90"/>
        <v>203.48513862195352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0.73600848609549674</v>
      </c>
      <c r="AV89" s="21">
        <f>EXP(-LN(2)/25)*AV88+(1-EXP(-LN(2)/25))/(LN(2)/25)*Calculateur!AQ89*Calculateur!AS89*VLOOKUP('Données projet'!$B$10,Paramètres!$A$1:$I$89,3,0)*0.475*44/12</f>
        <v>4.1330755420798218</v>
      </c>
      <c r="AW89" s="21">
        <f>EXP(-LN(2)/2)*AW88+(1-EXP(-LN(2)/2))/(LN(2)/2)*AQ89*AT89*VLOOKUP('Données projet'!$B$10,Paramètres!$A$1:$I$89,3,0)*0.475*44/12</f>
        <v>3.3380883153855818E-8</v>
      </c>
      <c r="AX89" s="21">
        <f t="shared" si="60"/>
        <v>4.8690840615562019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>
        <f>BD89*VLOOKUP('Données projet'!$B$11,Paramètres!$A$1:$I$89,3,0)*VLOOKUP('Données projet'!$B$11,Paramètres!$A$1:$I$89,5,0)</f>
        <v>0</v>
      </c>
      <c r="BF89" s="13" t="e">
        <f t="shared" si="91"/>
        <v>#NUM!</v>
      </c>
      <c r="BG89" s="20" t="e">
        <f t="shared" si="61"/>
        <v>#NUM!</v>
      </c>
      <c r="BH89" s="59" t="e">
        <f t="shared" si="62"/>
        <v>#NUM!</v>
      </c>
      <c r="BI89" s="59">
        <f ca="1">AVERAGE(OFFSET($BH$3,0,0,'Données projet'!$E$11+1,1))-AVERAGE(OFFSET($H$3,0,0,'Données projet'!$E$11+1,1))</f>
        <v>210.04871822652808</v>
      </c>
      <c r="BJ89" s="59">
        <f t="shared" si="92"/>
        <v>250.17540614049324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2.4084272823257371</v>
      </c>
      <c r="BQ89" s="21">
        <f>EXP(-LN(2)/25)*BQ88+(1-EXP(-LN(2)/25))/(LN(2)/25)*Calculateur!BL89*Calculateur!BN89*VLOOKUP('Données projet'!$B$11,Paramètres!$A$1:$I$89,3,0)*0.475*44/12</f>
        <v>5.8913815667723526</v>
      </c>
      <c r="BR89" s="21">
        <f>EXP(-LN(2)/2)*BR88+(1-EXP(-LN(2)/2))/(LN(2)/2)*BL89*BO89*VLOOKUP('Données projet'!$B$11,Paramètres!$A$1:$I$89,3,0)*0.475*44/12</f>
        <v>8.029449260738381E-8</v>
      </c>
      <c r="BS89" s="22">
        <f t="shared" si="63"/>
        <v>8.299808929392583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2.2737367544323206E-13</v>
      </c>
      <c r="BZ89" s="13">
        <f>BY89*VLOOKUP('Données projet'!$B$12,Paramètres!$A$1:$I$89,3,0)*VLOOKUP('Données projet'!$B$12,Paramètres!$A$1:$I$89,5,0)</f>
        <v>1.2414602679200471E-13</v>
      </c>
      <c r="CA89" s="13">
        <f t="shared" si="93"/>
        <v>1.8186582995804361E-12</v>
      </c>
      <c r="CB89" s="20">
        <f t="shared" si="64"/>
        <v>3.3837175350986671E-12</v>
      </c>
      <c r="CC89" s="59">
        <f t="shared" si="65"/>
        <v>293.33333333333672</v>
      </c>
      <c r="CD89" s="59">
        <f ca="1">AVERAGE(OFFSET($CC$3,0,0,'Données projet'!$E$12+1,1))-AVERAGE(OFFSET($H$3,0,0,'Données projet'!$E$12+1,1))</f>
        <v>168.72306536277267</v>
      </c>
      <c r="CE89" s="59">
        <f t="shared" si="94"/>
        <v>203.35476578922339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1.0035113676357237</v>
      </c>
      <c r="CL89" s="21">
        <f>EXP(-LN(2)/25)*CL88+(1-EXP(-LN(2)/25))/(LN(2)/25)*Calculateur!CG89*Calculateur!CI89*VLOOKUP('Données projet'!$B$12,Paramètres!$A$1:$I$89,3,0)*0.475*44/12</f>
        <v>4.8656148122389302</v>
      </c>
      <c r="CM89" s="21">
        <f>EXP(-LN(2)/2)*CM88+(1-EXP(-LN(2)/2))/(LN(2)/2)*CG89*CJ89*VLOOKUP('Données projet'!$B$12,Paramètres!$A$1:$I$89,3,0)*0.475*44/12</f>
        <v>7.4594641559158512E-8</v>
      </c>
      <c r="CN89" s="22">
        <f t="shared" si="66"/>
        <v>5.869126254469295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20.769230769230774</v>
      </c>
      <c r="CT89" s="12">
        <f>IF('Données projet'!$A$140&gt;35,CT88+CS89-DB88,IF(A89&lt;'Données projet'!$A$140,$CQ$205^A89,IF(A89='Données projet'!$A$140,'Données projet'!$B$140,CT88+CS89-DB88)))</f>
        <v>643.84615384615358</v>
      </c>
      <c r="CU89" s="17">
        <f>CT89*VLOOKUP('Données projet'!$B$13,Paramètres!$A$1:$I$89,3,0)*VLOOKUP('Données projet'!$B$13,Paramètres!$A$1:$I$89,5,0)</f>
        <v>309.68999999999988</v>
      </c>
      <c r="CV89" s="13">
        <f t="shared" si="95"/>
        <v>73.204086064150388</v>
      </c>
      <c r="CW89" s="20">
        <f t="shared" si="67"/>
        <v>666.87386656172839</v>
      </c>
      <c r="CX89" s="59">
        <f t="shared" si="68"/>
        <v>960.20719989506165</v>
      </c>
      <c r="CY89" s="59">
        <f ca="1">AVERAGE(OFFSET($CX$3,0,0,'Données projet'!$E$13+1,1))-AVERAGE(OFFSET($H$3,0,0,'Données projet'!$E$13+1,1))</f>
        <v>304.15237106473313</v>
      </c>
      <c r="CZ89" s="59">
        <f t="shared" si="96"/>
        <v>120.85458928724336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>
        <f>EXP(-LN(2)/35)*DF88+(1-EXP(-LN(2)/35))/(LN(2)/35)*DB89*DC89*VLOOKUP('Données projet'!$B$13,Paramètres!$A$1:$I$89,3,0)*0.475*44/12</f>
        <v>0</v>
      </c>
      <c r="DG89" s="21">
        <f>EXP(-LN(2)/25)*DG88+(1-EXP(-LN(2)/25))/(LN(2)/25)*Calculateur!DB89*Calculateur!DD89*VLOOKUP('Données projet'!$B$13,Paramètres!$A$1:$I$89,3,0)*0.475*44/12</f>
        <v>0</v>
      </c>
      <c r="DH89" s="21">
        <f>EXP(-LN(2)/2)*DH88+(1-EXP(-LN(2)/2))/(LN(2)/2)*DB89*DE89*VLOOKUP('Données projet'!$B$13,Paramètres!$A$1:$I$89,3,0)*0.475*44/12</f>
        <v>0</v>
      </c>
      <c r="DI89" s="22">
        <f t="shared" si="69"/>
        <v>0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9.0769230769230749</v>
      </c>
      <c r="DO89" s="12">
        <f>IF('Données projet'!$A$166&gt;35,DO88+DN89-DW88,IF(A89&lt;'Données projet'!$A$166,$DL$205^A89,IF(A89='Données projet'!$A$166,'Données projet'!$B$166,DO88+DN89-DW88)))</f>
        <v>287.53846153846138</v>
      </c>
      <c r="DP89" s="17">
        <f>DO89*VLOOKUP('Données projet'!$B$14,Paramètres!$A$1:$I$89,3,0)*VLOOKUP('Données projet'!$B$14,Paramètres!$A$1:$I$89,5,0)</f>
        <v>138.30599999999993</v>
      </c>
      <c r="DQ89" s="13">
        <f t="shared" si="97"/>
        <v>35.908659356645089</v>
      </c>
      <c r="DR89" s="20">
        <f t="shared" si="70"/>
        <v>303.42386504615678</v>
      </c>
      <c r="DS89" s="59">
        <f t="shared" si="71"/>
        <v>596.75719837949009</v>
      </c>
      <c r="DT89" s="59">
        <f ca="1">AVERAGE(OFFSET($DS$3,0,0,'Données projet'!$E$14+1,1))-AVERAGE(OFFSET($H$3,0,0,'Données projet'!$E$14+1,1))</f>
        <v>91.053246648097399</v>
      </c>
      <c r="DU89" s="59">
        <f t="shared" si="98"/>
        <v>64.716270355703955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>
        <f>EXP(-LN(2)/35)*EA88+(1-EXP(-LN(2)/35))/(LN(2)/35)*DW89*DX89*VLOOKUP('Données projet'!$B$14,Paramètres!$A$1:$I$89,3,0)*0.475*44/12</f>
        <v>0</v>
      </c>
      <c r="EB89" s="21">
        <f>EXP(-LN(2)/25)*EB88+(1-EXP(-LN(2)/25))/(LN(2)/25)*Calculateur!DW89*Calculateur!DY89*VLOOKUP('Données projet'!$B$14,Paramètres!$A$1:$I$89,3,0)*0.475*44/12</f>
        <v>0</v>
      </c>
      <c r="EC89" s="21">
        <f>EXP(-LN(2)/2)*EC88+(1-EXP(-LN(2)/2))/(LN(2)/2)*DW89*DZ89*VLOOKUP('Données projet'!$B$14,Paramètres!$A$1:$I$89,3,0)*0.475*44/12</f>
        <v>0</v>
      </c>
      <c r="ED89" s="22">
        <f t="shared" si="72"/>
        <v>0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12.5</v>
      </c>
      <c r="EJ89" s="12">
        <f>IF('Données projet'!$A$192&gt;35,EJ88+EI89-ER88,IF(A89&lt;'Données projet'!$A$192,$EG$205^A89,IF(A89='Données projet'!$A$192,'Données projet'!$B$192,EJ88+EI89-ER88)))</f>
        <v>586.99999999999955</v>
      </c>
      <c r="EK89" s="17">
        <f>EJ89*VLOOKUP('Données projet'!$B$15,Paramètres!$A$1:$I$89,3,0)*VLOOKUP('Données projet'!$B$15,Paramètres!$A$1:$I$89,5,0)</f>
        <v>351.02599999999978</v>
      </c>
      <c r="EL89" s="13">
        <f t="shared" si="99"/>
        <v>81.773739289271361</v>
      </c>
      <c r="EM89" s="20">
        <f t="shared" si="73"/>
        <v>753.79287926214727</v>
      </c>
      <c r="EN89" s="59">
        <f t="shared" si="74"/>
        <v>1047.1262125954806</v>
      </c>
      <c r="EO89" s="59">
        <f ca="1">AVERAGE(OFFSET($EN$3,0,0,'Données projet'!$E$15+1,1))-AVERAGE(OFFSET($H$3,0,0,'Données projet'!$E$15+1,1))</f>
        <v>316.58509520829671</v>
      </c>
      <c r="EP89" s="59">
        <f t="shared" si="100"/>
        <v>240.71332110643596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>
        <f>EXP(-LN(2)/35)*EV88+(1-EXP(-LN(2)/35))/(LN(2)/35)*ER89*ES89*VLOOKUP('Données projet'!$B$15,Paramètres!$A$1:$I$89,3,0)*0.475*44/12</f>
        <v>0.83608880783119277</v>
      </c>
      <c r="EW89" s="21">
        <f>EXP(-LN(2)/25)*EW88+(1-EXP(-LN(2)/25))/(LN(2)/25)*Calculateur!ER89*Calculateur!ET89*VLOOKUP('Données projet'!$B$15,Paramètres!$A$1:$I$89,3,0)*0.475*44/12</f>
        <v>3.2320113450397123</v>
      </c>
      <c r="EX89" s="21">
        <f>EXP(-LN(2)/2)*EX88+(1-EXP(-LN(2)/2))/(LN(2)/2)*ER89*EU89*VLOOKUP('Données projet'!$B$15,Paramètres!$A$1:$I$89,3,0)*0.475*44/12</f>
        <v>8.1730421893823454E-8</v>
      </c>
      <c r="EY89" s="22">
        <f t="shared" si="75"/>
        <v>4.0681002346013262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10.8</v>
      </c>
      <c r="FE89" s="12">
        <f>IF('Données projet'!$A$218&gt;35,FE88+FD89-FM88,IF(A89&lt;'Données projet'!$A$218,$FB$205^A89,IF(A89='Données projet'!$A$218,'Données projet'!$B$218,FE88+FD89-FM88)))</f>
        <v>523.80000000000018</v>
      </c>
      <c r="FF89" s="17">
        <f>FE89*VLOOKUP('Données projet'!$B$16,Paramètres!$A$1:$I$89,3,0)*VLOOKUP('Données projet'!$B$16,Paramètres!$A$1:$I$89,5,0)</f>
        <v>313.23240000000015</v>
      </c>
      <c r="FG89" s="13">
        <f t="shared" si="101"/>
        <v>73.94347586459719</v>
      </c>
      <c r="FH89" s="20">
        <f t="shared" si="76"/>
        <v>674.33131713084038</v>
      </c>
      <c r="FI89" s="59">
        <f t="shared" si="77"/>
        <v>967.66465046417375</v>
      </c>
      <c r="FJ89" s="59">
        <f ca="1">AVERAGE(OFFSET($FI$3,0,0,'Données projet'!$E$16+1,1))-AVERAGE(OFFSET($H$3,0,0,'Données projet'!$E$16+1,1))</f>
        <v>270.30888762640245</v>
      </c>
      <c r="FK89" s="59">
        <f t="shared" si="102"/>
        <v>202.23783851977691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>
        <f>EXP(-LN(2)/35)*FQ88+(1-EXP(-LN(2)/35))/(LN(2)/35)*FM89*FN89*VLOOKUP('Données projet'!$B$16,Paramètres!$A$1:$I$89,3,0)*0.475*44/12</f>
        <v>0.70655392211086709</v>
      </c>
      <c r="FR89" s="21">
        <f>EXP(-LN(2)/25)*FR88+(1-EXP(-LN(2)/25))/(LN(2)/25)*Calculateur!FM89*Calculateur!FO89*VLOOKUP('Données projet'!$B$16,Paramètres!$A$1:$I$89,3,0)*0.475*44/12</f>
        <v>2.6027274710915718</v>
      </c>
      <c r="FS89" s="21">
        <f>EXP(-LN(2)/2)*FS88+(1-EXP(-LN(2)/2))/(LN(2)/2)*FM89*FP89*VLOOKUP('Données projet'!$B$16,Paramètres!$A$1:$I$89,3,0)*0.475*44/12</f>
        <v>6.8890335360402554E-8</v>
      </c>
      <c r="FT89" s="22">
        <f t="shared" si="78"/>
        <v>3.3092814620927742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-5.1159076974727213E-13</v>
      </c>
      <c r="GA89" s="17">
        <f>FZ89*VLOOKUP('Données projet'!$B$17,Paramètres!$A$1:$I$89,3,0)*VLOOKUP('Données projet'!$B$17,Paramètres!$A$1:$I$89,5,0)</f>
        <v>-4.0702161641092972E-13</v>
      </c>
      <c r="GB89" s="13" t="e">
        <f t="shared" si="103"/>
        <v>#NUM!</v>
      </c>
      <c r="GC89" s="20" t="e">
        <f t="shared" si="79"/>
        <v>#NUM!</v>
      </c>
      <c r="GD89" s="59" t="e">
        <f t="shared" si="80"/>
        <v>#NUM!</v>
      </c>
      <c r="GE89" s="59">
        <f ca="1">AVERAGE(OFFSET($GD$3,0,0,'Données projet'!$E$17+1,1))-AVERAGE(OFFSET($H$3,0,0,'Données projet'!$E$17+1,1))</f>
        <v>260.20517190557814</v>
      </c>
      <c r="GF89" s="59">
        <f t="shared" si="104"/>
        <v>307.22009971147133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>
        <f>EXP(-LN(2)/35)*GL88+(1-EXP(-LN(2)/35))/(LN(2)/35)*GH89*GI89*VLOOKUP('Données projet'!$B$17,Paramètres!$A$1:$I$89,3,0)*0.475*44/12</f>
        <v>1.0763854074283192</v>
      </c>
      <c r="GM89" s="21">
        <f>EXP(-LN(2)/25)*GM88+(1-EXP(-LN(2)/25))/(LN(2)/25)*Calculateur!GH89*Calculateur!GJ89*VLOOKUP('Données projet'!$B$17,Paramètres!$A$1:$I$89,3,0)*0.475*44/12</f>
        <v>4.3437193546907995</v>
      </c>
      <c r="GN89" s="21">
        <f>EXP(-LN(2)/2)*GN88+(1-EXP(-LN(2)/2))/(LN(2)/2)*GH89*GK89*VLOOKUP('Données projet'!$B$17,Paramètres!$A$1:$I$89,3,0)*0.475*44/12</f>
        <v>8.9552381086190366E-8</v>
      </c>
      <c r="GO89" s="21">
        <f t="shared" si="81"/>
        <v>5.4201048516714998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5.6843418860808015E-14</v>
      </c>
      <c r="GV89" s="17">
        <f>GU89*VLOOKUP('Données projet'!$B$18,Paramètres!$A$1:$I$89,3,0)*VLOOKUP('Données projet'!$B$18,Paramètres!$A$1:$I$89,5,0)</f>
        <v>4.5224624045658861E-14</v>
      </c>
      <c r="GW89" s="13">
        <f t="shared" si="105"/>
        <v>7.4514601661523691E-13</v>
      </c>
      <c r="GX89" s="20">
        <f t="shared" si="82"/>
        <v>1.3765621991510601E-12</v>
      </c>
      <c r="GY89" s="59">
        <f t="shared" si="83"/>
        <v>293.33333333333468</v>
      </c>
      <c r="GZ89" s="59">
        <f ca="1">AVERAGE(OFFSET($GY$3,0,0,'Données projet'!$E$18+1,1))-AVERAGE(OFFSET($H$3,0,0,'Données projet'!$E$18+1,1))</f>
        <v>199.58763537752952</v>
      </c>
      <c r="HA89" s="59">
        <f t="shared" si="106"/>
        <v>242.62852778451929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>
        <f>EXP(-LN(2)/35)*HG88+(1-EXP(-LN(2)/35))/(LN(2)/35)*HC89*HD89*VLOOKUP('Données projet'!$B$18,Paramètres!$A$1:$I$89,3,0)*0.475*44/12</f>
        <v>0</v>
      </c>
      <c r="HH89" s="21">
        <f>EXP(-LN(2)/25)*HH88+(1-EXP(-LN(2)/25))/(LN(2)/25)*Calculateur!HC89*Calculateur!HE89*VLOOKUP('Données projet'!$B$18,Paramètres!$A$1:$I$89,3,0)*0.475*44/12</f>
        <v>2.1767655306521578</v>
      </c>
      <c r="HI89" s="21">
        <f>EXP(-LN(2)/2)*HI88+(1-EXP(-LN(2)/2))/(LN(2)/2)*HC89*HF89*VLOOKUP('Données projet'!$B$18,Paramètres!$A$1:$I$89,3,0)*0.475*44/12</f>
        <v>4.0089929078594669E-8</v>
      </c>
      <c r="HJ89" s="22">
        <f t="shared" si="84"/>
        <v>2.176765570742087</v>
      </c>
    </row>
    <row r="90" spans="1:218" x14ac:dyDescent="0.2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77.360400000000112</v>
      </c>
      <c r="D90" s="11">
        <f t="shared" si="86"/>
        <v>21.490533357793517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763.05983644612627</v>
      </c>
      <c r="H90" s="67">
        <f t="shared" si="56"/>
        <v>465.49870893149051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-2.2737367544323206E-13</v>
      </c>
      <c r="O90" s="13">
        <f>N90*VLOOKUP('Données projet'!$B$9,Paramètres!$A$1:$I$89,3,0)*VLOOKUP('Données projet'!$B$9,Paramètres!$A$1:$I$89,5,0)</f>
        <v>-1.2710188457276673E-13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255.5374979188561</v>
      </c>
      <c r="T90" s="59">
        <f t="shared" si="88"/>
        <v>343.10418468620901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0.99934483043453337</v>
      </c>
      <c r="AA90" s="21">
        <f>EXP(-LN(2)/25)*AA89+(1-EXP(-LN(2)/25))/(LN(2)/25)*Calculateur!V90*Calculateur!X90*VLOOKUP('Données projet'!$B$9,Paramètres!$A$1:$I$89,3,0)*0.475*44/12</f>
        <v>3.286181513237878</v>
      </c>
      <c r="AB90" s="21">
        <f>EXP(-LN(2)/2)*AB89+(1-EXP(-LN(2)/2))/(LN(2)/2)*V90*Y90*VLOOKUP('Données projet'!$B$9,Paramètres!$A$1:$I$89,3,0)*0.475*44/12</f>
        <v>4.458746923400018E-9</v>
      </c>
      <c r="AC90" s="22">
        <f t="shared" si="57"/>
        <v>4.2855263481311585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1.1368683772161603E-13</v>
      </c>
      <c r="AJ90" s="13">
        <f>AI90*VLOOKUP('Données projet'!$B$10,Paramètres!$A$1:$I$89,3,0)*VLOOKUP('Données projet'!$B$10,Paramètres!$A$1:$I$89,5,0)</f>
        <v>6.3550942286383367E-14</v>
      </c>
      <c r="AK90" s="13">
        <f t="shared" si="89"/>
        <v>1.0064464192543978E-12</v>
      </c>
      <c r="AL90" s="20">
        <f t="shared" si="58"/>
        <v>1.8635787380168604E-12</v>
      </c>
      <c r="AM90" s="59">
        <f t="shared" si="59"/>
        <v>293.33333333333519</v>
      </c>
      <c r="AN90" s="59">
        <f ca="1">AVERAGE(OFFSET($AM$3,0,0,'Données projet'!$E$10+1,1))-AVERAGE(OFFSET($H$3,0,0,'Données projet'!$E$10+1,1))</f>
        <v>224.7049802939942</v>
      </c>
      <c r="AO90" s="59">
        <f t="shared" si="90"/>
        <v>203.48513862195352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0.72157580860401327</v>
      </c>
      <c r="AV90" s="21">
        <f>EXP(-LN(2)/25)*AV89+(1-EXP(-LN(2)/25))/(LN(2)/25)*Calculateur!AQ90*Calculateur!AS90*VLOOKUP('Données projet'!$B$10,Paramètres!$A$1:$I$89,3,0)*0.475*44/12</f>
        <v>4.0200563740326523</v>
      </c>
      <c r="AW90" s="21">
        <f>EXP(-LN(2)/2)*AW89+(1-EXP(-LN(2)/2))/(LN(2)/2)*AQ90*AT90*VLOOKUP('Données projet'!$B$10,Paramètres!$A$1:$I$89,3,0)*0.475*44/12</f>
        <v>2.3603848840087236E-8</v>
      </c>
      <c r="AX90" s="21">
        <f t="shared" si="60"/>
        <v>4.7416322062405145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>
        <f>BD90*VLOOKUP('Données projet'!$B$11,Paramètres!$A$1:$I$89,3,0)*VLOOKUP('Données projet'!$B$11,Paramètres!$A$1:$I$89,5,0)</f>
        <v>0</v>
      </c>
      <c r="BF90" s="13" t="e">
        <f t="shared" si="91"/>
        <v>#NUM!</v>
      </c>
      <c r="BG90" s="20" t="e">
        <f t="shared" si="61"/>
        <v>#NUM!</v>
      </c>
      <c r="BH90" s="59" t="e">
        <f t="shared" si="62"/>
        <v>#NUM!</v>
      </c>
      <c r="BI90" s="59">
        <f ca="1">AVERAGE(OFFSET($BH$3,0,0,'Données projet'!$E$11+1,1))-AVERAGE(OFFSET($H$3,0,0,'Données projet'!$E$11+1,1))</f>
        <v>210.04871822652808</v>
      </c>
      <c r="BJ90" s="59">
        <f t="shared" si="92"/>
        <v>250.17540614049324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2.3611994923149204</v>
      </c>
      <c r="BQ90" s="21">
        <f>EXP(-LN(2)/25)*BQ89+(1-EXP(-LN(2)/25))/(LN(2)/25)*Calculateur!BL90*Calculateur!BN90*VLOOKUP('Données projet'!$B$11,Paramètres!$A$1:$I$89,3,0)*0.475*44/12</f>
        <v>5.7302814280146706</v>
      </c>
      <c r="BR90" s="21">
        <f>EXP(-LN(2)/2)*BR89+(1-EXP(-LN(2)/2))/(LN(2)/2)*BL90*BO90*VLOOKUP('Données projet'!$B$11,Paramètres!$A$1:$I$89,3,0)*0.475*44/12</f>
        <v>5.6776780214614202E-8</v>
      </c>
      <c r="BS90" s="22">
        <f t="shared" si="63"/>
        <v>8.0914809771063716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2.2737367544323206E-13</v>
      </c>
      <c r="BZ90" s="13">
        <f>BY90*VLOOKUP('Données projet'!$B$12,Paramètres!$A$1:$I$89,3,0)*VLOOKUP('Données projet'!$B$12,Paramètres!$A$1:$I$89,5,0)</f>
        <v>1.2414602679200471E-13</v>
      </c>
      <c r="CA90" s="13">
        <f t="shared" si="93"/>
        <v>1.8186582995804361E-12</v>
      </c>
      <c r="CB90" s="20">
        <f t="shared" si="64"/>
        <v>3.3837175350986671E-12</v>
      </c>
      <c r="CC90" s="59">
        <f t="shared" si="65"/>
        <v>293.33333333333672</v>
      </c>
      <c r="CD90" s="59">
        <f ca="1">AVERAGE(OFFSET($CC$3,0,0,'Données projet'!$E$12+1,1))-AVERAGE(OFFSET($H$3,0,0,'Données projet'!$E$12+1,1))</f>
        <v>168.72306536277267</v>
      </c>
      <c r="CE90" s="59">
        <f t="shared" si="94"/>
        <v>203.35476578922339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0.9838331217978834</v>
      </c>
      <c r="CL90" s="21">
        <f>EXP(-LN(2)/25)*CL89+(1-EXP(-LN(2)/25))/(LN(2)/25)*Calculateur!CG90*Calculateur!CI90*VLOOKUP('Données projet'!$B$12,Paramètres!$A$1:$I$89,3,0)*0.475*44/12</f>
        <v>4.732564319326694</v>
      </c>
      <c r="CM90" s="21">
        <f>EXP(-LN(2)/2)*CM89+(1-EXP(-LN(2)/2))/(LN(2)/2)*CG90*CJ90*VLOOKUP('Données projet'!$B$12,Paramètres!$A$1:$I$89,3,0)*0.475*44/12</f>
        <v>5.2746376886660843E-8</v>
      </c>
      <c r="CN90" s="22">
        <f t="shared" si="66"/>
        <v>5.7163974938709545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20.769230769230774</v>
      </c>
      <c r="CT90" s="12">
        <f>IF('Données projet'!$A$140&gt;35,CT89+CS90-DB89,IF(A90&lt;'Données projet'!$A$140,$CQ$205^A90,IF(A90='Données projet'!$A$140,'Données projet'!$B$140,CT89+CS90-DB89)))</f>
        <v>664.6153846153843</v>
      </c>
      <c r="CU90" s="17">
        <f>CT90*VLOOKUP('Données projet'!$B$13,Paramètres!$A$1:$I$89,3,0)*VLOOKUP('Données projet'!$B$13,Paramètres!$A$1:$I$89,5,0)</f>
        <v>319.67999999999989</v>
      </c>
      <c r="CV90" s="13">
        <f t="shared" si="95"/>
        <v>75.286767563004403</v>
      </c>
      <c r="CW90" s="20">
        <f t="shared" si="67"/>
        <v>687.90045350556591</v>
      </c>
      <c r="CX90" s="59">
        <f t="shared" si="68"/>
        <v>981.23378683889928</v>
      </c>
      <c r="CY90" s="59">
        <f ca="1">AVERAGE(OFFSET($CX$3,0,0,'Données projet'!$E$13+1,1))-AVERAGE(OFFSET($H$3,0,0,'Données projet'!$E$13+1,1))</f>
        <v>304.15237106473313</v>
      </c>
      <c r="CZ90" s="59">
        <f t="shared" si="96"/>
        <v>120.85458928724336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>
        <f>EXP(-LN(2)/35)*DF89+(1-EXP(-LN(2)/35))/(LN(2)/35)*DB90*DC90*VLOOKUP('Données projet'!$B$13,Paramètres!$A$1:$I$89,3,0)*0.475*44/12</f>
        <v>0</v>
      </c>
      <c r="DG90" s="21">
        <f>EXP(-LN(2)/25)*DG89+(1-EXP(-LN(2)/25))/(LN(2)/25)*Calculateur!DB90*Calculateur!DD90*VLOOKUP('Données projet'!$B$13,Paramètres!$A$1:$I$89,3,0)*0.475*44/12</f>
        <v>0</v>
      </c>
      <c r="DH90" s="21">
        <f>EXP(-LN(2)/2)*DH89+(1-EXP(-LN(2)/2))/(LN(2)/2)*DB90*DE90*VLOOKUP('Données projet'!$B$13,Paramètres!$A$1:$I$89,3,0)*0.475*44/12</f>
        <v>0</v>
      </c>
      <c r="DI90" s="22">
        <f t="shared" si="69"/>
        <v>0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9.0769230769230749</v>
      </c>
      <c r="DO90" s="12">
        <f>IF('Données projet'!$A$166&gt;35,DO89+DN90-DW89,IF(A90&lt;'Données projet'!$A$166,$DL$205^A90,IF(A90='Données projet'!$A$166,'Données projet'!$B$166,DO89+DN90-DW89)))</f>
        <v>296.61538461538447</v>
      </c>
      <c r="DP90" s="17">
        <f>DO90*VLOOKUP('Données projet'!$B$14,Paramètres!$A$1:$I$89,3,0)*VLOOKUP('Données projet'!$B$14,Paramètres!$A$1:$I$89,5,0)</f>
        <v>142.67199999999994</v>
      </c>
      <c r="DQ90" s="13">
        <f t="shared" si="97"/>
        <v>36.908448021214646</v>
      </c>
      <c r="DR90" s="20">
        <f t="shared" si="70"/>
        <v>312.76928030361535</v>
      </c>
      <c r="DS90" s="59">
        <f t="shared" si="71"/>
        <v>606.10261363694872</v>
      </c>
      <c r="DT90" s="59">
        <f ca="1">AVERAGE(OFFSET($DS$3,0,0,'Données projet'!$E$14+1,1))-AVERAGE(OFFSET($H$3,0,0,'Données projet'!$E$14+1,1))</f>
        <v>91.053246648097399</v>
      </c>
      <c r="DU90" s="59">
        <f t="shared" si="98"/>
        <v>64.716270355703955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>
        <f>EXP(-LN(2)/35)*EA89+(1-EXP(-LN(2)/35))/(LN(2)/35)*DW90*DX90*VLOOKUP('Données projet'!$B$14,Paramètres!$A$1:$I$89,3,0)*0.475*44/12</f>
        <v>0</v>
      </c>
      <c r="EB90" s="21">
        <f>EXP(-LN(2)/25)*EB89+(1-EXP(-LN(2)/25))/(LN(2)/25)*Calculateur!DW90*Calculateur!DY90*VLOOKUP('Données projet'!$B$14,Paramètres!$A$1:$I$89,3,0)*0.475*44/12</f>
        <v>0</v>
      </c>
      <c r="EC90" s="21">
        <f>EXP(-LN(2)/2)*EC89+(1-EXP(-LN(2)/2))/(LN(2)/2)*DW90*DZ90*VLOOKUP('Données projet'!$B$14,Paramètres!$A$1:$I$89,3,0)*0.475*44/12</f>
        <v>0</v>
      </c>
      <c r="ED90" s="22">
        <f t="shared" si="72"/>
        <v>0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12.5</v>
      </c>
      <c r="EJ90" s="12">
        <f>IF('Données projet'!$A$192&gt;35,EJ89+EI90-ER89,IF(A90&lt;'Données projet'!$A$192,$EG$205^A90,IF(A90='Données projet'!$A$192,'Données projet'!$B$192,EJ89+EI90-ER89)))</f>
        <v>599.49999999999955</v>
      </c>
      <c r="EK90" s="17">
        <f>EJ90*VLOOKUP('Données projet'!$B$15,Paramètres!$A$1:$I$89,3,0)*VLOOKUP('Données projet'!$B$15,Paramètres!$A$1:$I$89,5,0)</f>
        <v>358.50099999999975</v>
      </c>
      <c r="EL90" s="13">
        <f t="shared" si="99"/>
        <v>83.310503088522523</v>
      </c>
      <c r="EM90" s="20">
        <f t="shared" si="73"/>
        <v>769.48836787917628</v>
      </c>
      <c r="EN90" s="59">
        <f t="shared" si="74"/>
        <v>1062.8217012125097</v>
      </c>
      <c r="EO90" s="59">
        <f ca="1">AVERAGE(OFFSET($EN$3,0,0,'Données projet'!$E$15+1,1))-AVERAGE(OFFSET($H$3,0,0,'Données projet'!$E$15+1,1))</f>
        <v>316.58509520829671</v>
      </c>
      <c r="EP90" s="59">
        <f t="shared" si="100"/>
        <v>240.71332110643596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>
        <f>EXP(-LN(2)/35)*EV89+(1-EXP(-LN(2)/35))/(LN(2)/35)*ER90*ES90*VLOOKUP('Données projet'!$B$15,Paramètres!$A$1:$I$89,3,0)*0.475*44/12</f>
        <v>0.81969361627344106</v>
      </c>
      <c r="EW90" s="21">
        <f>EXP(-LN(2)/25)*EW89+(1-EXP(-LN(2)/25))/(LN(2)/25)*Calculateur!ER90*Calculateur!ET90*VLOOKUP('Données projet'!$B$15,Paramètres!$A$1:$I$89,3,0)*0.475*44/12</f>
        <v>3.1436318248455115</v>
      </c>
      <c r="EX90" s="21">
        <f>EXP(-LN(2)/2)*EX89+(1-EXP(-LN(2)/2))/(LN(2)/2)*ER90*EU90*VLOOKUP('Données projet'!$B$15,Paramètres!$A$1:$I$89,3,0)*0.475*44/12</f>
        <v>5.779213555036004E-8</v>
      </c>
      <c r="EY90" s="22">
        <f t="shared" si="75"/>
        <v>3.9633254989110882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10.8</v>
      </c>
      <c r="FE90" s="12">
        <f>IF('Données projet'!$A$218&gt;35,FE89+FD90-FM89,IF(A90&lt;'Données projet'!$A$218,$FB$205^A90,IF(A90='Données projet'!$A$218,'Données projet'!$B$218,FE89+FD90-FM89)))</f>
        <v>534.60000000000014</v>
      </c>
      <c r="FF90" s="17">
        <f>FE90*VLOOKUP('Données projet'!$B$16,Paramètres!$A$1:$I$89,3,0)*VLOOKUP('Données projet'!$B$16,Paramètres!$A$1:$I$89,5,0)</f>
        <v>319.69080000000014</v>
      </c>
      <c r="FG90" s="13">
        <f t="shared" si="101"/>
        <v>75.289014970336254</v>
      </c>
      <c r="FH90" s="20">
        <f t="shared" si="76"/>
        <v>687.92317774000242</v>
      </c>
      <c r="FI90" s="59">
        <f t="shared" si="77"/>
        <v>981.25651107333579</v>
      </c>
      <c r="FJ90" s="59">
        <f ca="1">AVERAGE(OFFSET($FI$3,0,0,'Données projet'!$E$16+1,1))-AVERAGE(OFFSET($H$3,0,0,'Données projet'!$E$16+1,1))</f>
        <v>270.30888762640245</v>
      </c>
      <c r="FK90" s="59">
        <f t="shared" si="102"/>
        <v>202.23783851977691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>
        <f>EXP(-LN(2)/35)*FQ89+(1-EXP(-LN(2)/35))/(LN(2)/35)*FM90*FN90*VLOOKUP('Données projet'!$B$16,Paramètres!$A$1:$I$89,3,0)*0.475*44/12</f>
        <v>0.69269883065361215</v>
      </c>
      <c r="FR90" s="21">
        <f>EXP(-LN(2)/25)*FR89+(1-EXP(-LN(2)/25))/(LN(2)/25)*Calculateur!FM90*Calculateur!FO90*VLOOKUP('Données projet'!$B$16,Paramètres!$A$1:$I$89,3,0)*0.475*44/12</f>
        <v>2.5315557515230838</v>
      </c>
      <c r="FS90" s="21">
        <f>EXP(-LN(2)/2)*FS89+(1-EXP(-LN(2)/2))/(LN(2)/2)*FM90*FP90*VLOOKUP('Données projet'!$B$16,Paramètres!$A$1:$I$89,3,0)*0.475*44/12</f>
        <v>4.8712823291556047E-8</v>
      </c>
      <c r="FT90" s="22">
        <f t="shared" si="78"/>
        <v>3.224254630889519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-5.1159076974727213E-13</v>
      </c>
      <c r="GA90" s="17">
        <f>FZ90*VLOOKUP('Données projet'!$B$17,Paramètres!$A$1:$I$89,3,0)*VLOOKUP('Données projet'!$B$17,Paramètres!$A$1:$I$89,5,0)</f>
        <v>-4.0702161641092972E-13</v>
      </c>
      <c r="GB90" s="13" t="e">
        <f t="shared" si="103"/>
        <v>#NUM!</v>
      </c>
      <c r="GC90" s="20" t="e">
        <f t="shared" si="79"/>
        <v>#NUM!</v>
      </c>
      <c r="GD90" s="59" t="e">
        <f t="shared" si="80"/>
        <v>#NUM!</v>
      </c>
      <c r="GE90" s="59">
        <f ca="1">AVERAGE(OFFSET($GD$3,0,0,'Données projet'!$E$17+1,1))-AVERAGE(OFFSET($H$3,0,0,'Données projet'!$E$17+1,1))</f>
        <v>260.20517190557814</v>
      </c>
      <c r="GF90" s="59">
        <f t="shared" si="104"/>
        <v>307.22009971147133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>
        <f>EXP(-LN(2)/35)*GL89+(1-EXP(-LN(2)/35))/(LN(2)/35)*GH90*GI90*VLOOKUP('Données projet'!$B$17,Paramètres!$A$1:$I$89,3,0)*0.475*44/12</f>
        <v>1.0552781461189213</v>
      </c>
      <c r="GM90" s="21">
        <f>EXP(-LN(2)/25)*GM89+(1-EXP(-LN(2)/25))/(LN(2)/25)*Calculateur!GH90*Calculateur!GJ90*VLOOKUP('Données projet'!$B$17,Paramètres!$A$1:$I$89,3,0)*0.475*44/12</f>
        <v>4.2249401205105066</v>
      </c>
      <c r="GN90" s="21">
        <f>EXP(-LN(2)/2)*GN89+(1-EXP(-LN(2)/2))/(LN(2)/2)*GH90*GK90*VLOOKUP('Données projet'!$B$17,Paramètres!$A$1:$I$89,3,0)*0.475*44/12</f>
        <v>6.3323095937447128E-8</v>
      </c>
      <c r="GO90" s="21">
        <f t="shared" si="81"/>
        <v>5.2802183299525236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5.6843418860808015E-14</v>
      </c>
      <c r="GV90" s="17">
        <f>GU90*VLOOKUP('Données projet'!$B$18,Paramètres!$A$1:$I$89,3,0)*VLOOKUP('Données projet'!$B$18,Paramètres!$A$1:$I$89,5,0)</f>
        <v>4.5224624045658861E-14</v>
      </c>
      <c r="GW90" s="13">
        <f t="shared" si="105"/>
        <v>7.4514601661523691E-13</v>
      </c>
      <c r="GX90" s="20">
        <f t="shared" si="82"/>
        <v>1.3765621991510601E-12</v>
      </c>
      <c r="GY90" s="59">
        <f t="shared" si="83"/>
        <v>293.33333333333468</v>
      </c>
      <c r="GZ90" s="59">
        <f ca="1">AVERAGE(OFFSET($GY$3,0,0,'Données projet'!$E$18+1,1))-AVERAGE(OFFSET($H$3,0,0,'Données projet'!$E$18+1,1))</f>
        <v>199.58763537752952</v>
      </c>
      <c r="HA90" s="59">
        <f t="shared" si="106"/>
        <v>242.62852778451929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>
        <f>EXP(-LN(2)/35)*HG89+(1-EXP(-LN(2)/35))/(LN(2)/35)*HC90*HD90*VLOOKUP('Données projet'!$B$18,Paramètres!$A$1:$I$89,3,0)*0.475*44/12</f>
        <v>0</v>
      </c>
      <c r="HH90" s="21">
        <f>EXP(-LN(2)/25)*HH89+(1-EXP(-LN(2)/25))/(LN(2)/25)*Calculateur!HC90*Calculateur!HE90*VLOOKUP('Données projet'!$B$18,Paramètres!$A$1:$I$89,3,0)*0.475*44/12</f>
        <v>2.1172417627453504</v>
      </c>
      <c r="HI90" s="21">
        <f>EXP(-LN(2)/2)*HI89+(1-EXP(-LN(2)/2))/(LN(2)/2)*HC90*HF90*VLOOKUP('Données projet'!$B$18,Paramètres!$A$1:$I$89,3,0)*0.475*44/12</f>
        <v>2.834786070876205E-8</v>
      </c>
      <c r="HJ90" s="22">
        <f t="shared" si="84"/>
        <v>2.1172417910932109</v>
      </c>
    </row>
    <row r="91" spans="1:218" x14ac:dyDescent="0.2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78.249600000000115</v>
      </c>
      <c r="D91" s="11">
        <f t="shared" si="86"/>
        <v>21.70865274023982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771.60756501237847</v>
      </c>
      <c r="H91" s="67">
        <f t="shared" si="56"/>
        <v>467.42729018925121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-2.2737367544323206E-13</v>
      </c>
      <c r="O91" s="13">
        <f>N91*VLOOKUP('Données projet'!$B$9,Paramètres!$A$1:$I$89,3,0)*VLOOKUP('Données projet'!$B$9,Paramètres!$A$1:$I$89,5,0)</f>
        <v>-1.2710188457276673E-13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255.5374979188561</v>
      </c>
      <c r="T91" s="59">
        <f t="shared" si="88"/>
        <v>343.10418468620901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0.97974828784987167</v>
      </c>
      <c r="AA91" s="21">
        <f>EXP(-LN(2)/25)*AA90+(1-EXP(-LN(2)/25))/(LN(2)/25)*Calculateur!V91*Calculateur!X91*VLOOKUP('Données projet'!$B$9,Paramètres!$A$1:$I$89,3,0)*0.475*44/12</f>
        <v>3.1963207069456132</v>
      </c>
      <c r="AB91" s="21">
        <f>EXP(-LN(2)/2)*AB90+(1-EXP(-LN(2)/2))/(LN(2)/2)*V91*Y91*VLOOKUP('Données projet'!$B$9,Paramètres!$A$1:$I$89,3,0)*0.475*44/12</f>
        <v>3.1528101851308086E-9</v>
      </c>
      <c r="AC91" s="22">
        <f t="shared" si="57"/>
        <v>4.1760689979482954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1.1368683772161603E-13</v>
      </c>
      <c r="AJ91" s="13">
        <f>AI91*VLOOKUP('Données projet'!$B$10,Paramètres!$A$1:$I$89,3,0)*VLOOKUP('Données projet'!$B$10,Paramètres!$A$1:$I$89,5,0)</f>
        <v>6.3550942286383367E-14</v>
      </c>
      <c r="AK91" s="13">
        <f t="shared" si="89"/>
        <v>1.0064464192543978E-12</v>
      </c>
      <c r="AL91" s="20">
        <f t="shared" si="58"/>
        <v>1.8635787380168604E-12</v>
      </c>
      <c r="AM91" s="59">
        <f t="shared" si="59"/>
        <v>293.33333333333519</v>
      </c>
      <c r="AN91" s="59">
        <f ca="1">AVERAGE(OFFSET($AM$3,0,0,'Données projet'!$E$10+1,1))-AVERAGE(OFFSET($H$3,0,0,'Données projet'!$E$10+1,1))</f>
        <v>224.7049802939942</v>
      </c>
      <c r="AO91" s="59">
        <f t="shared" si="90"/>
        <v>203.48513862195352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0.70742614711507379</v>
      </c>
      <c r="AV91" s="21">
        <f>EXP(-LN(2)/25)*AV90+(1-EXP(-LN(2)/25))/(LN(2)/25)*Calculateur!AQ91*Calculateur!AS91*VLOOKUP('Données projet'!$B$10,Paramètres!$A$1:$I$89,3,0)*0.475*44/12</f>
        <v>3.9101277210791525</v>
      </c>
      <c r="AW91" s="21">
        <f>EXP(-LN(2)/2)*AW90+(1-EXP(-LN(2)/2))/(LN(2)/2)*AQ91*AT91*VLOOKUP('Données projet'!$B$10,Paramètres!$A$1:$I$89,3,0)*0.475*44/12</f>
        <v>1.6690441576927909E-8</v>
      </c>
      <c r="AX91" s="21">
        <f t="shared" si="60"/>
        <v>4.6175538848846687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>
        <f>BD91*VLOOKUP('Données projet'!$B$11,Paramètres!$A$1:$I$89,3,0)*VLOOKUP('Données projet'!$B$11,Paramètres!$A$1:$I$89,5,0)</f>
        <v>0</v>
      </c>
      <c r="BF91" s="13" t="e">
        <f t="shared" si="91"/>
        <v>#NUM!</v>
      </c>
      <c r="BG91" s="20" t="e">
        <f t="shared" si="61"/>
        <v>#NUM!</v>
      </c>
      <c r="BH91" s="59" t="e">
        <f t="shared" si="62"/>
        <v>#NUM!</v>
      </c>
      <c r="BI91" s="59">
        <f ca="1">AVERAGE(OFFSET($BH$3,0,0,'Données projet'!$E$11+1,1))-AVERAGE(OFFSET($H$3,0,0,'Données projet'!$E$11+1,1))</f>
        <v>210.04871822652808</v>
      </c>
      <c r="BJ91" s="59">
        <f t="shared" si="92"/>
        <v>250.17540614049324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2.3148978104601081</v>
      </c>
      <c r="BQ91" s="21">
        <f>EXP(-LN(2)/25)*BQ90+(1-EXP(-LN(2)/25))/(LN(2)/25)*Calculateur!BL91*Calculateur!BN91*VLOOKUP('Données projet'!$B$11,Paramètres!$A$1:$I$89,3,0)*0.475*44/12</f>
        <v>5.5735865810232061</v>
      </c>
      <c r="BR91" s="21">
        <f>EXP(-LN(2)/2)*BR90+(1-EXP(-LN(2)/2))/(LN(2)/2)*BL91*BO91*VLOOKUP('Données projet'!$B$11,Paramètres!$A$1:$I$89,3,0)*0.475*44/12</f>
        <v>4.0147246303691905E-8</v>
      </c>
      <c r="BS91" s="22">
        <f t="shared" si="63"/>
        <v>7.8884844316305607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2.2737367544323206E-13</v>
      </c>
      <c r="BZ91" s="13">
        <f>BY91*VLOOKUP('Données projet'!$B$12,Paramètres!$A$1:$I$89,3,0)*VLOOKUP('Données projet'!$B$12,Paramètres!$A$1:$I$89,5,0)</f>
        <v>1.2414602679200471E-13</v>
      </c>
      <c r="CA91" s="13">
        <f t="shared" si="93"/>
        <v>1.8186582995804361E-12</v>
      </c>
      <c r="CB91" s="20">
        <f t="shared" si="64"/>
        <v>3.3837175350986671E-12</v>
      </c>
      <c r="CC91" s="59">
        <f t="shared" si="65"/>
        <v>293.33333333333672</v>
      </c>
      <c r="CD91" s="59">
        <f ca="1">AVERAGE(OFFSET($CC$3,0,0,'Données projet'!$E$12+1,1))-AVERAGE(OFFSET($H$3,0,0,'Données projet'!$E$12+1,1))</f>
        <v>168.72306536277267</v>
      </c>
      <c r="CE91" s="59">
        <f t="shared" si="94"/>
        <v>203.35476578922339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0.96454075435837838</v>
      </c>
      <c r="CL91" s="21">
        <f>EXP(-LN(2)/25)*CL90+(1-EXP(-LN(2)/25))/(LN(2)/25)*Calculateur!CG91*Calculateur!CI91*VLOOKUP('Données projet'!$B$12,Paramètres!$A$1:$I$89,3,0)*0.475*44/12</f>
        <v>4.6031520991399644</v>
      </c>
      <c r="CM91" s="21">
        <f>EXP(-LN(2)/2)*CM90+(1-EXP(-LN(2)/2))/(LN(2)/2)*CG91*CJ91*VLOOKUP('Données projet'!$B$12,Paramètres!$A$1:$I$89,3,0)*0.475*44/12</f>
        <v>3.7297320779579256E-8</v>
      </c>
      <c r="CN91" s="22">
        <f t="shared" si="66"/>
        <v>5.567692890795664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20.769230769230774</v>
      </c>
      <c r="CT91" s="12">
        <f>IF('Données projet'!$A$140&gt;35,CT90+CS91-DB90,IF(A91&lt;'Données projet'!$A$140,$CQ$205^A91,IF(A91='Données projet'!$A$140,'Données projet'!$B$140,CT90+CS91-DB90)))</f>
        <v>685.38461538461502</v>
      </c>
      <c r="CU91" s="17">
        <f>CT91*VLOOKUP('Données projet'!$B$13,Paramètres!$A$1:$I$89,3,0)*VLOOKUP('Données projet'!$B$13,Paramètres!$A$1:$I$89,5,0)</f>
        <v>329.66999999999979</v>
      </c>
      <c r="CV91" s="13">
        <f t="shared" si="95"/>
        <v>77.361885769028433</v>
      </c>
      <c r="CW91" s="20">
        <f t="shared" si="67"/>
        <v>708.91386771439068</v>
      </c>
      <c r="CX91" s="59">
        <f t="shared" si="68"/>
        <v>1002.247201047724</v>
      </c>
      <c r="CY91" s="59">
        <f ca="1">AVERAGE(OFFSET($CX$3,0,0,'Données projet'!$E$13+1,1))-AVERAGE(OFFSET($H$3,0,0,'Données projet'!$E$13+1,1))</f>
        <v>304.15237106473313</v>
      </c>
      <c r="CZ91" s="59">
        <f t="shared" si="96"/>
        <v>120.85458928724336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>
        <f>EXP(-LN(2)/35)*DF90+(1-EXP(-LN(2)/35))/(LN(2)/35)*DB91*DC91*VLOOKUP('Données projet'!$B$13,Paramètres!$A$1:$I$89,3,0)*0.475*44/12</f>
        <v>0</v>
      </c>
      <c r="DG91" s="21">
        <f>EXP(-LN(2)/25)*DG90+(1-EXP(-LN(2)/25))/(LN(2)/25)*Calculateur!DB91*Calculateur!DD91*VLOOKUP('Données projet'!$B$13,Paramètres!$A$1:$I$89,3,0)*0.475*44/12</f>
        <v>0</v>
      </c>
      <c r="DH91" s="21">
        <f>EXP(-LN(2)/2)*DH90+(1-EXP(-LN(2)/2))/(LN(2)/2)*DB91*DE91*VLOOKUP('Données projet'!$B$13,Paramètres!$A$1:$I$89,3,0)*0.475*44/12</f>
        <v>0</v>
      </c>
      <c r="DI91" s="22">
        <f t="shared" si="69"/>
        <v>0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9.0769230769230749</v>
      </c>
      <c r="DO91" s="12">
        <f>IF('Données projet'!$A$166&gt;35,DO90+DN91-DW90,IF(A91&lt;'Données projet'!$A$166,$DL$205^A91,IF(A91='Données projet'!$A$166,'Données projet'!$B$166,DO90+DN91-DW90)))</f>
        <v>305.69230769230757</v>
      </c>
      <c r="DP91" s="17">
        <f>DO91*VLOOKUP('Données projet'!$B$14,Paramètres!$A$1:$I$89,3,0)*VLOOKUP('Données projet'!$B$14,Paramètres!$A$1:$I$89,5,0)</f>
        <v>147.03799999999995</v>
      </c>
      <c r="DQ91" s="13">
        <f t="shared" si="97"/>
        <v>37.904681154226637</v>
      </c>
      <c r="DR91" s="20">
        <f t="shared" si="70"/>
        <v>322.10850301027796</v>
      </c>
      <c r="DS91" s="59">
        <f t="shared" si="71"/>
        <v>615.44183634361127</v>
      </c>
      <c r="DT91" s="59">
        <f ca="1">AVERAGE(OFFSET($DS$3,0,0,'Données projet'!$E$14+1,1))-AVERAGE(OFFSET($H$3,0,0,'Données projet'!$E$14+1,1))</f>
        <v>91.053246648097399</v>
      </c>
      <c r="DU91" s="59">
        <f t="shared" si="98"/>
        <v>64.716270355703955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>
        <f>EXP(-LN(2)/35)*EA90+(1-EXP(-LN(2)/35))/(LN(2)/35)*DW91*DX91*VLOOKUP('Données projet'!$B$14,Paramètres!$A$1:$I$89,3,0)*0.475*44/12</f>
        <v>0</v>
      </c>
      <c r="EB91" s="21">
        <f>EXP(-LN(2)/25)*EB90+(1-EXP(-LN(2)/25))/(LN(2)/25)*Calculateur!DW91*Calculateur!DY91*VLOOKUP('Données projet'!$B$14,Paramètres!$A$1:$I$89,3,0)*0.475*44/12</f>
        <v>0</v>
      </c>
      <c r="EC91" s="21">
        <f>EXP(-LN(2)/2)*EC90+(1-EXP(-LN(2)/2))/(LN(2)/2)*DW91*DZ91*VLOOKUP('Données projet'!$B$14,Paramètres!$A$1:$I$89,3,0)*0.475*44/12</f>
        <v>0</v>
      </c>
      <c r="ED91" s="22">
        <f t="shared" si="72"/>
        <v>0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12.5</v>
      </c>
      <c r="EJ91" s="12">
        <f>IF('Données projet'!$A$192&gt;35,EJ90+EI91-ER90,IF(A91&lt;'Données projet'!$A$192,$EG$205^A91,IF(A91='Données projet'!$A$192,'Données projet'!$B$192,EJ90+EI91-ER90)))</f>
        <v>611.99999999999955</v>
      </c>
      <c r="EK91" s="17">
        <f>EJ91*VLOOKUP('Données projet'!$B$15,Paramètres!$A$1:$I$89,3,0)*VLOOKUP('Données projet'!$B$15,Paramètres!$A$1:$I$89,5,0)</f>
        <v>365.97599999999977</v>
      </c>
      <c r="EL91" s="13">
        <f t="shared" si="99"/>
        <v>84.843541364532513</v>
      </c>
      <c r="EM91" s="20">
        <f t="shared" si="73"/>
        <v>785.17736787656031</v>
      </c>
      <c r="EN91" s="59">
        <f t="shared" si="74"/>
        <v>1078.5107012098936</v>
      </c>
      <c r="EO91" s="59">
        <f ca="1">AVERAGE(OFFSET($EN$3,0,0,'Données projet'!$E$15+1,1))-AVERAGE(OFFSET($H$3,0,0,'Données projet'!$E$15+1,1))</f>
        <v>316.58509520829671</v>
      </c>
      <c r="EP91" s="59">
        <f t="shared" si="100"/>
        <v>240.71332110643596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>
        <f>EXP(-LN(2)/35)*EV90+(1-EXP(-LN(2)/35))/(LN(2)/35)*ER91*ES91*VLOOKUP('Données projet'!$B$15,Paramètres!$A$1:$I$89,3,0)*0.475*44/12</f>
        <v>0.80361992442205754</v>
      </c>
      <c r="EW91" s="21">
        <f>EXP(-LN(2)/25)*EW90+(1-EXP(-LN(2)/25))/(LN(2)/25)*Calculateur!ER91*Calculateur!ET91*VLOOKUP('Données projet'!$B$15,Paramètres!$A$1:$I$89,3,0)*0.475*44/12</f>
        <v>3.057669047278698</v>
      </c>
      <c r="EX91" s="21">
        <f>EXP(-LN(2)/2)*EX90+(1-EXP(-LN(2)/2))/(LN(2)/2)*ER91*EU91*VLOOKUP('Données projet'!$B$15,Paramètres!$A$1:$I$89,3,0)*0.475*44/12</f>
        <v>4.0865210946911734E-8</v>
      </c>
      <c r="EY91" s="22">
        <f t="shared" si="75"/>
        <v>3.8612890125659662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10.8</v>
      </c>
      <c r="FE91" s="12">
        <f>IF('Données projet'!$A$218&gt;35,FE90+FD91-FM90,IF(A91&lt;'Données projet'!$A$218,$FB$205^A91,IF(A91='Données projet'!$A$218,'Données projet'!$B$218,FE90+FD91-FM90)))</f>
        <v>545.40000000000009</v>
      </c>
      <c r="FF91" s="17">
        <f>FE91*VLOOKUP('Données projet'!$B$16,Paramètres!$A$1:$I$89,3,0)*VLOOKUP('Données projet'!$B$16,Paramètres!$A$1:$I$89,5,0)</f>
        <v>326.14920000000006</v>
      </c>
      <c r="FG91" s="13">
        <f t="shared" si="101"/>
        <v>76.631393510479626</v>
      </c>
      <c r="FH91" s="20">
        <f t="shared" si="76"/>
        <v>701.50953369741865</v>
      </c>
      <c r="FI91" s="59">
        <f t="shared" si="77"/>
        <v>994.8428670307519</v>
      </c>
      <c r="FJ91" s="59">
        <f ca="1">AVERAGE(OFFSET($FI$3,0,0,'Données projet'!$E$16+1,1))-AVERAGE(OFFSET($H$3,0,0,'Données projet'!$E$16+1,1))</f>
        <v>270.30888762640245</v>
      </c>
      <c r="FK91" s="59">
        <f t="shared" si="102"/>
        <v>202.23783851977691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>
        <f>EXP(-LN(2)/35)*FQ90+(1-EXP(-LN(2)/35))/(LN(2)/35)*FM91*FN91*VLOOKUP('Données projet'!$B$16,Paramètres!$A$1:$I$89,3,0)*0.475*44/12</f>
        <v>0.67911542908906264</v>
      </c>
      <c r="FR91" s="21">
        <f>EXP(-LN(2)/25)*FR90+(1-EXP(-LN(2)/25))/(LN(2)/25)*Calculateur!FM91*Calculateur!FO91*VLOOKUP('Données projet'!$B$16,Paramètres!$A$1:$I$89,3,0)*0.475*44/12</f>
        <v>2.4623302263689539</v>
      </c>
      <c r="FS91" s="21">
        <f>EXP(-LN(2)/2)*FS90+(1-EXP(-LN(2)/2))/(LN(2)/2)*FM91*FP91*VLOOKUP('Données projet'!$B$16,Paramètres!$A$1:$I$89,3,0)*0.475*44/12</f>
        <v>3.4445167680201277E-8</v>
      </c>
      <c r="FT91" s="22">
        <f t="shared" si="78"/>
        <v>3.1414456899031844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-5.1159076974727213E-13</v>
      </c>
      <c r="GA91" s="17">
        <f>FZ91*VLOOKUP('Données projet'!$B$17,Paramètres!$A$1:$I$89,3,0)*VLOOKUP('Données projet'!$B$17,Paramètres!$A$1:$I$89,5,0)</f>
        <v>-4.0702161641092972E-13</v>
      </c>
      <c r="GB91" s="13" t="e">
        <f t="shared" si="103"/>
        <v>#NUM!</v>
      </c>
      <c r="GC91" s="20" t="e">
        <f t="shared" si="79"/>
        <v>#NUM!</v>
      </c>
      <c r="GD91" s="59" t="e">
        <f t="shared" si="80"/>
        <v>#NUM!</v>
      </c>
      <c r="GE91" s="59">
        <f ca="1">AVERAGE(OFFSET($GD$3,0,0,'Données projet'!$E$17+1,1))-AVERAGE(OFFSET($H$3,0,0,'Données projet'!$E$17+1,1))</f>
        <v>260.20517190557814</v>
      </c>
      <c r="GF91" s="59">
        <f t="shared" si="104"/>
        <v>307.22009971147133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>
        <f>EXP(-LN(2)/35)*GL90+(1-EXP(-LN(2)/35))/(LN(2)/35)*GH91*GI91*VLOOKUP('Données projet'!$B$17,Paramètres!$A$1:$I$89,3,0)*0.475*44/12</f>
        <v>1.0345847853296426</v>
      </c>
      <c r="GM91" s="21">
        <f>EXP(-LN(2)/25)*GM90+(1-EXP(-LN(2)/25))/(LN(2)/25)*Calculateur!GH91*Calculateur!GJ91*VLOOKUP('Données projet'!$B$17,Paramètres!$A$1:$I$89,3,0)*0.475*44/12</f>
        <v>4.1094089107352021</v>
      </c>
      <c r="GN91" s="21">
        <f>EXP(-LN(2)/2)*GN90+(1-EXP(-LN(2)/2))/(LN(2)/2)*GH91*GK91*VLOOKUP('Données projet'!$B$17,Paramètres!$A$1:$I$89,3,0)*0.475*44/12</f>
        <v>4.4776190543095183E-8</v>
      </c>
      <c r="GO91" s="21">
        <f t="shared" si="81"/>
        <v>5.1439937408410357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5.6843418860808015E-14</v>
      </c>
      <c r="GV91" s="17">
        <f>GU91*VLOOKUP('Données projet'!$B$18,Paramètres!$A$1:$I$89,3,0)*VLOOKUP('Données projet'!$B$18,Paramètres!$A$1:$I$89,5,0)</f>
        <v>4.5224624045658861E-14</v>
      </c>
      <c r="GW91" s="13">
        <f t="shared" si="105"/>
        <v>7.4514601661523691E-13</v>
      </c>
      <c r="GX91" s="20">
        <f t="shared" si="82"/>
        <v>1.3765621991510601E-12</v>
      </c>
      <c r="GY91" s="59">
        <f t="shared" si="83"/>
        <v>293.33333333333468</v>
      </c>
      <c r="GZ91" s="59">
        <f ca="1">AVERAGE(OFFSET($GY$3,0,0,'Données projet'!$E$18+1,1))-AVERAGE(OFFSET($H$3,0,0,'Données projet'!$E$18+1,1))</f>
        <v>199.58763537752952</v>
      </c>
      <c r="HA91" s="59">
        <f t="shared" si="106"/>
        <v>242.62852778451929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>
        <f>EXP(-LN(2)/35)*HG90+(1-EXP(-LN(2)/35))/(LN(2)/35)*HC91*HD91*VLOOKUP('Données projet'!$B$18,Paramètres!$A$1:$I$89,3,0)*0.475*44/12</f>
        <v>0</v>
      </c>
      <c r="HH91" s="21">
        <f>EXP(-LN(2)/25)*HH90+(1-EXP(-LN(2)/25))/(LN(2)/25)*Calculateur!HC91*Calculateur!HE91*VLOOKUP('Données projet'!$B$18,Paramètres!$A$1:$I$89,3,0)*0.475*44/12</f>
        <v>2.0593456754021733</v>
      </c>
      <c r="HI91" s="21">
        <f>EXP(-LN(2)/2)*HI90+(1-EXP(-LN(2)/2))/(LN(2)/2)*HC91*HF91*VLOOKUP('Données projet'!$B$18,Paramètres!$A$1:$I$89,3,0)*0.475*44/12</f>
        <v>2.0044964539297335E-8</v>
      </c>
      <c r="HJ91" s="22">
        <f t="shared" si="84"/>
        <v>2.0593456954471376</v>
      </c>
    </row>
    <row r="92" spans="1:218" x14ac:dyDescent="0.2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79.138800000000117</v>
      </c>
      <c r="D92" s="11">
        <f t="shared" si="86"/>
        <v>21.926483794395363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780.15306788656164</v>
      </c>
      <c r="H92" s="67">
        <f t="shared" si="56"/>
        <v>469.35536927523879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-2.2737367544323206E-13</v>
      </c>
      <c r="O92" s="13">
        <f>N92*VLOOKUP('Données projet'!$B$9,Paramètres!$A$1:$I$89,3,0)*VLOOKUP('Données projet'!$B$9,Paramètres!$A$1:$I$89,5,0)</f>
        <v>-1.2710188457276673E-13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255.5374979188561</v>
      </c>
      <c r="T92" s="59">
        <f t="shared" si="88"/>
        <v>343.10418468620901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0.96053602151258444</v>
      </c>
      <c r="AA92" s="21">
        <f>EXP(-LN(2)/25)*AA91+(1-EXP(-LN(2)/25))/(LN(2)/25)*Calculateur!V92*Calculateur!X92*VLOOKUP('Données projet'!$B$9,Paramètres!$A$1:$I$89,3,0)*0.475*44/12</f>
        <v>3.1089171491269849</v>
      </c>
      <c r="AB92" s="21">
        <f>EXP(-LN(2)/2)*AB91+(1-EXP(-LN(2)/2))/(LN(2)/2)*V92*Y92*VLOOKUP('Données projet'!$B$9,Paramètres!$A$1:$I$89,3,0)*0.475*44/12</f>
        <v>2.229373461700009E-9</v>
      </c>
      <c r="AC92" s="22">
        <f t="shared" si="57"/>
        <v>4.0694531728689425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1.1368683772161603E-13</v>
      </c>
      <c r="AJ92" s="13">
        <f>AI92*VLOOKUP('Données projet'!$B$10,Paramètres!$A$1:$I$89,3,0)*VLOOKUP('Données projet'!$B$10,Paramètres!$A$1:$I$89,5,0)</f>
        <v>6.3550942286383367E-14</v>
      </c>
      <c r="AK92" s="13">
        <f t="shared" si="89"/>
        <v>1.0064464192543978E-12</v>
      </c>
      <c r="AL92" s="20">
        <f t="shared" si="58"/>
        <v>1.8635787380168604E-12</v>
      </c>
      <c r="AM92" s="59">
        <f t="shared" si="59"/>
        <v>293.33333333333519</v>
      </c>
      <c r="AN92" s="59">
        <f ca="1">AVERAGE(OFFSET($AM$3,0,0,'Données projet'!$E$10+1,1))-AVERAGE(OFFSET($H$3,0,0,'Données projet'!$E$10+1,1))</f>
        <v>224.7049802939942</v>
      </c>
      <c r="AO92" s="59">
        <f t="shared" si="90"/>
        <v>203.48513862195352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0.69355395185749114</v>
      </c>
      <c r="AV92" s="21">
        <f>EXP(-LN(2)/25)*AV91+(1-EXP(-LN(2)/25))/(LN(2)/25)*Calculateur!AQ92*Calculateur!AS92*VLOOKUP('Données projet'!$B$10,Paramètres!$A$1:$I$89,3,0)*0.475*44/12</f>
        <v>3.8032050729215632</v>
      </c>
      <c r="AW92" s="21">
        <f>EXP(-LN(2)/2)*AW91+(1-EXP(-LN(2)/2))/(LN(2)/2)*AQ92*AT92*VLOOKUP('Données projet'!$B$10,Paramètres!$A$1:$I$89,3,0)*0.475*44/12</f>
        <v>1.1801924420043618E-8</v>
      </c>
      <c r="AX92" s="21">
        <f t="shared" si="60"/>
        <v>4.4967590365809791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>
        <f>BD92*VLOOKUP('Données projet'!$B$11,Paramètres!$A$1:$I$89,3,0)*VLOOKUP('Données projet'!$B$11,Paramètres!$A$1:$I$89,5,0)</f>
        <v>0</v>
      </c>
      <c r="BF92" s="13" t="e">
        <f t="shared" si="91"/>
        <v>#NUM!</v>
      </c>
      <c r="BG92" s="20" t="e">
        <f t="shared" si="61"/>
        <v>#NUM!</v>
      </c>
      <c r="BH92" s="59" t="e">
        <f t="shared" si="62"/>
        <v>#NUM!</v>
      </c>
      <c r="BI92" s="59">
        <f ca="1">AVERAGE(OFFSET($BH$3,0,0,'Données projet'!$E$11+1,1))-AVERAGE(OFFSET($H$3,0,0,'Données projet'!$E$11+1,1))</f>
        <v>210.04871822652808</v>
      </c>
      <c r="BJ92" s="59">
        <f t="shared" si="92"/>
        <v>250.17540614049324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2.2695040763452314</v>
      </c>
      <c r="BQ92" s="21">
        <f>EXP(-LN(2)/25)*BQ91+(1-EXP(-LN(2)/25))/(LN(2)/25)*Calculateur!BL92*Calculateur!BN92*VLOOKUP('Données projet'!$B$11,Paramètres!$A$1:$I$89,3,0)*0.475*44/12</f>
        <v>5.4211765628629465</v>
      </c>
      <c r="BR92" s="21">
        <f>EXP(-LN(2)/2)*BR91+(1-EXP(-LN(2)/2))/(LN(2)/2)*BL92*BO92*VLOOKUP('Données projet'!$B$11,Paramètres!$A$1:$I$89,3,0)*0.475*44/12</f>
        <v>2.8388390107307101E-8</v>
      </c>
      <c r="BS92" s="22">
        <f t="shared" si="63"/>
        <v>7.6906806675965687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2.2737367544323206E-13</v>
      </c>
      <c r="BZ92" s="13">
        <f>BY92*VLOOKUP('Données projet'!$B$12,Paramètres!$A$1:$I$89,3,0)*VLOOKUP('Données projet'!$B$12,Paramètres!$A$1:$I$89,5,0)</f>
        <v>1.2414602679200471E-13</v>
      </c>
      <c r="CA92" s="13">
        <f t="shared" si="93"/>
        <v>1.8186582995804361E-12</v>
      </c>
      <c r="CB92" s="20">
        <f t="shared" si="64"/>
        <v>3.3837175350986671E-12</v>
      </c>
      <c r="CC92" s="59">
        <f t="shared" si="65"/>
        <v>293.33333333333672</v>
      </c>
      <c r="CD92" s="59">
        <f ca="1">AVERAGE(OFFSET($CC$3,0,0,'Données projet'!$E$12+1,1))-AVERAGE(OFFSET($H$3,0,0,'Données projet'!$E$12+1,1))</f>
        <v>168.72306536277267</v>
      </c>
      <c r="CE92" s="59">
        <f t="shared" si="94"/>
        <v>203.35476578922339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0.94562669847717973</v>
      </c>
      <c r="CL92" s="21">
        <f>EXP(-LN(2)/25)*CL91+(1-EXP(-LN(2)/25))/(LN(2)/25)*Calculateur!CG92*Calculateur!CI92*VLOOKUP('Données projet'!$B$12,Paramètres!$A$1:$I$89,3,0)*0.475*44/12</f>
        <v>4.4772786629197334</v>
      </c>
      <c r="CM92" s="21">
        <f>EXP(-LN(2)/2)*CM91+(1-EXP(-LN(2)/2))/(LN(2)/2)*CG92*CJ92*VLOOKUP('Données projet'!$B$12,Paramètres!$A$1:$I$89,3,0)*0.475*44/12</f>
        <v>2.6373188443330422E-8</v>
      </c>
      <c r="CN92" s="22">
        <f t="shared" si="66"/>
        <v>5.4229053877701014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20.769230769230774</v>
      </c>
      <c r="CT92" s="12">
        <f>IF('Données projet'!$A$140&gt;35,CT91+CS92-DB91,IF(A92&lt;'Données projet'!$A$140,$CQ$205^A92,IF(A92='Données projet'!$A$140,'Données projet'!$B$140,CT91+CS92-DB91)))</f>
        <v>706.15384615384573</v>
      </c>
      <c r="CU92" s="17">
        <f>CT92*VLOOKUP('Données projet'!$B$13,Paramètres!$A$1:$I$89,3,0)*VLOOKUP('Données projet'!$B$13,Paramètres!$A$1:$I$89,5,0)</f>
        <v>339.6599999999998</v>
      </c>
      <c r="CV92" s="13">
        <f t="shared" si="95"/>
        <v>79.429696179288811</v>
      </c>
      <c r="CW92" s="20">
        <f t="shared" si="67"/>
        <v>729.91455417892757</v>
      </c>
      <c r="CX92" s="59">
        <f t="shared" si="68"/>
        <v>1023.2478875122608</v>
      </c>
      <c r="CY92" s="59">
        <f ca="1">AVERAGE(OFFSET($CX$3,0,0,'Données projet'!$E$13+1,1))-AVERAGE(OFFSET($H$3,0,0,'Données projet'!$E$13+1,1))</f>
        <v>304.15237106473313</v>
      </c>
      <c r="CZ92" s="59">
        <f t="shared" si="96"/>
        <v>120.85458928724336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>
        <f>EXP(-LN(2)/35)*DF91+(1-EXP(-LN(2)/35))/(LN(2)/35)*DB92*DC92*VLOOKUP('Données projet'!$B$13,Paramètres!$A$1:$I$89,3,0)*0.475*44/12</f>
        <v>0</v>
      </c>
      <c r="DG92" s="21">
        <f>EXP(-LN(2)/25)*DG91+(1-EXP(-LN(2)/25))/(LN(2)/25)*Calculateur!DB92*Calculateur!DD92*VLOOKUP('Données projet'!$B$13,Paramètres!$A$1:$I$89,3,0)*0.475*44/12</f>
        <v>0</v>
      </c>
      <c r="DH92" s="21">
        <f>EXP(-LN(2)/2)*DH91+(1-EXP(-LN(2)/2))/(LN(2)/2)*DB92*DE92*VLOOKUP('Données projet'!$B$13,Paramètres!$A$1:$I$89,3,0)*0.475*44/12</f>
        <v>0</v>
      </c>
      <c r="DI92" s="22">
        <f t="shared" si="69"/>
        <v>0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9.0769230769230749</v>
      </c>
      <c r="DO92" s="12">
        <f>IF('Données projet'!$A$166&gt;35,DO91+DN92-DW91,IF(A92&lt;'Données projet'!$A$166,$DL$205^A92,IF(A92='Données projet'!$A$166,'Données projet'!$B$166,DO91+DN92-DW91)))</f>
        <v>314.76923076923066</v>
      </c>
      <c r="DP92" s="17">
        <f>DO92*VLOOKUP('Données projet'!$B$14,Paramètres!$A$1:$I$89,3,0)*VLOOKUP('Données projet'!$B$14,Paramètres!$A$1:$I$89,5,0)</f>
        <v>151.40399999999994</v>
      </c>
      <c r="DQ92" s="13">
        <f t="shared" si="97"/>
        <v>38.89747645057502</v>
      </c>
      <c r="DR92" s="20">
        <f t="shared" si="70"/>
        <v>331.44173815141806</v>
      </c>
      <c r="DS92" s="59">
        <f t="shared" si="71"/>
        <v>624.77507148475138</v>
      </c>
      <c r="DT92" s="59">
        <f ca="1">AVERAGE(OFFSET($DS$3,0,0,'Données projet'!$E$14+1,1))-AVERAGE(OFFSET($H$3,0,0,'Données projet'!$E$14+1,1))</f>
        <v>91.053246648097399</v>
      </c>
      <c r="DU92" s="59">
        <f t="shared" si="98"/>
        <v>64.716270355703955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>
        <f>EXP(-LN(2)/35)*EA91+(1-EXP(-LN(2)/35))/(LN(2)/35)*DW92*DX92*VLOOKUP('Données projet'!$B$14,Paramètres!$A$1:$I$89,3,0)*0.475*44/12</f>
        <v>0</v>
      </c>
      <c r="EB92" s="21">
        <f>EXP(-LN(2)/25)*EB91+(1-EXP(-LN(2)/25))/(LN(2)/25)*Calculateur!DW92*Calculateur!DY92*VLOOKUP('Données projet'!$B$14,Paramètres!$A$1:$I$89,3,0)*0.475*44/12</f>
        <v>0</v>
      </c>
      <c r="EC92" s="21">
        <f>EXP(-LN(2)/2)*EC91+(1-EXP(-LN(2)/2))/(LN(2)/2)*DW92*DZ92*VLOOKUP('Données projet'!$B$14,Paramètres!$A$1:$I$89,3,0)*0.475*44/12</f>
        <v>0</v>
      </c>
      <c r="ED92" s="22">
        <f t="shared" si="72"/>
        <v>0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12.5</v>
      </c>
      <c r="EJ92" s="12">
        <f>IF('Données projet'!$A$192&gt;35,EJ91+EI92-ER91,IF(A92&lt;'Données projet'!$A$192,$EG$205^A92,IF(A92='Données projet'!$A$192,'Données projet'!$B$192,EJ91+EI92-ER91)))</f>
        <v>624.49999999999955</v>
      </c>
      <c r="EK92" s="17">
        <f>EJ92*VLOOKUP('Données projet'!$B$15,Paramètres!$A$1:$I$89,3,0)*VLOOKUP('Données projet'!$B$15,Paramètres!$A$1:$I$89,5,0)</f>
        <v>373.45099999999979</v>
      </c>
      <c r="EL92" s="13">
        <f t="shared" si="99"/>
        <v>86.372938978761937</v>
      </c>
      <c r="EM92" s="20">
        <f t="shared" si="73"/>
        <v>800.86002705467661</v>
      </c>
      <c r="EN92" s="59">
        <f t="shared" si="74"/>
        <v>1094.19336038801</v>
      </c>
      <c r="EO92" s="59">
        <f ca="1">AVERAGE(OFFSET($EN$3,0,0,'Données projet'!$E$15+1,1))-AVERAGE(OFFSET($H$3,0,0,'Données projet'!$E$15+1,1))</f>
        <v>316.58509520829671</v>
      </c>
      <c r="EP92" s="59">
        <f t="shared" si="100"/>
        <v>240.71332110643596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>
        <f>EXP(-LN(2)/35)*EV91+(1-EXP(-LN(2)/35))/(LN(2)/35)*ER92*ES92*VLOOKUP('Données projet'!$B$15,Paramètres!$A$1:$I$89,3,0)*0.475*44/12</f>
        <v>0.78786142786389568</v>
      </c>
      <c r="EW92" s="21">
        <f>EXP(-LN(2)/25)*EW91+(1-EXP(-LN(2)/25))/(LN(2)/25)*Calculateur!ER92*Calculateur!ET92*VLOOKUP('Données projet'!$B$15,Paramètres!$A$1:$I$89,3,0)*0.475*44/12</f>
        <v>2.9740569263850354</v>
      </c>
      <c r="EX92" s="21">
        <f>EXP(-LN(2)/2)*EX91+(1-EXP(-LN(2)/2))/(LN(2)/2)*ER92*EU92*VLOOKUP('Données projet'!$B$15,Paramètres!$A$1:$I$89,3,0)*0.475*44/12</f>
        <v>2.8896067775180023E-8</v>
      </c>
      <c r="EY92" s="22">
        <f t="shared" si="75"/>
        <v>3.7619183831449989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10.8</v>
      </c>
      <c r="FE92" s="12">
        <f>IF('Données projet'!$A$218&gt;35,FE91+FD92-FM91,IF(A92&lt;'Données projet'!$A$218,$FB$205^A92,IF(A92='Données projet'!$A$218,'Données projet'!$B$218,FE91+FD92-FM91)))</f>
        <v>556.20000000000005</v>
      </c>
      <c r="FF92" s="17">
        <f>FE92*VLOOKUP('Données projet'!$B$16,Paramètres!$A$1:$I$89,3,0)*VLOOKUP('Données projet'!$B$16,Paramètres!$A$1:$I$89,5,0)</f>
        <v>332.60760000000005</v>
      </c>
      <c r="FG92" s="13">
        <f t="shared" si="101"/>
        <v>77.97068128417547</v>
      </c>
      <c r="FH92" s="20">
        <f t="shared" si="76"/>
        <v>715.09050656993907</v>
      </c>
      <c r="FI92" s="59">
        <f t="shared" si="77"/>
        <v>1008.4238399032724</v>
      </c>
      <c r="FJ92" s="59">
        <f ca="1">AVERAGE(OFFSET($FI$3,0,0,'Données projet'!$E$16+1,1))-AVERAGE(OFFSET($H$3,0,0,'Données projet'!$E$16+1,1))</f>
        <v>270.30888762640245</v>
      </c>
      <c r="FK92" s="59">
        <f t="shared" si="102"/>
        <v>202.23783851977691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>
        <f>EXP(-LN(2)/35)*FQ91+(1-EXP(-LN(2)/35))/(LN(2)/35)*FM92*FN92*VLOOKUP('Données projet'!$B$16,Paramètres!$A$1:$I$89,3,0)*0.475*44/12</f>
        <v>0.66579838974413708</v>
      </c>
      <c r="FR92" s="21">
        <f>EXP(-LN(2)/25)*FR91+(1-EXP(-LN(2)/25))/(LN(2)/25)*Calculateur!FM92*Calculateur!FO92*VLOOKUP('Données projet'!$B$16,Paramètres!$A$1:$I$89,3,0)*0.475*44/12</f>
        <v>2.3949976768405761</v>
      </c>
      <c r="FS92" s="21">
        <f>EXP(-LN(2)/2)*FS91+(1-EXP(-LN(2)/2))/(LN(2)/2)*FM92*FP92*VLOOKUP('Données projet'!$B$16,Paramètres!$A$1:$I$89,3,0)*0.475*44/12</f>
        <v>2.4356411645778023E-8</v>
      </c>
      <c r="FT92" s="22">
        <f t="shared" si="78"/>
        <v>3.0607960909411247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-5.1159076974727213E-13</v>
      </c>
      <c r="GA92" s="17">
        <f>FZ92*VLOOKUP('Données projet'!$B$17,Paramètres!$A$1:$I$89,3,0)*VLOOKUP('Données projet'!$B$17,Paramètres!$A$1:$I$89,5,0)</f>
        <v>-4.0702161641092972E-13</v>
      </c>
      <c r="GB92" s="13" t="e">
        <f t="shared" si="103"/>
        <v>#NUM!</v>
      </c>
      <c r="GC92" s="20" t="e">
        <f t="shared" si="79"/>
        <v>#NUM!</v>
      </c>
      <c r="GD92" s="59" t="e">
        <f t="shared" si="80"/>
        <v>#NUM!</v>
      </c>
      <c r="GE92" s="59">
        <f ca="1">AVERAGE(OFFSET($GD$3,0,0,'Données projet'!$E$17+1,1))-AVERAGE(OFFSET($H$3,0,0,'Données projet'!$E$17+1,1))</f>
        <v>260.20517190557814</v>
      </c>
      <c r="GF92" s="59">
        <f t="shared" si="104"/>
        <v>307.22009971147133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>
        <f>EXP(-LN(2)/35)*GL91+(1-EXP(-LN(2)/35))/(LN(2)/35)*GH92*GI92*VLOOKUP('Données projet'!$B$17,Paramètres!$A$1:$I$89,3,0)*0.475*44/12</f>
        <v>1.0142972087237379</v>
      </c>
      <c r="GM92" s="21">
        <f>EXP(-LN(2)/25)*GM91+(1-EXP(-LN(2)/25))/(LN(2)/25)*Calculateur!GH92*Calculateur!GJ92*VLOOKUP('Données projet'!$B$17,Paramètres!$A$1:$I$89,3,0)*0.475*44/12</f>
        <v>3.9970369079667254</v>
      </c>
      <c r="GN92" s="21">
        <f>EXP(-LN(2)/2)*GN91+(1-EXP(-LN(2)/2))/(LN(2)/2)*GH92*GK92*VLOOKUP('Données projet'!$B$17,Paramètres!$A$1:$I$89,3,0)*0.475*44/12</f>
        <v>3.1661547968723564E-8</v>
      </c>
      <c r="GO92" s="21">
        <f t="shared" si="81"/>
        <v>5.0113341483520113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5.6843418860808015E-14</v>
      </c>
      <c r="GV92" s="17">
        <f>GU92*VLOOKUP('Données projet'!$B$18,Paramètres!$A$1:$I$89,3,0)*VLOOKUP('Données projet'!$B$18,Paramètres!$A$1:$I$89,5,0)</f>
        <v>4.5224624045658861E-14</v>
      </c>
      <c r="GW92" s="13">
        <f t="shared" si="105"/>
        <v>7.4514601661523691E-13</v>
      </c>
      <c r="GX92" s="20">
        <f t="shared" si="82"/>
        <v>1.3765621991510601E-12</v>
      </c>
      <c r="GY92" s="59">
        <f t="shared" si="83"/>
        <v>293.33333333333468</v>
      </c>
      <c r="GZ92" s="59">
        <f ca="1">AVERAGE(OFFSET($GY$3,0,0,'Données projet'!$E$18+1,1))-AVERAGE(OFFSET($H$3,0,0,'Données projet'!$E$18+1,1))</f>
        <v>199.58763537752952</v>
      </c>
      <c r="HA92" s="59">
        <f t="shared" si="106"/>
        <v>242.62852778451929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>
        <f>EXP(-LN(2)/35)*HG91+(1-EXP(-LN(2)/35))/(LN(2)/35)*HC92*HD92*VLOOKUP('Données projet'!$B$18,Paramètres!$A$1:$I$89,3,0)*0.475*44/12</f>
        <v>0</v>
      </c>
      <c r="HH92" s="21">
        <f>EXP(-LN(2)/25)*HH91+(1-EXP(-LN(2)/25))/(LN(2)/25)*Calculateur!HC92*Calculateur!HE92*VLOOKUP('Données projet'!$B$18,Paramètres!$A$1:$I$89,3,0)*0.475*44/12</f>
        <v>2.0030327596120183</v>
      </c>
      <c r="HI92" s="21">
        <f>EXP(-LN(2)/2)*HI91+(1-EXP(-LN(2)/2))/(LN(2)/2)*HC92*HF92*VLOOKUP('Données projet'!$B$18,Paramètres!$A$1:$I$89,3,0)*0.475*44/12</f>
        <v>1.4173930354381025E-8</v>
      </c>
      <c r="HJ92" s="22">
        <f t="shared" si="84"/>
        <v>2.0030327737859488</v>
      </c>
    </row>
    <row r="93" spans="1:218" x14ac:dyDescent="0.2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80.028000000000119</v>
      </c>
      <c r="D93" s="11">
        <f t="shared" si="86"/>
        <v>22.144030134787187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788.69637297028794</v>
      </c>
      <c r="H93" s="67">
        <f t="shared" si="56"/>
        <v>471.2829524847545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-2.2737367544323206E-13</v>
      </c>
      <c r="O93" s="13">
        <f>N93*VLOOKUP('Données projet'!$B$9,Paramètres!$A$1:$I$89,3,0)*VLOOKUP('Données projet'!$B$9,Paramètres!$A$1:$I$89,5,0)</f>
        <v>-1.2710188457276673E-13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255.5374979188561</v>
      </c>
      <c r="T93" s="59">
        <f t="shared" si="88"/>
        <v>343.10418468620901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0.94170049599984595</v>
      </c>
      <c r="AA93" s="21">
        <f>EXP(-LN(2)/25)*AA92+(1-EXP(-LN(2)/25))/(LN(2)/25)*Calculateur!V93*Calculateur!X93*VLOOKUP('Données projet'!$B$9,Paramètres!$A$1:$I$89,3,0)*0.475*44/12</f>
        <v>3.02390364619326</v>
      </c>
      <c r="AB93" s="21">
        <f>EXP(-LN(2)/2)*AB92+(1-EXP(-LN(2)/2))/(LN(2)/2)*V93*Y93*VLOOKUP('Données projet'!$B$9,Paramètres!$A$1:$I$89,3,0)*0.475*44/12</f>
        <v>1.5764050925654043E-9</v>
      </c>
      <c r="AC93" s="22">
        <f t="shared" si="57"/>
        <v>3.9656041437695113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1.1368683772161603E-13</v>
      </c>
      <c r="AJ93" s="13">
        <f>AI93*VLOOKUP('Données projet'!$B$10,Paramètres!$A$1:$I$89,3,0)*VLOOKUP('Données projet'!$B$10,Paramètres!$A$1:$I$89,5,0)</f>
        <v>6.3550942286383367E-14</v>
      </c>
      <c r="AK93" s="13">
        <f t="shared" si="89"/>
        <v>1.0064464192543978E-12</v>
      </c>
      <c r="AL93" s="20">
        <f t="shared" si="58"/>
        <v>1.8635787380168604E-12</v>
      </c>
      <c r="AM93" s="59">
        <f t="shared" si="59"/>
        <v>293.33333333333519</v>
      </c>
      <c r="AN93" s="59">
        <f ca="1">AVERAGE(OFFSET($AM$3,0,0,'Données projet'!$E$10+1,1))-AVERAGE(OFFSET($H$3,0,0,'Données projet'!$E$10+1,1))</f>
        <v>224.7049802939942</v>
      </c>
      <c r="AO93" s="59">
        <f t="shared" si="90"/>
        <v>203.48513862195352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0.67995378188770605</v>
      </c>
      <c r="AV93" s="21">
        <f>EXP(-LN(2)/25)*AV92+(1-EXP(-LN(2)/25))/(LN(2)/25)*Calculateur!AQ93*Calculateur!AS93*VLOOKUP('Données projet'!$B$10,Paramètres!$A$1:$I$89,3,0)*0.475*44/12</f>
        <v>3.6992062302006605</v>
      </c>
      <c r="AW93" s="21">
        <f>EXP(-LN(2)/2)*AW92+(1-EXP(-LN(2)/2))/(LN(2)/2)*AQ93*AT93*VLOOKUP('Données projet'!$B$10,Paramètres!$A$1:$I$89,3,0)*0.475*44/12</f>
        <v>8.3452207884639544E-9</v>
      </c>
      <c r="AX93" s="21">
        <f t="shared" si="60"/>
        <v>4.379160020433587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>
        <f>BD93*VLOOKUP('Données projet'!$B$11,Paramètres!$A$1:$I$89,3,0)*VLOOKUP('Données projet'!$B$11,Paramètres!$A$1:$I$89,5,0)</f>
        <v>0</v>
      </c>
      <c r="BF93" s="13" t="e">
        <f t="shared" si="91"/>
        <v>#NUM!</v>
      </c>
      <c r="BG93" s="20" t="e">
        <f t="shared" si="61"/>
        <v>#NUM!</v>
      </c>
      <c r="BH93" s="59" t="e">
        <f t="shared" si="62"/>
        <v>#NUM!</v>
      </c>
      <c r="BI93" s="59">
        <f ca="1">AVERAGE(OFFSET($BH$3,0,0,'Données projet'!$E$11+1,1))-AVERAGE(OFFSET($H$3,0,0,'Données projet'!$E$11+1,1))</f>
        <v>210.04871822652808</v>
      </c>
      <c r="BJ93" s="59">
        <f t="shared" si="92"/>
        <v>250.17540614049324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2.2250004856689034</v>
      </c>
      <c r="BQ93" s="21">
        <f>EXP(-LN(2)/25)*BQ92+(1-EXP(-LN(2)/25))/(LN(2)/25)*Calculateur!BL93*Calculateur!BN93*VLOOKUP('Données projet'!$B$11,Paramètres!$A$1:$I$89,3,0)*0.475*44/12</f>
        <v>5.2729342046641738</v>
      </c>
      <c r="BR93" s="21">
        <f>EXP(-LN(2)/2)*BR92+(1-EXP(-LN(2)/2))/(LN(2)/2)*BL93*BO93*VLOOKUP('Données projet'!$B$11,Paramètres!$A$1:$I$89,3,0)*0.475*44/12</f>
        <v>2.0073623151845953E-8</v>
      </c>
      <c r="BS93" s="22">
        <f t="shared" si="63"/>
        <v>7.4979347104066996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2.2737367544323206E-13</v>
      </c>
      <c r="BZ93" s="13">
        <f>BY93*VLOOKUP('Données projet'!$B$12,Paramètres!$A$1:$I$89,3,0)*VLOOKUP('Données projet'!$B$12,Paramètres!$A$1:$I$89,5,0)</f>
        <v>1.2414602679200471E-13</v>
      </c>
      <c r="CA93" s="13">
        <f t="shared" si="93"/>
        <v>1.8186582995804361E-12</v>
      </c>
      <c r="CB93" s="20">
        <f t="shared" si="64"/>
        <v>3.3837175350986671E-12</v>
      </c>
      <c r="CC93" s="59">
        <f t="shared" si="65"/>
        <v>293.33333333333672</v>
      </c>
      <c r="CD93" s="59">
        <f ca="1">AVERAGE(OFFSET($CC$3,0,0,'Données projet'!$E$12+1,1))-AVERAGE(OFFSET($H$3,0,0,'Données projet'!$E$12+1,1))</f>
        <v>168.72306536277267</v>
      </c>
      <c r="CE93" s="59">
        <f t="shared" si="94"/>
        <v>203.35476578922339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0.92708353569537649</v>
      </c>
      <c r="CL93" s="21">
        <f>EXP(-LN(2)/25)*CL92+(1-EXP(-LN(2)/25))/(LN(2)/25)*Calculateur!CG93*Calculateur!CI93*VLOOKUP('Données projet'!$B$12,Paramètres!$A$1:$I$89,3,0)*0.475*44/12</f>
        <v>4.3548472424323412</v>
      </c>
      <c r="CM93" s="21">
        <f>EXP(-LN(2)/2)*CM92+(1-EXP(-LN(2)/2))/(LN(2)/2)*CG93*CJ93*VLOOKUP('Données projet'!$B$12,Paramètres!$A$1:$I$89,3,0)*0.475*44/12</f>
        <v>1.8648660389789628E-8</v>
      </c>
      <c r="CN93" s="22">
        <f t="shared" si="66"/>
        <v>5.2819307967763782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>
        <f>VLOOKUP(A93,'Données projet'!$A$139:$I$159,2,0)</f>
        <v>726.92307692307691</v>
      </c>
      <c r="CR93" s="12">
        <f>VLOOKUP(A93,'Données projet'!$A$139:$I$159,9,0)</f>
        <v>20.769230769230774</v>
      </c>
      <c r="CS93" s="12">
        <f t="array" ref="CS93">INDEX(CR:CR,MIN(IF(ISNUMBER(CR93:CR289),ROW(CR93:CR289),"")))</f>
        <v>20.769230769230774</v>
      </c>
      <c r="CT93" s="12">
        <f>IF('Données projet'!$A$140&gt;35,CT92+CS93-DB92,IF(A93&lt;'Données projet'!$A$140,$CQ$205^A93,IF(A93='Données projet'!$A$140,'Données projet'!$B$140,CT92+CS93-DB92)))</f>
        <v>726.92307692307645</v>
      </c>
      <c r="CU93" s="17">
        <f>CT93*VLOOKUP('Données projet'!$B$13,Paramètres!$A$1:$I$89,3,0)*VLOOKUP('Données projet'!$B$13,Paramètres!$A$1:$I$89,5,0)</f>
        <v>349.64999999999981</v>
      </c>
      <c r="CV93" s="13">
        <f t="shared" si="95"/>
        <v>81.490438407168682</v>
      </c>
      <c r="CW93" s="20">
        <f t="shared" si="67"/>
        <v>750.90293022581852</v>
      </c>
      <c r="CX93" s="59">
        <f t="shared" si="68"/>
        <v>1044.2362635591519</v>
      </c>
      <c r="CY93" s="59">
        <f ca="1">AVERAGE(OFFSET($CX$3,0,0,'Données projet'!$E$13+1,1))-AVERAGE(OFFSET($H$3,0,0,'Données projet'!$E$13+1,1))</f>
        <v>304.15237106473313</v>
      </c>
      <c r="CZ93" s="59">
        <f t="shared" si="96"/>
        <v>120.85458928724336</v>
      </c>
      <c r="DA93" s="15">
        <f>IF(ISNA(VLOOKUP(A93,'Données projet'!$A$139:$I$159,3,0)),0,VLOOKUP(A93,'Données projet'!$A$139:$I$159,3,0))</f>
        <v>6</v>
      </c>
      <c r="DB93" s="15">
        <f>IF(ISNA(VLOOKUP(A93,'Données projet'!$A$139:$I$159,4,0)),0,VLOOKUP(A93,'Données projet'!$A$139:$I$159,4,0))</f>
        <v>26.153846153846153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>
        <f>EXP(-LN(2)/35)*DF92+(1-EXP(-LN(2)/35))/(LN(2)/35)*DB93*DC93*VLOOKUP('Données projet'!$B$13,Paramètres!$A$1:$I$89,3,0)*0.475*44/12</f>
        <v>0</v>
      </c>
      <c r="DG93" s="21">
        <f>EXP(-LN(2)/25)*DG92+(1-EXP(-LN(2)/25))/(LN(2)/25)*Calculateur!DB93*Calculateur!DD93*VLOOKUP('Données projet'!$B$13,Paramètres!$A$1:$I$89,3,0)*0.475*44/12</f>
        <v>0</v>
      </c>
      <c r="DH93" s="21">
        <f>EXP(-LN(2)/2)*DH92+(1-EXP(-LN(2)/2))/(LN(2)/2)*DB93*DE93*VLOOKUP('Données projet'!$B$13,Paramètres!$A$1:$I$89,3,0)*0.475*44/12</f>
        <v>0</v>
      </c>
      <c r="DI93" s="22">
        <f t="shared" si="69"/>
        <v>0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>
        <f>VLOOKUP(A93,'Données projet'!$A$165:$I$185,2,0)</f>
        <v>323.84615384615381</v>
      </c>
      <c r="DM93" s="12">
        <f>VLOOKUP(A93,'Données projet'!$A$165:$I$185,9,0)</f>
        <v>9.0769230769230749</v>
      </c>
      <c r="DN93" s="12">
        <f t="array" ref="DN93">INDEX(DM:DM,MIN(IF(ISNUMBER(DM93:DM289),ROW(DM93:DM289),"")))</f>
        <v>9.0769230769230749</v>
      </c>
      <c r="DO93" s="12">
        <f>IF('Données projet'!$A$166&gt;35,DO92+DN93-DW92,IF(A93&lt;'Données projet'!$A$166,$DL$205^A93,IF(A93='Données projet'!$A$166,'Données projet'!$B$166,DO92+DN93-DW92)))</f>
        <v>323.84615384615375</v>
      </c>
      <c r="DP93" s="17">
        <f>DO93*VLOOKUP('Données projet'!$B$14,Paramètres!$A$1:$I$89,3,0)*VLOOKUP('Données projet'!$B$14,Paramètres!$A$1:$I$89,5,0)</f>
        <v>155.76999999999995</v>
      </c>
      <c r="DQ93" s="13">
        <f t="shared" si="97"/>
        <v>39.886944431254129</v>
      </c>
      <c r="DR93" s="20">
        <f t="shared" si="70"/>
        <v>340.76917821776755</v>
      </c>
      <c r="DS93" s="59">
        <f t="shared" si="71"/>
        <v>634.10251155110086</v>
      </c>
      <c r="DT93" s="59">
        <f ca="1">AVERAGE(OFFSET($DS$3,0,0,'Données projet'!$E$14+1,1))-AVERAGE(OFFSET($H$3,0,0,'Données projet'!$E$14+1,1))</f>
        <v>91.053246648097399</v>
      </c>
      <c r="DU93" s="59">
        <f t="shared" si="98"/>
        <v>64.716270355703955</v>
      </c>
      <c r="DV93" s="15">
        <f>IF(ISNA(VLOOKUP(A93,'Données projet'!$A$165:$I$185,3,0)),0,VLOOKUP(A93,'Données projet'!$A$165:$I$185,3,0))</f>
        <v>6</v>
      </c>
      <c r="DW93" s="15">
        <f>IF(ISNA(VLOOKUP(A93,'Données projet'!$A$165:$I$185,4,0)),0,VLOOKUP(A93,'Données projet'!$A$165:$I$185,4,0))</f>
        <v>38.46153846153846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>
        <f>EXP(-LN(2)/35)*EA92+(1-EXP(-LN(2)/35))/(LN(2)/35)*DW93*DX93*VLOOKUP('Données projet'!$B$14,Paramètres!$A$1:$I$89,3,0)*0.475*44/12</f>
        <v>0</v>
      </c>
      <c r="EB93" s="21">
        <f>EXP(-LN(2)/25)*EB92+(1-EXP(-LN(2)/25))/(LN(2)/25)*Calculateur!DW93*Calculateur!DY93*VLOOKUP('Données projet'!$B$14,Paramètres!$A$1:$I$89,3,0)*0.475*44/12</f>
        <v>0</v>
      </c>
      <c r="EC93" s="21">
        <f>EXP(-LN(2)/2)*EC92+(1-EXP(-LN(2)/2))/(LN(2)/2)*DW93*DZ93*VLOOKUP('Données projet'!$B$14,Paramètres!$A$1:$I$89,3,0)*0.475*44/12</f>
        <v>0</v>
      </c>
      <c r="ED93" s="22">
        <f t="shared" si="72"/>
        <v>0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>
        <f>VLOOKUP(A93,'Données projet'!$A$191:$I$211,2,0)</f>
        <v>637</v>
      </c>
      <c r="EH93" s="12">
        <f>VLOOKUP(A93,'Données projet'!$A$191:$I$211,9,0)</f>
        <v>12.5</v>
      </c>
      <c r="EI93" s="12">
        <f t="array" ref="EI93">INDEX(EH:EH,MIN(IF(ISNUMBER(EH93:EH289),ROW(EH93:EH289),"")))</f>
        <v>12.5</v>
      </c>
      <c r="EJ93" s="12">
        <f>IF('Données projet'!$A$192&gt;35,EJ92+EI93-ER92,IF(A93&lt;'Données projet'!$A$192,$EG$205^A93,IF(A93='Données projet'!$A$192,'Données projet'!$B$192,EJ92+EI93-ER92)))</f>
        <v>636.99999999999955</v>
      </c>
      <c r="EK93" s="17">
        <f>EJ93*VLOOKUP('Données projet'!$B$15,Paramètres!$A$1:$I$89,3,0)*VLOOKUP('Données projet'!$B$15,Paramètres!$A$1:$I$89,5,0)</f>
        <v>380.92599999999976</v>
      </c>
      <c r="EL93" s="13">
        <f t="shared" si="99"/>
        <v>87.898777201244229</v>
      </c>
      <c r="EM93" s="20">
        <f t="shared" si="73"/>
        <v>816.53648695883328</v>
      </c>
      <c r="EN93" s="59">
        <f t="shared" si="74"/>
        <v>1109.8698202921667</v>
      </c>
      <c r="EO93" s="59">
        <f ca="1">AVERAGE(OFFSET($EN$3,0,0,'Données projet'!$E$15+1,1))-AVERAGE(OFFSET($H$3,0,0,'Données projet'!$E$15+1,1))</f>
        <v>316.58509520829671</v>
      </c>
      <c r="EP93" s="59">
        <f t="shared" si="100"/>
        <v>240.71332110643596</v>
      </c>
      <c r="EQ93" s="15">
        <f>IF(ISNA(VLOOKUP(A93,'Données projet'!$A$191:$I$211,3,0)),0,VLOOKUP(A93,'Données projet'!$A$191:$I$211,3,0))</f>
        <v>8</v>
      </c>
      <c r="ER93" s="15">
        <f>IF(ISNA(VLOOKUP(A93,'Données projet'!$A$191:$I$211,4,0)),0,VLOOKUP(A93,'Données projet'!$A$191:$I$211,4,0))</f>
        <v>83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>
        <f>EXP(-LN(2)/35)*EV92+(1-EXP(-LN(2)/35))/(LN(2)/35)*ER93*ES93*VLOOKUP('Données projet'!$B$15,Paramètres!$A$1:$I$89,3,0)*0.475*44/12</f>
        <v>0.77241194581150552</v>
      </c>
      <c r="EW93" s="21">
        <f>EXP(-LN(2)/25)*EW92+(1-EXP(-LN(2)/25))/(LN(2)/25)*Calculateur!ER93*Calculateur!ET93*VLOOKUP('Données projet'!$B$15,Paramètres!$A$1:$I$89,3,0)*0.475*44/12</f>
        <v>2.8927311833341802</v>
      </c>
      <c r="EX93" s="21">
        <f>EXP(-LN(2)/2)*EX92+(1-EXP(-LN(2)/2))/(LN(2)/2)*ER93*EU93*VLOOKUP('Données projet'!$B$15,Paramètres!$A$1:$I$89,3,0)*0.475*44/12</f>
        <v>2.043260547345587E-8</v>
      </c>
      <c r="EY93" s="22">
        <f t="shared" si="75"/>
        <v>3.6651431495782911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>
        <f>VLOOKUP(A93,'Données projet'!$A$217:$I$237,2,0)</f>
        <v>567</v>
      </c>
      <c r="FC93" s="12">
        <f>VLOOKUP(A93,'Données projet'!$A$217:$I$237,9,0)</f>
        <v>10.8</v>
      </c>
      <c r="FD93" s="12">
        <f t="array" ref="FD93">INDEX(FC:FC,MIN(IF(ISNUMBER(FC93:FC289),ROW(FC93:FC289),"")))</f>
        <v>10.8</v>
      </c>
      <c r="FE93" s="12">
        <f>IF('Données projet'!$A$218&gt;35,FE92+FD93-FM92,IF(A93&lt;'Données projet'!$A$218,$FB$205^A93,IF(A93='Données projet'!$A$218,'Données projet'!$B$218,FE92+FD93-FM92)))</f>
        <v>567</v>
      </c>
      <c r="FF93" s="17">
        <f>FE93*VLOOKUP('Données projet'!$B$16,Paramètres!$A$1:$I$89,3,0)*VLOOKUP('Données projet'!$B$16,Paramètres!$A$1:$I$89,5,0)</f>
        <v>339.06600000000003</v>
      </c>
      <c r="FG93" s="13">
        <f t="shared" si="101"/>
        <v>79.30694522486489</v>
      </c>
      <c r="FH93" s="20">
        <f t="shared" si="76"/>
        <v>728.66621293330627</v>
      </c>
      <c r="FI93" s="59">
        <f t="shared" si="77"/>
        <v>1021.9995462666395</v>
      </c>
      <c r="FJ93" s="59">
        <f ca="1">AVERAGE(OFFSET($FI$3,0,0,'Données projet'!$E$16+1,1))-AVERAGE(OFFSET($H$3,0,0,'Données projet'!$E$16+1,1))</f>
        <v>270.30888762640245</v>
      </c>
      <c r="FK93" s="59">
        <f t="shared" si="102"/>
        <v>202.23783851977691</v>
      </c>
      <c r="FL93" s="15">
        <f>IF(ISNA(VLOOKUP(A93,'Données projet'!$A$217:$I$237,3,0)),0,VLOOKUP(A93,'Données projet'!$A$217:$I$237,3,0))</f>
        <v>8</v>
      </c>
      <c r="FM93" s="15">
        <f>IF(ISNA(VLOOKUP(A93,'Données projet'!$A$217:$I$237,4,0)),0,VLOOKUP(A93,'Données projet'!$A$217:$I$237,4,0))</f>
        <v>70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>
        <f>EXP(-LN(2)/35)*FQ92+(1-EXP(-LN(2)/35))/(LN(2)/35)*FM93*FN93*VLOOKUP('Données projet'!$B$16,Paramètres!$A$1:$I$89,3,0)*0.475*44/12</f>
        <v>0.65274248941817359</v>
      </c>
      <c r="FR93" s="21">
        <f>EXP(-LN(2)/25)*FR92+(1-EXP(-LN(2)/25))/(LN(2)/25)*Calculateur!FM93*Calculateur!FO93*VLOOKUP('Données projet'!$B$16,Paramètres!$A$1:$I$89,3,0)*0.475*44/12</f>
        <v>2.3295063394199165</v>
      </c>
      <c r="FS93" s="21">
        <f>EXP(-LN(2)/2)*FS92+(1-EXP(-LN(2)/2))/(LN(2)/2)*FM93*FP93*VLOOKUP('Données projet'!$B$16,Paramètres!$A$1:$I$89,3,0)*0.475*44/12</f>
        <v>1.7222583840100639E-8</v>
      </c>
      <c r="FT93" s="22">
        <f t="shared" si="78"/>
        <v>2.9822488460606738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-5.1159076974727213E-13</v>
      </c>
      <c r="GA93" s="17">
        <f>FZ93*VLOOKUP('Données projet'!$B$17,Paramètres!$A$1:$I$89,3,0)*VLOOKUP('Données projet'!$B$17,Paramètres!$A$1:$I$89,5,0)</f>
        <v>-4.0702161641092972E-13</v>
      </c>
      <c r="GB93" s="13" t="e">
        <f t="shared" si="103"/>
        <v>#NUM!</v>
      </c>
      <c r="GC93" s="20" t="e">
        <f t="shared" si="79"/>
        <v>#NUM!</v>
      </c>
      <c r="GD93" s="59" t="e">
        <f t="shared" si="80"/>
        <v>#NUM!</v>
      </c>
      <c r="GE93" s="59">
        <f ca="1">AVERAGE(OFFSET($GD$3,0,0,'Données projet'!$E$17+1,1))-AVERAGE(OFFSET($H$3,0,0,'Données projet'!$E$17+1,1))</f>
        <v>260.20517190557814</v>
      </c>
      <c r="GF93" s="59">
        <f t="shared" si="104"/>
        <v>307.22009971147133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>
        <f>EXP(-LN(2)/35)*GL92+(1-EXP(-LN(2)/35))/(LN(2)/35)*GH93*GI93*VLOOKUP('Données projet'!$B$17,Paramètres!$A$1:$I$89,3,0)*0.475*44/12</f>
        <v>0.99440745912087503</v>
      </c>
      <c r="GM93" s="21">
        <f>EXP(-LN(2)/25)*GM92+(1-EXP(-LN(2)/25))/(LN(2)/25)*Calculateur!GH93*Calculateur!GJ93*VLOOKUP('Données projet'!$B$17,Paramètres!$A$1:$I$89,3,0)*0.475*44/12</f>
        <v>3.8877377235233395</v>
      </c>
      <c r="GN93" s="21">
        <f>EXP(-LN(2)/2)*GN92+(1-EXP(-LN(2)/2))/(LN(2)/2)*GH93*GK93*VLOOKUP('Données projet'!$B$17,Paramètres!$A$1:$I$89,3,0)*0.475*44/12</f>
        <v>2.2388095271547592E-8</v>
      </c>
      <c r="GO93" s="21">
        <f t="shared" si="81"/>
        <v>4.8821452050323098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5.6843418860808015E-14</v>
      </c>
      <c r="GV93" s="17">
        <f>GU93*VLOOKUP('Données projet'!$B$18,Paramètres!$A$1:$I$89,3,0)*VLOOKUP('Données projet'!$B$18,Paramètres!$A$1:$I$89,5,0)</f>
        <v>4.5224624045658861E-14</v>
      </c>
      <c r="GW93" s="13">
        <f t="shared" si="105"/>
        <v>7.4514601661523691E-13</v>
      </c>
      <c r="GX93" s="20">
        <f t="shared" si="82"/>
        <v>1.3765621991510601E-12</v>
      </c>
      <c r="GY93" s="59">
        <f t="shared" si="83"/>
        <v>293.33333333333468</v>
      </c>
      <c r="GZ93" s="59">
        <f ca="1">AVERAGE(OFFSET($GY$3,0,0,'Données projet'!$E$18+1,1))-AVERAGE(OFFSET($H$3,0,0,'Données projet'!$E$18+1,1))</f>
        <v>199.58763537752952</v>
      </c>
      <c r="HA93" s="59">
        <f t="shared" si="106"/>
        <v>242.62852778451929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>
        <f>EXP(-LN(2)/35)*HG92+(1-EXP(-LN(2)/35))/(LN(2)/35)*HC93*HD93*VLOOKUP('Données projet'!$B$18,Paramètres!$A$1:$I$89,3,0)*0.475*44/12</f>
        <v>0</v>
      </c>
      <c r="HH93" s="21">
        <f>EXP(-LN(2)/25)*HH92+(1-EXP(-LN(2)/25))/(LN(2)/25)*Calculateur!HC93*Calculateur!HE93*VLOOKUP('Données projet'!$B$18,Paramètres!$A$1:$I$89,3,0)*0.475*44/12</f>
        <v>1.9482597234655128</v>
      </c>
      <c r="HI93" s="21">
        <f>EXP(-LN(2)/2)*HI92+(1-EXP(-LN(2)/2))/(LN(2)/2)*HC93*HF93*VLOOKUP('Données projet'!$B$18,Paramètres!$A$1:$I$89,3,0)*0.475*44/12</f>
        <v>1.0022482269648667E-8</v>
      </c>
      <c r="HJ93" s="22">
        <f t="shared" si="84"/>
        <v>1.948259733487995</v>
      </c>
    </row>
    <row r="94" spans="1:218" x14ac:dyDescent="0.2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80.917200000000122</v>
      </c>
      <c r="D94" s="11">
        <f t="shared" si="86"/>
        <v>22.361295290994477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797.23750750943202</v>
      </c>
      <c r="H94" s="67">
        <f t="shared" si="56"/>
        <v>473.21004596514888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-2.2737367544323206E-13</v>
      </c>
      <c r="O94" s="13">
        <f>N94*VLOOKUP('Données projet'!$B$9,Paramètres!$A$1:$I$89,3,0)*VLOOKUP('Données projet'!$B$9,Paramètres!$A$1:$I$89,5,0)</f>
        <v>-1.2710188457276673E-13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255.5374979188561</v>
      </c>
      <c r="T94" s="59">
        <f t="shared" si="88"/>
        <v>343.10418468620901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0.92323432365387614</v>
      </c>
      <c r="AA94" s="21">
        <f>EXP(-LN(2)/25)*AA93+(1-EXP(-LN(2)/25))/(LN(2)/25)*Calculateur!V94*Calculateur!X94*VLOOKUP('Données projet'!$B$9,Paramètres!$A$1:$I$89,3,0)*0.475*44/12</f>
        <v>2.9412148419679238</v>
      </c>
      <c r="AB94" s="21">
        <f>EXP(-LN(2)/2)*AB93+(1-EXP(-LN(2)/2))/(LN(2)/2)*V94*Y94*VLOOKUP('Données projet'!$B$9,Paramètres!$A$1:$I$89,3,0)*0.475*44/12</f>
        <v>1.1146867308500045E-9</v>
      </c>
      <c r="AC94" s="22">
        <f t="shared" si="57"/>
        <v>3.8644491667364864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1.1368683772161603E-13</v>
      </c>
      <c r="AJ94" s="13">
        <f>AI94*VLOOKUP('Données projet'!$B$10,Paramètres!$A$1:$I$89,3,0)*VLOOKUP('Données projet'!$B$10,Paramètres!$A$1:$I$89,5,0)</f>
        <v>6.3550942286383367E-14</v>
      </c>
      <c r="AK94" s="13">
        <f t="shared" si="89"/>
        <v>1.0064464192543978E-12</v>
      </c>
      <c r="AL94" s="20">
        <f t="shared" si="58"/>
        <v>1.8635787380168604E-12</v>
      </c>
      <c r="AM94" s="59">
        <f t="shared" si="59"/>
        <v>293.33333333333519</v>
      </c>
      <c r="AN94" s="59">
        <f ca="1">AVERAGE(OFFSET($AM$3,0,0,'Données projet'!$E$10+1,1))-AVERAGE(OFFSET($H$3,0,0,'Données projet'!$E$10+1,1))</f>
        <v>224.7049802939942</v>
      </c>
      <c r="AO94" s="59">
        <f t="shared" si="90"/>
        <v>203.48513862195352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0.66662030295574382</v>
      </c>
      <c r="AV94" s="21">
        <f>EXP(-LN(2)/25)*AV93+(1-EXP(-LN(2)/25))/(LN(2)/25)*Calculateur!AQ94*Calculateur!AS94*VLOOKUP('Données projet'!$B$10,Paramètres!$A$1:$I$89,3,0)*0.475*44/12</f>
        <v>3.5980512413030223</v>
      </c>
      <c r="AW94" s="21">
        <f>EXP(-LN(2)/2)*AW93+(1-EXP(-LN(2)/2))/(LN(2)/2)*AQ94*AT94*VLOOKUP('Données projet'!$B$10,Paramètres!$A$1:$I$89,3,0)*0.475*44/12</f>
        <v>5.900962210021809E-9</v>
      </c>
      <c r="AX94" s="21">
        <f t="shared" si="60"/>
        <v>4.2646715501597283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>
        <f>BD94*VLOOKUP('Données projet'!$B$11,Paramètres!$A$1:$I$89,3,0)*VLOOKUP('Données projet'!$B$11,Paramètres!$A$1:$I$89,5,0)</f>
        <v>0</v>
      </c>
      <c r="BF94" s="13" t="e">
        <f t="shared" si="91"/>
        <v>#NUM!</v>
      </c>
      <c r="BG94" s="20" t="e">
        <f t="shared" si="61"/>
        <v>#NUM!</v>
      </c>
      <c r="BH94" s="59" t="e">
        <f t="shared" si="62"/>
        <v>#NUM!</v>
      </c>
      <c r="BI94" s="59">
        <f ca="1">AVERAGE(OFFSET($BH$3,0,0,'Données projet'!$E$11+1,1))-AVERAGE(OFFSET($H$3,0,0,'Données projet'!$E$11+1,1))</f>
        <v>210.04871822652808</v>
      </c>
      <c r="BJ94" s="59">
        <f t="shared" si="92"/>
        <v>250.17540614049324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2.1813695832612283</v>
      </c>
      <c r="BQ94" s="21">
        <f>EXP(-LN(2)/25)*BQ93+(1-EXP(-LN(2)/25))/(LN(2)/25)*Calculateur!BL94*Calculateur!BN94*VLOOKUP('Données projet'!$B$11,Paramètres!$A$1:$I$89,3,0)*0.475*44/12</f>
        <v>5.1287455415460732</v>
      </c>
      <c r="BR94" s="21">
        <f>EXP(-LN(2)/2)*BR93+(1-EXP(-LN(2)/2))/(LN(2)/2)*BL94*BO94*VLOOKUP('Données projet'!$B$11,Paramètres!$A$1:$I$89,3,0)*0.475*44/12</f>
        <v>1.4194195053653551E-8</v>
      </c>
      <c r="BS94" s="22">
        <f t="shared" si="63"/>
        <v>7.3101151390014971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2.2737367544323206E-13</v>
      </c>
      <c r="BZ94" s="13">
        <f>BY94*VLOOKUP('Données projet'!$B$12,Paramètres!$A$1:$I$89,3,0)*VLOOKUP('Données projet'!$B$12,Paramètres!$A$1:$I$89,5,0)</f>
        <v>1.2414602679200471E-13</v>
      </c>
      <c r="CA94" s="13">
        <f t="shared" si="93"/>
        <v>1.8186582995804361E-12</v>
      </c>
      <c r="CB94" s="20">
        <f t="shared" si="64"/>
        <v>3.3837175350986671E-12</v>
      </c>
      <c r="CC94" s="59">
        <f t="shared" si="65"/>
        <v>293.33333333333672</v>
      </c>
      <c r="CD94" s="59">
        <f ca="1">AVERAGE(OFFSET($CC$3,0,0,'Données projet'!$E$12+1,1))-AVERAGE(OFFSET($H$3,0,0,'Données projet'!$E$12+1,1))</f>
        <v>168.72306536277267</v>
      </c>
      <c r="CE94" s="59">
        <f t="shared" si="94"/>
        <v>203.35476578922339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0.90890399302551184</v>
      </c>
      <c r="CL94" s="21">
        <f>EXP(-LN(2)/25)*CL93+(1-EXP(-LN(2)/25))/(LN(2)/25)*Calculateur!CG94*Calculateur!CI94*VLOOKUP('Données projet'!$B$12,Paramètres!$A$1:$I$89,3,0)*0.475*44/12</f>
        <v>4.2357637155765655</v>
      </c>
      <c r="CM94" s="21">
        <f>EXP(-LN(2)/2)*CM93+(1-EXP(-LN(2)/2))/(LN(2)/2)*CG94*CJ94*VLOOKUP('Données projet'!$B$12,Paramètres!$A$1:$I$89,3,0)*0.475*44/12</f>
        <v>1.3186594221665211E-8</v>
      </c>
      <c r="CN94" s="22">
        <f t="shared" si="66"/>
        <v>5.1446677217886716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26.30769230769231</v>
      </c>
      <c r="CT94" s="12">
        <f>IF('Données projet'!$A$140&gt;35,CT93+CS94-DB93,IF(A94&lt;'Données projet'!$A$140,$CQ$205^A94,IF(A94='Données projet'!$A$140,'Données projet'!$B$140,CT93+CS94-DB93)))</f>
        <v>727.07692307692253</v>
      </c>
      <c r="CU94" s="17">
        <f>CT94*VLOOKUP('Données projet'!$B$13,Paramètres!$A$1:$I$89,3,0)*VLOOKUP('Données projet'!$B$13,Paramètres!$A$1:$I$89,5,0)</f>
        <v>349.72399999999976</v>
      </c>
      <c r="CV94" s="13">
        <f t="shared" si="95"/>
        <v>81.505677362624454</v>
      </c>
      <c r="CW94" s="20">
        <f t="shared" si="67"/>
        <v>751.05835473990373</v>
      </c>
      <c r="CX94" s="59">
        <f t="shared" si="68"/>
        <v>1044.391688073237</v>
      </c>
      <c r="CY94" s="59">
        <f ca="1">AVERAGE(OFFSET($CX$3,0,0,'Données projet'!$E$13+1,1))-AVERAGE(OFFSET($H$3,0,0,'Données projet'!$E$13+1,1))</f>
        <v>304.15237106473313</v>
      </c>
      <c r="CZ94" s="59">
        <f t="shared" si="96"/>
        <v>120.85458928724336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>
        <f>EXP(-LN(2)/35)*DF93+(1-EXP(-LN(2)/35))/(LN(2)/35)*DB94*DC94*VLOOKUP('Données projet'!$B$13,Paramètres!$A$1:$I$89,3,0)*0.475*44/12</f>
        <v>0</v>
      </c>
      <c r="DG94" s="21">
        <f>EXP(-LN(2)/25)*DG93+(1-EXP(-LN(2)/25))/(LN(2)/25)*Calculateur!DB94*Calculateur!DD94*VLOOKUP('Données projet'!$B$13,Paramètres!$A$1:$I$89,3,0)*0.475*44/12</f>
        <v>0</v>
      </c>
      <c r="DH94" s="21">
        <f>EXP(-LN(2)/2)*DH93+(1-EXP(-LN(2)/2))/(LN(2)/2)*DB94*DE94*VLOOKUP('Données projet'!$B$13,Paramètres!$A$1:$I$89,3,0)*0.475*44/12</f>
        <v>0</v>
      </c>
      <c r="DI94" s="22">
        <f t="shared" si="69"/>
        <v>0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9.7692307692307683</v>
      </c>
      <c r="DO94" s="12">
        <f>IF('Données projet'!$A$166&gt;35,DO93+DN94-DW93,IF(A94&lt;'Données projet'!$A$166,$DL$205^A94,IF(A94='Données projet'!$A$166,'Données projet'!$B$166,DO93+DN94-DW93)))</f>
        <v>295.15384615384608</v>
      </c>
      <c r="DP94" s="17">
        <f>DO94*VLOOKUP('Données projet'!$B$14,Paramètres!$A$1:$I$89,3,0)*VLOOKUP('Données projet'!$B$14,Paramètres!$A$1:$I$89,5,0)</f>
        <v>141.96899999999997</v>
      </c>
      <c r="DQ94" s="13">
        <f t="shared" si="97"/>
        <v>36.74770844387718</v>
      </c>
      <c r="DR94" s="20">
        <f t="shared" si="70"/>
        <v>311.26493387308602</v>
      </c>
      <c r="DS94" s="59">
        <f t="shared" si="71"/>
        <v>604.59826720641934</v>
      </c>
      <c r="DT94" s="59">
        <f ca="1">AVERAGE(OFFSET($DS$3,0,0,'Données projet'!$E$14+1,1))-AVERAGE(OFFSET($H$3,0,0,'Données projet'!$E$14+1,1))</f>
        <v>91.053246648097399</v>
      </c>
      <c r="DU94" s="59">
        <f t="shared" si="98"/>
        <v>64.716270355703955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>
        <f>EXP(-LN(2)/35)*EA93+(1-EXP(-LN(2)/35))/(LN(2)/35)*DW94*DX94*VLOOKUP('Données projet'!$B$14,Paramètres!$A$1:$I$89,3,0)*0.475*44/12</f>
        <v>0</v>
      </c>
      <c r="EB94" s="21">
        <f>EXP(-LN(2)/25)*EB93+(1-EXP(-LN(2)/25))/(LN(2)/25)*Calculateur!DW94*Calculateur!DY94*VLOOKUP('Données projet'!$B$14,Paramètres!$A$1:$I$89,3,0)*0.475*44/12</f>
        <v>0</v>
      </c>
      <c r="EC94" s="21">
        <f>EXP(-LN(2)/2)*EC93+(1-EXP(-LN(2)/2))/(LN(2)/2)*DW94*DZ94*VLOOKUP('Données projet'!$B$14,Paramètres!$A$1:$I$89,3,0)*0.475*44/12</f>
        <v>0</v>
      </c>
      <c r="ED94" s="22">
        <f t="shared" si="72"/>
        <v>0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553.99999999999955</v>
      </c>
      <c r="EK94" s="17">
        <f>EJ94*VLOOKUP('Données projet'!$B$15,Paramètres!$A$1:$I$89,3,0)*VLOOKUP('Données projet'!$B$15,Paramètres!$A$1:$I$89,5,0)</f>
        <v>331.29199999999975</v>
      </c>
      <c r="EL94" s="13">
        <f t="shared" si="99"/>
        <v>77.698110787752</v>
      </c>
      <c r="EM94" s="20">
        <f t="shared" si="73"/>
        <v>712.32444295533423</v>
      </c>
      <c r="EN94" s="59">
        <f t="shared" si="74"/>
        <v>1005.6577762886675</v>
      </c>
      <c r="EO94" s="59">
        <f ca="1">AVERAGE(OFFSET($EN$3,0,0,'Données projet'!$E$15+1,1))-AVERAGE(OFFSET($H$3,0,0,'Données projet'!$E$15+1,1))</f>
        <v>316.58509520829671</v>
      </c>
      <c r="EP94" s="59">
        <f t="shared" si="100"/>
        <v>240.71332110643596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>
        <f>EXP(-LN(2)/35)*EV93+(1-EXP(-LN(2)/35))/(LN(2)/35)*ER94*ES94*VLOOKUP('Données projet'!$B$15,Paramètres!$A$1:$I$89,3,0)*0.475*44/12</f>
        <v>0.75726541867890917</v>
      </c>
      <c r="EW94" s="21">
        <f>EXP(-LN(2)/25)*EW93+(1-EXP(-LN(2)/25))/(LN(2)/25)*Calculateur!ER94*Calculateur!ET94*VLOOKUP('Données projet'!$B$15,Paramètres!$A$1:$I$89,3,0)*0.475*44/12</f>
        <v>2.8136292970037857</v>
      </c>
      <c r="EX94" s="21">
        <f>EXP(-LN(2)/2)*EX93+(1-EXP(-LN(2)/2))/(LN(2)/2)*ER94*EU94*VLOOKUP('Données projet'!$B$15,Paramètres!$A$1:$I$89,3,0)*0.475*44/12</f>
        <v>1.4448033887590015E-8</v>
      </c>
      <c r="EY94" s="22">
        <f t="shared" si="75"/>
        <v>3.5708947301307288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497</v>
      </c>
      <c r="FF94" s="17">
        <f>FE94*VLOOKUP('Données projet'!$B$16,Paramètres!$A$1:$I$89,3,0)*VLOOKUP('Données projet'!$B$16,Paramètres!$A$1:$I$89,5,0)</f>
        <v>297.20600000000002</v>
      </c>
      <c r="FG94" s="13">
        <f t="shared" si="101"/>
        <v>70.590415164571112</v>
      </c>
      <c r="FH94" s="20">
        <f t="shared" si="76"/>
        <v>640.57875641162809</v>
      </c>
      <c r="FI94" s="59">
        <f t="shared" si="77"/>
        <v>933.91208974496135</v>
      </c>
      <c r="FJ94" s="59">
        <f ca="1">AVERAGE(OFFSET($FI$3,0,0,'Données projet'!$E$16+1,1))-AVERAGE(OFFSET($H$3,0,0,'Données projet'!$E$16+1,1))</f>
        <v>270.30888762640245</v>
      </c>
      <c r="FK94" s="59">
        <f t="shared" si="102"/>
        <v>202.23783851977691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>
        <f>EXP(-LN(2)/35)*FQ93+(1-EXP(-LN(2)/35))/(LN(2)/35)*FM94*FN94*VLOOKUP('Données projet'!$B$16,Paramètres!$A$1:$I$89,3,0)*0.475*44/12</f>
        <v>0.63994260733428932</v>
      </c>
      <c r="FR94" s="21">
        <f>EXP(-LN(2)/25)*FR93+(1-EXP(-LN(2)/25))/(LN(2)/25)*Calculateur!FM94*Calculateur!FO94*VLOOKUP('Données projet'!$B$16,Paramètres!$A$1:$I$89,3,0)*0.475*44/12</f>
        <v>2.2658058660650648</v>
      </c>
      <c r="FS94" s="21">
        <f>EXP(-LN(2)/2)*FS93+(1-EXP(-LN(2)/2))/(LN(2)/2)*FM94*FP94*VLOOKUP('Données projet'!$B$16,Paramètres!$A$1:$I$89,3,0)*0.475*44/12</f>
        <v>1.2178205822889012E-8</v>
      </c>
      <c r="FT94" s="22">
        <f t="shared" si="78"/>
        <v>2.9057484855775604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-5.1159076974727213E-13</v>
      </c>
      <c r="GA94" s="17">
        <f>FZ94*VLOOKUP('Données projet'!$B$17,Paramètres!$A$1:$I$89,3,0)*VLOOKUP('Données projet'!$B$17,Paramètres!$A$1:$I$89,5,0)</f>
        <v>-4.0702161641092972E-13</v>
      </c>
      <c r="GB94" s="13" t="e">
        <f t="shared" si="103"/>
        <v>#NUM!</v>
      </c>
      <c r="GC94" s="20" t="e">
        <f t="shared" si="79"/>
        <v>#NUM!</v>
      </c>
      <c r="GD94" s="59" t="e">
        <f t="shared" si="80"/>
        <v>#NUM!</v>
      </c>
      <c r="GE94" s="59">
        <f ca="1">AVERAGE(OFFSET($GD$3,0,0,'Données projet'!$E$17+1,1))-AVERAGE(OFFSET($H$3,0,0,'Données projet'!$E$17+1,1))</f>
        <v>260.20517190557814</v>
      </c>
      <c r="GF94" s="59">
        <f t="shared" si="104"/>
        <v>307.22009971147133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>
        <f>EXP(-LN(2)/35)*GL93+(1-EXP(-LN(2)/35))/(LN(2)/35)*GH94*GI94*VLOOKUP('Données projet'!$B$17,Paramètres!$A$1:$I$89,3,0)*0.475*44/12</f>
        <v>0.97490773537617503</v>
      </c>
      <c r="GM94" s="21">
        <f>EXP(-LN(2)/25)*GM93+(1-EXP(-LN(2)/25))/(LN(2)/25)*Calculateur!GH94*Calculateur!GJ94*VLOOKUP('Données projet'!$B$17,Paramètres!$A$1:$I$89,3,0)*0.475*44/12</f>
        <v>3.7814273310263524</v>
      </c>
      <c r="GN94" s="21">
        <f>EXP(-LN(2)/2)*GN93+(1-EXP(-LN(2)/2))/(LN(2)/2)*GH94*GK94*VLOOKUP('Données projet'!$B$17,Paramètres!$A$1:$I$89,3,0)*0.475*44/12</f>
        <v>1.5830773984361782E-8</v>
      </c>
      <c r="GO94" s="21">
        <f t="shared" si="81"/>
        <v>4.7563350822333019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5.6843418860808015E-14</v>
      </c>
      <c r="GV94" s="17">
        <f>GU94*VLOOKUP('Données projet'!$B$18,Paramètres!$A$1:$I$89,3,0)*VLOOKUP('Données projet'!$B$18,Paramètres!$A$1:$I$89,5,0)</f>
        <v>4.5224624045658861E-14</v>
      </c>
      <c r="GW94" s="13">
        <f t="shared" si="105"/>
        <v>7.4514601661523691E-13</v>
      </c>
      <c r="GX94" s="20">
        <f t="shared" si="82"/>
        <v>1.3765621991510601E-12</v>
      </c>
      <c r="GY94" s="59">
        <f t="shared" si="83"/>
        <v>293.33333333333468</v>
      </c>
      <c r="GZ94" s="59">
        <f ca="1">AVERAGE(OFFSET($GY$3,0,0,'Données projet'!$E$18+1,1))-AVERAGE(OFFSET($H$3,0,0,'Données projet'!$E$18+1,1))</f>
        <v>199.58763537752952</v>
      </c>
      <c r="HA94" s="59">
        <f t="shared" si="106"/>
        <v>242.62852778451929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>
        <f>EXP(-LN(2)/35)*HG93+(1-EXP(-LN(2)/35))/(LN(2)/35)*HC94*HD94*VLOOKUP('Données projet'!$B$18,Paramètres!$A$1:$I$89,3,0)*0.475*44/12</f>
        <v>0</v>
      </c>
      <c r="HH94" s="21">
        <f>EXP(-LN(2)/25)*HH93+(1-EXP(-LN(2)/25))/(LN(2)/25)*Calculateur!HC94*Calculateur!HE94*VLOOKUP('Données projet'!$B$18,Paramètres!$A$1:$I$89,3,0)*0.475*44/12</f>
        <v>1.8949844588728224</v>
      </c>
      <c r="HI94" s="21">
        <f>EXP(-LN(2)/2)*HI93+(1-EXP(-LN(2)/2))/(LN(2)/2)*HC94*HF94*VLOOKUP('Données projet'!$B$18,Paramètres!$A$1:$I$89,3,0)*0.475*44/12</f>
        <v>7.0869651771905125E-9</v>
      </c>
      <c r="HJ94" s="22">
        <f t="shared" si="84"/>
        <v>1.8949844659597876</v>
      </c>
    </row>
    <row r="95" spans="1:218" x14ac:dyDescent="0.2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81.806400000000124</v>
      </c>
      <c r="D95" s="11">
        <f t="shared" si="86"/>
        <v>22.578282710556053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805.77649811657409</v>
      </c>
      <c r="H95" s="67">
        <f t="shared" si="56"/>
        <v>475.1366557208853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-2.2737367544323206E-13</v>
      </c>
      <c r="O95" s="13">
        <f>N95*VLOOKUP('Données projet'!$B$9,Paramètres!$A$1:$I$89,3,0)*VLOOKUP('Données projet'!$B$9,Paramètres!$A$1:$I$89,5,0)</f>
        <v>-1.2710188457276673E-13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255.5374979188561</v>
      </c>
      <c r="T95" s="59">
        <f t="shared" si="88"/>
        <v>343.10418468620901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0.90513026168435784</v>
      </c>
      <c r="AA95" s="21">
        <f>EXP(-LN(2)/25)*AA94+(1-EXP(-LN(2)/25))/(LN(2)/25)*Calculateur!V95*Calculateur!X95*VLOOKUP('Données projet'!$B$9,Paramètres!$A$1:$I$89,3,0)*0.475*44/12</f>
        <v>2.8607871674425445</v>
      </c>
      <c r="AB95" s="21">
        <f>EXP(-LN(2)/2)*AB94+(1-EXP(-LN(2)/2))/(LN(2)/2)*V95*Y95*VLOOKUP('Données projet'!$B$9,Paramètres!$A$1:$I$89,3,0)*0.475*44/12</f>
        <v>7.8820254628270214E-10</v>
      </c>
      <c r="AC95" s="22">
        <f t="shared" si="57"/>
        <v>3.7659174299151048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1.1368683772161603E-13</v>
      </c>
      <c r="AJ95" s="13">
        <f>AI95*VLOOKUP('Données projet'!$B$10,Paramètres!$A$1:$I$89,3,0)*VLOOKUP('Données projet'!$B$10,Paramètres!$A$1:$I$89,5,0)</f>
        <v>6.3550942286383367E-14</v>
      </c>
      <c r="AK95" s="13">
        <f t="shared" si="89"/>
        <v>1.0064464192543978E-12</v>
      </c>
      <c r="AL95" s="20">
        <f t="shared" si="58"/>
        <v>1.8635787380168604E-12</v>
      </c>
      <c r="AM95" s="59">
        <f t="shared" si="59"/>
        <v>293.33333333333519</v>
      </c>
      <c r="AN95" s="59">
        <f ca="1">AVERAGE(OFFSET($AM$3,0,0,'Données projet'!$E$10+1,1))-AVERAGE(OFFSET($H$3,0,0,'Données projet'!$E$10+1,1))</f>
        <v>224.7049802939942</v>
      </c>
      <c r="AO95" s="59">
        <f t="shared" si="90"/>
        <v>203.48513862195352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0.65354828541301824</v>
      </c>
      <c r="AV95" s="21">
        <f>EXP(-LN(2)/25)*AV94+(1-EXP(-LN(2)/25))/(LN(2)/25)*Calculateur!AQ95*Calculateur!AS95*VLOOKUP('Données projet'!$B$10,Paramètres!$A$1:$I$89,3,0)*0.475*44/12</f>
        <v>3.4996623408962999</v>
      </c>
      <c r="AW95" s="21">
        <f>EXP(-LN(2)/2)*AW94+(1-EXP(-LN(2)/2))/(LN(2)/2)*AQ95*AT95*VLOOKUP('Données projet'!$B$10,Paramètres!$A$1:$I$89,3,0)*0.475*44/12</f>
        <v>4.1726103942319772E-9</v>
      </c>
      <c r="AX95" s="21">
        <f t="shared" si="60"/>
        <v>4.1532106304819285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>
        <f>BD95*VLOOKUP('Données projet'!$B$11,Paramètres!$A$1:$I$89,3,0)*VLOOKUP('Données projet'!$B$11,Paramètres!$A$1:$I$89,5,0)</f>
        <v>0</v>
      </c>
      <c r="BF95" s="13" t="e">
        <f t="shared" si="91"/>
        <v>#NUM!</v>
      </c>
      <c r="BG95" s="20" t="e">
        <f t="shared" si="61"/>
        <v>#NUM!</v>
      </c>
      <c r="BH95" s="59" t="e">
        <f t="shared" si="62"/>
        <v>#NUM!</v>
      </c>
      <c r="BI95" s="59">
        <f ca="1">AVERAGE(OFFSET($BH$3,0,0,'Données projet'!$E$11+1,1))-AVERAGE(OFFSET($H$3,0,0,'Données projet'!$E$11+1,1))</f>
        <v>210.04871822652808</v>
      </c>
      <c r="BJ95" s="59">
        <f t="shared" si="92"/>
        <v>250.17540614049324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2.1385942562375448</v>
      </c>
      <c r="BQ95" s="21">
        <f>EXP(-LN(2)/25)*BQ94+(1-EXP(-LN(2)/25))/(LN(2)/25)*Calculateur!BL95*Calculateur!BN95*VLOOKUP('Données projet'!$B$11,Paramètres!$A$1:$I$89,3,0)*0.475*44/12</f>
        <v>4.9884997250034901</v>
      </c>
      <c r="BR95" s="21">
        <f>EXP(-LN(2)/2)*BR94+(1-EXP(-LN(2)/2))/(LN(2)/2)*BL95*BO95*VLOOKUP('Données projet'!$B$11,Paramètres!$A$1:$I$89,3,0)*0.475*44/12</f>
        <v>1.0036811575922976E-8</v>
      </c>
      <c r="BS95" s="22">
        <f t="shared" si="63"/>
        <v>7.1270939912778468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2.2737367544323206E-13</v>
      </c>
      <c r="BZ95" s="13">
        <f>BY95*VLOOKUP('Données projet'!$B$12,Paramètres!$A$1:$I$89,3,0)*VLOOKUP('Données projet'!$B$12,Paramètres!$A$1:$I$89,5,0)</f>
        <v>1.2414602679200471E-13</v>
      </c>
      <c r="CA95" s="13">
        <f t="shared" si="93"/>
        <v>1.8186582995804361E-12</v>
      </c>
      <c r="CB95" s="20">
        <f t="shared" si="64"/>
        <v>3.3837175350986671E-12</v>
      </c>
      <c r="CC95" s="59">
        <f t="shared" si="65"/>
        <v>293.33333333333672</v>
      </c>
      <c r="CD95" s="59">
        <f ca="1">AVERAGE(OFFSET($CC$3,0,0,'Données projet'!$E$12+1,1))-AVERAGE(OFFSET($H$3,0,0,'Données projet'!$E$12+1,1))</f>
        <v>168.72306536277267</v>
      </c>
      <c r="CE95" s="59">
        <f t="shared" si="94"/>
        <v>203.35476578922339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0.89108094009897709</v>
      </c>
      <c r="CL95" s="21">
        <f>EXP(-LN(2)/25)*CL94+(1-EXP(-LN(2)/25))/(LN(2)/25)*Calculateur!CG95*Calculateur!CI95*VLOOKUP('Données projet'!$B$12,Paramètres!$A$1:$I$89,3,0)*0.475*44/12</f>
        <v>4.1199365340249914</v>
      </c>
      <c r="CM95" s="21">
        <f>EXP(-LN(2)/2)*CM94+(1-EXP(-LN(2)/2))/(LN(2)/2)*CG95*CJ95*VLOOKUP('Données projet'!$B$12,Paramètres!$A$1:$I$89,3,0)*0.475*44/12</f>
        <v>9.324330194894814E-9</v>
      </c>
      <c r="CN95" s="22">
        <f t="shared" si="66"/>
        <v>5.0110174834482981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26.30769230769231</v>
      </c>
      <c r="CT95" s="12">
        <f>IF('Données projet'!$A$140&gt;35,CT94+CS95-DB94,IF(A95&lt;'Données projet'!$A$140,$CQ$205^A95,IF(A95='Données projet'!$A$140,'Données projet'!$B$140,CT94+CS95-DB94)))</f>
        <v>753.38461538461479</v>
      </c>
      <c r="CU95" s="17">
        <f>CT95*VLOOKUP('Données projet'!$B$13,Paramètres!$A$1:$I$89,3,0)*VLOOKUP('Données projet'!$B$13,Paramètres!$A$1:$I$89,5,0)</f>
        <v>362.3779999999997</v>
      </c>
      <c r="CV95" s="13">
        <f t="shared" si="95"/>
        <v>84.106091697303128</v>
      </c>
      <c r="CW95" s="20">
        <f t="shared" si="67"/>
        <v>777.62645970613573</v>
      </c>
      <c r="CX95" s="59">
        <f t="shared" si="68"/>
        <v>1070.9597930394691</v>
      </c>
      <c r="CY95" s="59">
        <f ca="1">AVERAGE(OFFSET($CX$3,0,0,'Données projet'!$E$13+1,1))-AVERAGE(OFFSET($H$3,0,0,'Données projet'!$E$13+1,1))</f>
        <v>304.15237106473313</v>
      </c>
      <c r="CZ95" s="59">
        <f t="shared" si="96"/>
        <v>120.85458928724336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>
        <f>EXP(-LN(2)/35)*DF94+(1-EXP(-LN(2)/35))/(LN(2)/35)*DB95*DC95*VLOOKUP('Données projet'!$B$13,Paramètres!$A$1:$I$89,3,0)*0.475*44/12</f>
        <v>0</v>
      </c>
      <c r="DG95" s="21">
        <f>EXP(-LN(2)/25)*DG94+(1-EXP(-LN(2)/25))/(LN(2)/25)*Calculateur!DB95*Calculateur!DD95*VLOOKUP('Données projet'!$B$13,Paramètres!$A$1:$I$89,3,0)*0.475*44/12</f>
        <v>0</v>
      </c>
      <c r="DH95" s="21">
        <f>EXP(-LN(2)/2)*DH94+(1-EXP(-LN(2)/2))/(LN(2)/2)*DB95*DE95*VLOOKUP('Données projet'!$B$13,Paramètres!$A$1:$I$89,3,0)*0.475*44/12</f>
        <v>0</v>
      </c>
      <c r="DI95" s="22">
        <f t="shared" si="69"/>
        <v>0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9.7692307692307683</v>
      </c>
      <c r="DO95" s="12">
        <f>IF('Données projet'!$A$166&gt;35,DO94+DN95-DW94,IF(A95&lt;'Données projet'!$A$166,$DL$205^A95,IF(A95='Données projet'!$A$166,'Données projet'!$B$166,DO94+DN95-DW94)))</f>
        <v>304.92307692307685</v>
      </c>
      <c r="DP95" s="17">
        <f>DO95*VLOOKUP('Données projet'!$B$14,Paramètres!$A$1:$I$89,3,0)*VLOOKUP('Données projet'!$B$14,Paramètres!$A$1:$I$89,5,0)</f>
        <v>146.66799999999998</v>
      </c>
      <c r="DQ95" s="13">
        <f t="shared" si="97"/>
        <v>37.820389543960211</v>
      </c>
      <c r="DR95" s="20">
        <f t="shared" si="70"/>
        <v>321.31727845573067</v>
      </c>
      <c r="DS95" s="59">
        <f t="shared" si="71"/>
        <v>614.65061178906399</v>
      </c>
      <c r="DT95" s="59">
        <f ca="1">AVERAGE(OFFSET($DS$3,0,0,'Données projet'!$E$14+1,1))-AVERAGE(OFFSET($H$3,0,0,'Données projet'!$E$14+1,1))</f>
        <v>91.053246648097399</v>
      </c>
      <c r="DU95" s="59">
        <f t="shared" si="98"/>
        <v>64.716270355703955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>
        <f>EXP(-LN(2)/35)*EA94+(1-EXP(-LN(2)/35))/(LN(2)/35)*DW95*DX95*VLOOKUP('Données projet'!$B$14,Paramètres!$A$1:$I$89,3,0)*0.475*44/12</f>
        <v>0</v>
      </c>
      <c r="EB95" s="21">
        <f>EXP(-LN(2)/25)*EB94+(1-EXP(-LN(2)/25))/(LN(2)/25)*Calculateur!DW95*Calculateur!DY95*VLOOKUP('Données projet'!$B$14,Paramètres!$A$1:$I$89,3,0)*0.475*44/12</f>
        <v>0</v>
      </c>
      <c r="EC95" s="21">
        <f>EXP(-LN(2)/2)*EC94+(1-EXP(-LN(2)/2))/(LN(2)/2)*DW95*DZ95*VLOOKUP('Données projet'!$B$14,Paramètres!$A$1:$I$89,3,0)*0.475*44/12</f>
        <v>0</v>
      </c>
      <c r="ED95" s="22">
        <f t="shared" si="72"/>
        <v>0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553.99999999999955</v>
      </c>
      <c r="EK95" s="17">
        <f>EJ95*VLOOKUP('Données projet'!$B$15,Paramètres!$A$1:$I$89,3,0)*VLOOKUP('Données projet'!$B$15,Paramètres!$A$1:$I$89,5,0)</f>
        <v>331.29199999999975</v>
      </c>
      <c r="EL95" s="13">
        <f t="shared" si="99"/>
        <v>77.698110787752</v>
      </c>
      <c r="EM95" s="20">
        <f t="shared" si="73"/>
        <v>712.32444295533423</v>
      </c>
      <c r="EN95" s="59">
        <f t="shared" si="74"/>
        <v>1005.6577762886675</v>
      </c>
      <c r="EO95" s="59">
        <f ca="1">AVERAGE(OFFSET($EN$3,0,0,'Données projet'!$E$15+1,1))-AVERAGE(OFFSET($H$3,0,0,'Données projet'!$E$15+1,1))</f>
        <v>316.58509520829671</v>
      </c>
      <c r="EP95" s="59">
        <f t="shared" si="100"/>
        <v>240.71332110643596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>
        <f>EXP(-LN(2)/35)*EV94+(1-EXP(-LN(2)/35))/(LN(2)/35)*ER95*ES95*VLOOKUP('Données projet'!$B$15,Paramètres!$A$1:$I$89,3,0)*0.475*44/12</f>
        <v>0.74241590570491367</v>
      </c>
      <c r="EW95" s="21">
        <f>EXP(-LN(2)/25)*EW94+(1-EXP(-LN(2)/25))/(LN(2)/25)*Calculateur!ER95*Calculateur!ET95*VLOOKUP('Données projet'!$B$15,Paramètres!$A$1:$I$89,3,0)*0.475*44/12</f>
        <v>2.736690455914883</v>
      </c>
      <c r="EX95" s="21">
        <f>EXP(-LN(2)/2)*EX94+(1-EXP(-LN(2)/2))/(LN(2)/2)*ER95*EU95*VLOOKUP('Données projet'!$B$15,Paramètres!$A$1:$I$89,3,0)*0.475*44/12</f>
        <v>1.0216302736727937E-8</v>
      </c>
      <c r="EY95" s="22">
        <f t="shared" si="75"/>
        <v>3.4791063718360995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497</v>
      </c>
      <c r="FF95" s="17">
        <f>FE95*VLOOKUP('Données projet'!$B$16,Paramètres!$A$1:$I$89,3,0)*VLOOKUP('Données projet'!$B$16,Paramètres!$A$1:$I$89,5,0)</f>
        <v>297.20600000000002</v>
      </c>
      <c r="FG95" s="13">
        <f t="shared" si="101"/>
        <v>70.590415164571112</v>
      </c>
      <c r="FH95" s="20">
        <f t="shared" si="76"/>
        <v>640.57875641162809</v>
      </c>
      <c r="FI95" s="59">
        <f t="shared" si="77"/>
        <v>933.91208974496135</v>
      </c>
      <c r="FJ95" s="59">
        <f ca="1">AVERAGE(OFFSET($FI$3,0,0,'Données projet'!$E$16+1,1))-AVERAGE(OFFSET($H$3,0,0,'Données projet'!$E$16+1,1))</f>
        <v>270.30888762640245</v>
      </c>
      <c r="FK95" s="59">
        <f t="shared" si="102"/>
        <v>202.23783851977691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>
        <f>EXP(-LN(2)/35)*FQ94+(1-EXP(-LN(2)/35))/(LN(2)/35)*FM95*FN95*VLOOKUP('Données projet'!$B$16,Paramètres!$A$1:$I$89,3,0)*0.475*44/12</f>
        <v>0.62739372313091279</v>
      </c>
      <c r="FR95" s="21">
        <f>EXP(-LN(2)/25)*FR94+(1-EXP(-LN(2)/25))/(LN(2)/25)*Calculateur!FM95*Calculateur!FO95*VLOOKUP('Données projet'!$B$16,Paramètres!$A$1:$I$89,3,0)*0.475*44/12</f>
        <v>2.2038472855039637</v>
      </c>
      <c r="FS95" s="21">
        <f>EXP(-LN(2)/2)*FS94+(1-EXP(-LN(2)/2))/(LN(2)/2)*FM95*FP95*VLOOKUP('Données projet'!$B$16,Paramètres!$A$1:$I$89,3,0)*0.475*44/12</f>
        <v>8.6112919200503193E-9</v>
      </c>
      <c r="FT95" s="22">
        <f t="shared" si="78"/>
        <v>2.8312410172461684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-5.1159076974727213E-13</v>
      </c>
      <c r="GA95" s="17">
        <f>FZ95*VLOOKUP('Données projet'!$B$17,Paramètres!$A$1:$I$89,3,0)*VLOOKUP('Données projet'!$B$17,Paramètres!$A$1:$I$89,5,0)</f>
        <v>-4.0702161641092972E-13</v>
      </c>
      <c r="GB95" s="13" t="e">
        <f t="shared" si="103"/>
        <v>#NUM!</v>
      </c>
      <c r="GC95" s="20" t="e">
        <f t="shared" si="79"/>
        <v>#NUM!</v>
      </c>
      <c r="GD95" s="59" t="e">
        <f t="shared" si="80"/>
        <v>#NUM!</v>
      </c>
      <c r="GE95" s="59">
        <f ca="1">AVERAGE(OFFSET($GD$3,0,0,'Données projet'!$E$17+1,1))-AVERAGE(OFFSET($H$3,0,0,'Données projet'!$E$17+1,1))</f>
        <v>260.20517190557814</v>
      </c>
      <c r="GF95" s="59">
        <f t="shared" si="104"/>
        <v>307.22009971147133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>
        <f>EXP(-LN(2)/35)*GL94+(1-EXP(-LN(2)/35))/(LN(2)/35)*GH95*GI95*VLOOKUP('Données projet'!$B$17,Paramètres!$A$1:$I$89,3,0)*0.475*44/12</f>
        <v>0.95579038932045146</v>
      </c>
      <c r="GM95" s="21">
        <f>EXP(-LN(2)/25)*GM94+(1-EXP(-LN(2)/25))/(LN(2)/25)*Calculateur!GH95*Calculateur!GJ95*VLOOKUP('Données projet'!$B$17,Paramètres!$A$1:$I$89,3,0)*0.475*44/12</f>
        <v>3.6780240018028159</v>
      </c>
      <c r="GN95" s="21">
        <f>EXP(-LN(2)/2)*GN94+(1-EXP(-LN(2)/2))/(LN(2)/2)*GH95*GK95*VLOOKUP('Données projet'!$B$17,Paramètres!$A$1:$I$89,3,0)*0.475*44/12</f>
        <v>1.1194047635773796E-8</v>
      </c>
      <c r="GO95" s="21">
        <f t="shared" si="81"/>
        <v>4.6338144023173147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5.6843418860808015E-14</v>
      </c>
      <c r="GV95" s="17">
        <f>GU95*VLOOKUP('Données projet'!$B$18,Paramètres!$A$1:$I$89,3,0)*VLOOKUP('Données projet'!$B$18,Paramètres!$A$1:$I$89,5,0)</f>
        <v>4.5224624045658861E-14</v>
      </c>
      <c r="GW95" s="13">
        <f t="shared" si="105"/>
        <v>7.4514601661523691E-13</v>
      </c>
      <c r="GX95" s="20">
        <f t="shared" si="82"/>
        <v>1.3765621991510601E-12</v>
      </c>
      <c r="GY95" s="59">
        <f t="shared" si="83"/>
        <v>293.33333333333468</v>
      </c>
      <c r="GZ95" s="59">
        <f ca="1">AVERAGE(OFFSET($GY$3,0,0,'Données projet'!$E$18+1,1))-AVERAGE(OFFSET($H$3,0,0,'Données projet'!$E$18+1,1))</f>
        <v>199.58763537752952</v>
      </c>
      <c r="HA95" s="59">
        <f t="shared" si="106"/>
        <v>242.62852778451929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>
        <f>EXP(-LN(2)/35)*HG94+(1-EXP(-LN(2)/35))/(LN(2)/35)*HC95*HD95*VLOOKUP('Données projet'!$B$18,Paramètres!$A$1:$I$89,3,0)*0.475*44/12</f>
        <v>0</v>
      </c>
      <c r="HH95" s="21">
        <f>EXP(-LN(2)/25)*HH94+(1-EXP(-LN(2)/25))/(LN(2)/25)*Calculateur!HC95*Calculateur!HE95*VLOOKUP('Données projet'!$B$18,Paramètres!$A$1:$I$89,3,0)*0.475*44/12</f>
        <v>1.8431660091920434</v>
      </c>
      <c r="HI95" s="21">
        <f>EXP(-LN(2)/2)*HI94+(1-EXP(-LN(2)/2))/(LN(2)/2)*HC95*HF95*VLOOKUP('Données projet'!$B$18,Paramètres!$A$1:$I$89,3,0)*0.475*44/12</f>
        <v>5.0112411348243337E-9</v>
      </c>
      <c r="HJ95" s="22">
        <f t="shared" si="84"/>
        <v>1.8431660142032846</v>
      </c>
    </row>
    <row r="96" spans="1:218" x14ac:dyDescent="0.2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82.695600000000127</v>
      </c>
      <c r="D96" s="11">
        <f t="shared" si="86"/>
        <v>22.794995761747877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814.31337079244076</v>
      </c>
      <c r="H96" s="67">
        <f t="shared" si="56"/>
        <v>477.06278761837774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-2.2737367544323206E-13</v>
      </c>
      <c r="O96" s="13">
        <f>N96*VLOOKUP('Données projet'!$B$9,Paramètres!$A$1:$I$89,3,0)*VLOOKUP('Données projet'!$B$9,Paramètres!$A$1:$I$89,5,0)</f>
        <v>-1.2710188457276673E-13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255.5374979188561</v>
      </c>
      <c r="T96" s="59">
        <f t="shared" si="88"/>
        <v>343.10418468620901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0.88738120932767439</v>
      </c>
      <c r="AA96" s="21">
        <f>EXP(-LN(2)/25)*AA95+(1-EXP(-LN(2)/25))/(LN(2)/25)*Calculateur!V96*Calculateur!X96*VLOOKUP('Données projet'!$B$9,Paramètres!$A$1:$I$89,3,0)*0.475*44/12</f>
        <v>2.7825587919065695</v>
      </c>
      <c r="AB96" s="21">
        <f>EXP(-LN(2)/2)*AB95+(1-EXP(-LN(2)/2))/(LN(2)/2)*V96*Y96*VLOOKUP('Données projet'!$B$9,Paramètres!$A$1:$I$89,3,0)*0.475*44/12</f>
        <v>5.5734336542500225E-10</v>
      </c>
      <c r="AC96" s="22">
        <f t="shared" si="57"/>
        <v>3.6699400017915873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1.1368683772161603E-13</v>
      </c>
      <c r="AJ96" s="13">
        <f>AI96*VLOOKUP('Données projet'!$B$10,Paramètres!$A$1:$I$89,3,0)*VLOOKUP('Données projet'!$B$10,Paramètres!$A$1:$I$89,5,0)</f>
        <v>6.3550942286383367E-14</v>
      </c>
      <c r="AK96" s="13">
        <f t="shared" si="89"/>
        <v>1.0064464192543978E-12</v>
      </c>
      <c r="AL96" s="20">
        <f t="shared" si="58"/>
        <v>1.8635787380168604E-12</v>
      </c>
      <c r="AM96" s="59">
        <f t="shared" si="59"/>
        <v>293.33333333333519</v>
      </c>
      <c r="AN96" s="59">
        <f ca="1">AVERAGE(OFFSET($AM$3,0,0,'Données projet'!$E$10+1,1))-AVERAGE(OFFSET($H$3,0,0,'Données projet'!$E$10+1,1))</f>
        <v>224.7049802939942</v>
      </c>
      <c r="AO96" s="59">
        <f t="shared" si="90"/>
        <v>203.48513862195352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0.64073260216116212</v>
      </c>
      <c r="AV96" s="21">
        <f>EXP(-LN(2)/25)*AV95+(1-EXP(-LN(2)/25))/(LN(2)/25)*Calculateur!AQ96*Calculateur!AS96*VLOOKUP('Données projet'!$B$10,Paramètres!$A$1:$I$89,3,0)*0.475*44/12</f>
        <v>3.4039638901452465</v>
      </c>
      <c r="AW96" s="21">
        <f>EXP(-LN(2)/2)*AW95+(1-EXP(-LN(2)/2))/(LN(2)/2)*AQ96*AT96*VLOOKUP('Données projet'!$B$10,Paramètres!$A$1:$I$89,3,0)*0.475*44/12</f>
        <v>2.9504811050109045E-9</v>
      </c>
      <c r="AX96" s="21">
        <f t="shared" si="60"/>
        <v>4.0446964952568898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>
        <f>BD96*VLOOKUP('Données projet'!$B$11,Paramètres!$A$1:$I$89,3,0)*VLOOKUP('Données projet'!$B$11,Paramètres!$A$1:$I$89,5,0)</f>
        <v>0</v>
      </c>
      <c r="BF96" s="13" t="e">
        <f t="shared" si="91"/>
        <v>#NUM!</v>
      </c>
      <c r="BG96" s="20" t="e">
        <f t="shared" si="61"/>
        <v>#NUM!</v>
      </c>
      <c r="BH96" s="59" t="e">
        <f t="shared" si="62"/>
        <v>#NUM!</v>
      </c>
      <c r="BI96" s="59">
        <f ca="1">AVERAGE(OFFSET($BH$3,0,0,'Données projet'!$E$11+1,1))-AVERAGE(OFFSET($H$3,0,0,'Données projet'!$E$11+1,1))</f>
        <v>210.04871822652808</v>
      </c>
      <c r="BJ96" s="59">
        <f t="shared" si="92"/>
        <v>250.17540614049324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2.0966577272864226</v>
      </c>
      <c r="BQ96" s="21">
        <f>EXP(-LN(2)/25)*BQ95+(1-EXP(-LN(2)/25))/(LN(2)/25)*Calculateur!BL96*Calculateur!BN96*VLOOKUP('Données projet'!$B$11,Paramètres!$A$1:$I$89,3,0)*0.475*44/12</f>
        <v>4.8520889376894702</v>
      </c>
      <c r="BR96" s="21">
        <f>EXP(-LN(2)/2)*BR95+(1-EXP(-LN(2)/2))/(LN(2)/2)*BL96*BO96*VLOOKUP('Données projet'!$B$11,Paramètres!$A$1:$I$89,3,0)*0.475*44/12</f>
        <v>7.0970975268267753E-9</v>
      </c>
      <c r="BS96" s="22">
        <f t="shared" si="63"/>
        <v>6.94874667207299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2.2737367544323206E-13</v>
      </c>
      <c r="BZ96" s="13">
        <f>BY96*VLOOKUP('Données projet'!$B$12,Paramètres!$A$1:$I$89,3,0)*VLOOKUP('Données projet'!$B$12,Paramètres!$A$1:$I$89,5,0)</f>
        <v>1.2414602679200471E-13</v>
      </c>
      <c r="CA96" s="13">
        <f t="shared" si="93"/>
        <v>1.8186582995804361E-12</v>
      </c>
      <c r="CB96" s="20">
        <f t="shared" si="64"/>
        <v>3.3837175350986671E-12</v>
      </c>
      <c r="CC96" s="59">
        <f t="shared" si="65"/>
        <v>293.33333333333672</v>
      </c>
      <c r="CD96" s="59">
        <f ca="1">AVERAGE(OFFSET($CC$3,0,0,'Données projet'!$E$12+1,1))-AVERAGE(OFFSET($H$3,0,0,'Données projet'!$E$12+1,1))</f>
        <v>168.72306536277267</v>
      </c>
      <c r="CE96" s="59">
        <f t="shared" si="94"/>
        <v>203.35476578922339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0.87360738636934288</v>
      </c>
      <c r="CL96" s="21">
        <f>EXP(-LN(2)/25)*CL95+(1-EXP(-LN(2)/25))/(LN(2)/25)*Calculateur!CG96*Calculateur!CI96*VLOOKUP('Données projet'!$B$12,Paramètres!$A$1:$I$89,3,0)*0.475*44/12</f>
        <v>4.0072766528440322</v>
      </c>
      <c r="CM96" s="21">
        <f>EXP(-LN(2)/2)*CM95+(1-EXP(-LN(2)/2))/(LN(2)/2)*CG96*CJ96*VLOOKUP('Données projet'!$B$12,Paramètres!$A$1:$I$89,3,0)*0.475*44/12</f>
        <v>6.5932971108326054E-9</v>
      </c>
      <c r="CN96" s="22">
        <f t="shared" si="66"/>
        <v>4.8808840458066722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26.30769230769231</v>
      </c>
      <c r="CT96" s="12">
        <f>IF('Données projet'!$A$140&gt;35,CT95+CS96-DB95,IF(A96&lt;'Données projet'!$A$140,$CQ$205^A96,IF(A96='Données projet'!$A$140,'Données projet'!$B$140,CT95+CS96-DB95)))</f>
        <v>779.69230769230705</v>
      </c>
      <c r="CU96" s="17">
        <f>CT96*VLOOKUP('Données projet'!$B$13,Paramètres!$A$1:$I$89,3,0)*VLOOKUP('Données projet'!$B$13,Paramètres!$A$1:$I$89,5,0)</f>
        <v>375.03199999999975</v>
      </c>
      <c r="CV96" s="13">
        <f t="shared" si="95"/>
        <v>86.695955546046804</v>
      </c>
      <c r="CW96" s="20">
        <f t="shared" si="67"/>
        <v>804.17618924269766</v>
      </c>
      <c r="CX96" s="59">
        <f t="shared" si="68"/>
        <v>1097.509522576031</v>
      </c>
      <c r="CY96" s="59">
        <f ca="1">AVERAGE(OFFSET($CX$3,0,0,'Données projet'!$E$13+1,1))-AVERAGE(OFFSET($H$3,0,0,'Données projet'!$E$13+1,1))</f>
        <v>304.15237106473313</v>
      </c>
      <c r="CZ96" s="59">
        <f t="shared" si="96"/>
        <v>120.85458928724336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>
        <f>EXP(-LN(2)/35)*DF95+(1-EXP(-LN(2)/35))/(LN(2)/35)*DB96*DC96*VLOOKUP('Données projet'!$B$13,Paramètres!$A$1:$I$89,3,0)*0.475*44/12</f>
        <v>0</v>
      </c>
      <c r="DG96" s="21">
        <f>EXP(-LN(2)/25)*DG95+(1-EXP(-LN(2)/25))/(LN(2)/25)*Calculateur!DB96*Calculateur!DD96*VLOOKUP('Données projet'!$B$13,Paramètres!$A$1:$I$89,3,0)*0.475*44/12</f>
        <v>0</v>
      </c>
      <c r="DH96" s="21">
        <f>EXP(-LN(2)/2)*DH95+(1-EXP(-LN(2)/2))/(LN(2)/2)*DB96*DE96*VLOOKUP('Données projet'!$B$13,Paramètres!$A$1:$I$89,3,0)*0.475*44/12</f>
        <v>0</v>
      </c>
      <c r="DI96" s="22">
        <f t="shared" si="69"/>
        <v>0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9.7692307692307683</v>
      </c>
      <c r="DO96" s="12">
        <f>IF('Données projet'!$A$166&gt;35,DO95+DN96-DW95,IF(A96&lt;'Données projet'!$A$166,$DL$205^A96,IF(A96='Données projet'!$A$166,'Données projet'!$B$166,DO95+DN96-DW95)))</f>
        <v>314.69230769230762</v>
      </c>
      <c r="DP96" s="17">
        <f>DO96*VLOOKUP('Données projet'!$B$14,Paramètres!$A$1:$I$89,3,0)*VLOOKUP('Données projet'!$B$14,Paramètres!$A$1:$I$89,5,0)</f>
        <v>151.36699999999996</v>
      </c>
      <c r="DQ96" s="13">
        <f t="shared" si="97"/>
        <v>38.889077061749582</v>
      </c>
      <c r="DR96" s="20">
        <f t="shared" si="70"/>
        <v>331.36266754921377</v>
      </c>
      <c r="DS96" s="59">
        <f t="shared" si="71"/>
        <v>624.69600088254708</v>
      </c>
      <c r="DT96" s="59">
        <f ca="1">AVERAGE(OFFSET($DS$3,0,0,'Données projet'!$E$14+1,1))-AVERAGE(OFFSET($H$3,0,0,'Données projet'!$E$14+1,1))</f>
        <v>91.053246648097399</v>
      </c>
      <c r="DU96" s="59">
        <f t="shared" si="98"/>
        <v>64.716270355703955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>
        <f>EXP(-LN(2)/35)*EA95+(1-EXP(-LN(2)/35))/(LN(2)/35)*DW96*DX96*VLOOKUP('Données projet'!$B$14,Paramètres!$A$1:$I$89,3,0)*0.475*44/12</f>
        <v>0</v>
      </c>
      <c r="EB96" s="21">
        <f>EXP(-LN(2)/25)*EB95+(1-EXP(-LN(2)/25))/(LN(2)/25)*Calculateur!DW96*Calculateur!DY96*VLOOKUP('Données projet'!$B$14,Paramètres!$A$1:$I$89,3,0)*0.475*44/12</f>
        <v>0</v>
      </c>
      <c r="EC96" s="21">
        <f>EXP(-LN(2)/2)*EC95+(1-EXP(-LN(2)/2))/(LN(2)/2)*DW96*DZ96*VLOOKUP('Données projet'!$B$14,Paramètres!$A$1:$I$89,3,0)*0.475*44/12</f>
        <v>0</v>
      </c>
      <c r="ED96" s="22">
        <f t="shared" si="72"/>
        <v>0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553.99999999999955</v>
      </c>
      <c r="EK96" s="17">
        <f>EJ96*VLOOKUP('Données projet'!$B$15,Paramètres!$A$1:$I$89,3,0)*VLOOKUP('Données projet'!$B$15,Paramètres!$A$1:$I$89,5,0)</f>
        <v>331.29199999999975</v>
      </c>
      <c r="EL96" s="13">
        <f t="shared" si="99"/>
        <v>77.698110787752</v>
      </c>
      <c r="EM96" s="20">
        <f t="shared" si="73"/>
        <v>712.32444295533423</v>
      </c>
      <c r="EN96" s="59">
        <f t="shared" si="74"/>
        <v>1005.6577762886675</v>
      </c>
      <c r="EO96" s="59">
        <f ca="1">AVERAGE(OFFSET($EN$3,0,0,'Données projet'!$E$15+1,1))-AVERAGE(OFFSET($H$3,0,0,'Données projet'!$E$15+1,1))</f>
        <v>316.58509520829671</v>
      </c>
      <c r="EP96" s="59">
        <f t="shared" si="100"/>
        <v>240.71332110643596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>
        <f>EXP(-LN(2)/35)*EV95+(1-EXP(-LN(2)/35))/(LN(2)/35)*ER96*ES96*VLOOKUP('Données projet'!$B$15,Paramètres!$A$1:$I$89,3,0)*0.475*44/12</f>
        <v>0.72785758262302969</v>
      </c>
      <c r="EW96" s="21">
        <f>EXP(-LN(2)/25)*EW95+(1-EXP(-LN(2)/25))/(LN(2)/25)*Calculateur!ER96*Calculateur!ET96*VLOOKUP('Données projet'!$B$15,Paramètres!$A$1:$I$89,3,0)*0.475*44/12</f>
        <v>2.661855511481594</v>
      </c>
      <c r="EX96" s="21">
        <f>EXP(-LN(2)/2)*EX95+(1-EXP(-LN(2)/2))/(LN(2)/2)*ER96*EU96*VLOOKUP('Données projet'!$B$15,Paramètres!$A$1:$I$89,3,0)*0.475*44/12</f>
        <v>7.2240169437950083E-9</v>
      </c>
      <c r="EY96" s="22">
        <f t="shared" si="75"/>
        <v>3.3897131013286406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497</v>
      </c>
      <c r="FF96" s="17">
        <f>FE96*VLOOKUP('Données projet'!$B$16,Paramètres!$A$1:$I$89,3,0)*VLOOKUP('Données projet'!$B$16,Paramètres!$A$1:$I$89,5,0)</f>
        <v>297.20600000000002</v>
      </c>
      <c r="FG96" s="13">
        <f t="shared" si="101"/>
        <v>70.590415164571112</v>
      </c>
      <c r="FH96" s="20">
        <f t="shared" si="76"/>
        <v>640.57875641162809</v>
      </c>
      <c r="FI96" s="59">
        <f t="shared" si="77"/>
        <v>933.91208974496135</v>
      </c>
      <c r="FJ96" s="59">
        <f ca="1">AVERAGE(OFFSET($FI$3,0,0,'Données projet'!$E$16+1,1))-AVERAGE(OFFSET($H$3,0,0,'Données projet'!$E$16+1,1))</f>
        <v>270.30888762640245</v>
      </c>
      <c r="FK96" s="59">
        <f t="shared" si="102"/>
        <v>202.23783851977691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>
        <f>EXP(-LN(2)/35)*FQ95+(1-EXP(-LN(2)/35))/(LN(2)/35)*FM96*FN96*VLOOKUP('Données projet'!$B$16,Paramètres!$A$1:$I$89,3,0)*0.475*44/12</f>
        <v>0.61509091489270096</v>
      </c>
      <c r="FR96" s="21">
        <f>EXP(-LN(2)/25)*FR95+(1-EXP(-LN(2)/25))/(LN(2)/25)*Calculateur!FM96*Calculateur!FO96*VLOOKUP('Données projet'!$B$16,Paramètres!$A$1:$I$89,3,0)*0.475*44/12</f>
        <v>2.1435829655865661</v>
      </c>
      <c r="FS96" s="21">
        <f>EXP(-LN(2)/2)*FS95+(1-EXP(-LN(2)/2))/(LN(2)/2)*FM96*FP96*VLOOKUP('Données projet'!$B$16,Paramètres!$A$1:$I$89,3,0)*0.475*44/12</f>
        <v>6.0891029114445058E-9</v>
      </c>
      <c r="FT96" s="22">
        <f t="shared" si="78"/>
        <v>2.7586738865683702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-5.1159076974727213E-13</v>
      </c>
      <c r="GA96" s="17">
        <f>FZ96*VLOOKUP('Données projet'!$B$17,Paramètres!$A$1:$I$89,3,0)*VLOOKUP('Données projet'!$B$17,Paramètres!$A$1:$I$89,5,0)</f>
        <v>-4.0702161641092972E-13</v>
      </c>
      <c r="GB96" s="13" t="e">
        <f t="shared" si="103"/>
        <v>#NUM!</v>
      </c>
      <c r="GC96" s="20" t="e">
        <f t="shared" si="79"/>
        <v>#NUM!</v>
      </c>
      <c r="GD96" s="59" t="e">
        <f t="shared" si="80"/>
        <v>#NUM!</v>
      </c>
      <c r="GE96" s="59">
        <f ca="1">AVERAGE(OFFSET($GD$3,0,0,'Données projet'!$E$17+1,1))-AVERAGE(OFFSET($H$3,0,0,'Données projet'!$E$17+1,1))</f>
        <v>260.20517190557814</v>
      </c>
      <c r="GF96" s="59">
        <f t="shared" si="104"/>
        <v>307.22009971147133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>
        <f>EXP(-LN(2)/35)*GL95+(1-EXP(-LN(2)/35))/(LN(2)/35)*GH96*GI96*VLOOKUP('Données projet'!$B$17,Paramètres!$A$1:$I$89,3,0)*0.475*44/12</f>
        <v>0.9370479227604509</v>
      </c>
      <c r="GM96" s="21">
        <f>EXP(-LN(2)/25)*GM95+(1-EXP(-LN(2)/25))/(LN(2)/25)*Calculateur!GH96*Calculateur!GJ96*VLOOKUP('Données projet'!$B$17,Paramètres!$A$1:$I$89,3,0)*0.475*44/12</f>
        <v>3.5774482420546416</v>
      </c>
      <c r="GN96" s="21">
        <f>EXP(-LN(2)/2)*GN95+(1-EXP(-LN(2)/2))/(LN(2)/2)*GH96*GK96*VLOOKUP('Données projet'!$B$17,Paramètres!$A$1:$I$89,3,0)*0.475*44/12</f>
        <v>7.915386992180891E-9</v>
      </c>
      <c r="GO96" s="21">
        <f t="shared" si="81"/>
        <v>4.5144961727304791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5.6843418860808015E-14</v>
      </c>
      <c r="GV96" s="17">
        <f>GU96*VLOOKUP('Données projet'!$B$18,Paramètres!$A$1:$I$89,3,0)*VLOOKUP('Données projet'!$B$18,Paramètres!$A$1:$I$89,5,0)</f>
        <v>4.5224624045658861E-14</v>
      </c>
      <c r="GW96" s="13">
        <f t="shared" si="105"/>
        <v>7.4514601661523691E-13</v>
      </c>
      <c r="GX96" s="20">
        <f t="shared" si="82"/>
        <v>1.3765621991510601E-12</v>
      </c>
      <c r="GY96" s="59">
        <f t="shared" si="83"/>
        <v>293.33333333333468</v>
      </c>
      <c r="GZ96" s="59">
        <f ca="1">AVERAGE(OFFSET($GY$3,0,0,'Données projet'!$E$18+1,1))-AVERAGE(OFFSET($H$3,0,0,'Données projet'!$E$18+1,1))</f>
        <v>199.58763537752952</v>
      </c>
      <c r="HA96" s="59">
        <f t="shared" si="106"/>
        <v>242.62852778451929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>
        <f>EXP(-LN(2)/35)*HG95+(1-EXP(-LN(2)/35))/(LN(2)/35)*HC96*HD96*VLOOKUP('Données projet'!$B$18,Paramètres!$A$1:$I$89,3,0)*0.475*44/12</f>
        <v>0</v>
      </c>
      <c r="HH96" s="21">
        <f>EXP(-LN(2)/25)*HH95+(1-EXP(-LN(2)/25))/(LN(2)/25)*Calculateur!HC96*Calculateur!HE96*VLOOKUP('Données projet'!$B$18,Paramètres!$A$1:$I$89,3,0)*0.475*44/12</f>
        <v>1.7927645377427992</v>
      </c>
      <c r="HI96" s="21">
        <f>EXP(-LN(2)/2)*HI95+(1-EXP(-LN(2)/2))/(LN(2)/2)*HC96*HF96*VLOOKUP('Données projet'!$B$18,Paramètres!$A$1:$I$89,3,0)*0.475*44/12</f>
        <v>3.5434825885952562E-9</v>
      </c>
      <c r="HJ96" s="22">
        <f t="shared" si="84"/>
        <v>1.7927645412862818</v>
      </c>
    </row>
    <row r="97" spans="1:218" x14ac:dyDescent="0.2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83.584800000000129</v>
      </c>
      <c r="D97" s="11">
        <f t="shared" si="86"/>
        <v>23.011437736237649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822.84815094639691</v>
      </c>
      <c r="H97" s="67">
        <f t="shared" si="56"/>
        <v>478.98844739061411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-2.2737367544323206E-13</v>
      </c>
      <c r="O97" s="13">
        <f>N97*VLOOKUP('Données projet'!$B$9,Paramètres!$A$1:$I$89,3,0)*VLOOKUP('Données projet'!$B$9,Paramètres!$A$1:$I$89,5,0)</f>
        <v>-1.2710188457276673E-13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255.5374979188561</v>
      </c>
      <c r="T97" s="59">
        <f t="shared" si="88"/>
        <v>343.10418468620901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0.86998020506185247</v>
      </c>
      <c r="AA97" s="21">
        <f>EXP(-LN(2)/25)*AA96+(1-EXP(-LN(2)/25))/(LN(2)/25)*Calculateur!V97*Calculateur!X97*VLOOKUP('Données projet'!$B$9,Paramètres!$A$1:$I$89,3,0)*0.475*44/12</f>
        <v>2.7064695754134771</v>
      </c>
      <c r="AB97" s="21">
        <f>EXP(-LN(2)/2)*AB96+(1-EXP(-LN(2)/2))/(LN(2)/2)*V97*Y97*VLOOKUP('Données projet'!$B$9,Paramètres!$A$1:$I$89,3,0)*0.475*44/12</f>
        <v>3.9410127314135107E-10</v>
      </c>
      <c r="AC97" s="22">
        <f t="shared" si="57"/>
        <v>3.5764497808694307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1.1368683772161603E-13</v>
      </c>
      <c r="AJ97" s="13">
        <f>AI97*VLOOKUP('Données projet'!$B$10,Paramètres!$A$1:$I$89,3,0)*VLOOKUP('Données projet'!$B$10,Paramètres!$A$1:$I$89,5,0)</f>
        <v>6.3550942286383367E-14</v>
      </c>
      <c r="AK97" s="13">
        <f t="shared" si="89"/>
        <v>1.0064464192543978E-12</v>
      </c>
      <c r="AL97" s="20">
        <f t="shared" si="58"/>
        <v>1.8635787380168604E-12</v>
      </c>
      <c r="AM97" s="59">
        <f t="shared" si="59"/>
        <v>293.33333333333519</v>
      </c>
      <c r="AN97" s="59">
        <f ca="1">AVERAGE(OFFSET($AM$3,0,0,'Données projet'!$E$10+1,1))-AVERAGE(OFFSET($H$3,0,0,'Données projet'!$E$10+1,1))</f>
        <v>224.7049802939942</v>
      </c>
      <c r="AO97" s="59">
        <f t="shared" si="90"/>
        <v>203.48513862195352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0.62816822664107996</v>
      </c>
      <c r="AV97" s="21">
        <f>EXP(-LN(2)/25)*AV96+(1-EXP(-LN(2)/25))/(LN(2)/25)*Calculateur!AQ97*Calculateur!AS97*VLOOKUP('Données projet'!$B$10,Paramètres!$A$1:$I$89,3,0)*0.475*44/12</f>
        <v>3.3108823185625438</v>
      </c>
      <c r="AW97" s="21">
        <f>EXP(-LN(2)/2)*AW96+(1-EXP(-LN(2)/2))/(LN(2)/2)*AQ97*AT97*VLOOKUP('Données projet'!$B$10,Paramètres!$A$1:$I$89,3,0)*0.475*44/12</f>
        <v>2.0863051971159886E-9</v>
      </c>
      <c r="AX97" s="21">
        <f t="shared" si="60"/>
        <v>3.9390505472899289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>
        <f>BD97*VLOOKUP('Données projet'!$B$11,Paramètres!$A$1:$I$89,3,0)*VLOOKUP('Données projet'!$B$11,Paramètres!$A$1:$I$89,5,0)</f>
        <v>0</v>
      </c>
      <c r="BF97" s="13" t="e">
        <f t="shared" si="91"/>
        <v>#NUM!</v>
      </c>
      <c r="BG97" s="20" t="e">
        <f t="shared" si="61"/>
        <v>#NUM!</v>
      </c>
      <c r="BH97" s="59" t="e">
        <f t="shared" si="62"/>
        <v>#NUM!</v>
      </c>
      <c r="BI97" s="59">
        <f ca="1">AVERAGE(OFFSET($BH$3,0,0,'Données projet'!$E$11+1,1))-AVERAGE(OFFSET($H$3,0,0,'Données projet'!$E$11+1,1))</f>
        <v>210.04871822652808</v>
      </c>
      <c r="BJ97" s="59">
        <f t="shared" si="92"/>
        <v>250.17540614049324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2.055543548089275</v>
      </c>
      <c r="BQ97" s="21">
        <f>EXP(-LN(2)/25)*BQ96+(1-EXP(-LN(2)/25))/(LN(2)/25)*Calculateur!BL97*Calculateur!BN97*VLOOKUP('Données projet'!$B$11,Paramètres!$A$1:$I$89,3,0)*0.475*44/12</f>
        <v>4.7194083105280837</v>
      </c>
      <c r="BR97" s="21">
        <f>EXP(-LN(2)/2)*BR96+(1-EXP(-LN(2)/2))/(LN(2)/2)*BL97*BO97*VLOOKUP('Données projet'!$B$11,Paramètres!$A$1:$I$89,3,0)*0.475*44/12</f>
        <v>5.0184057879614881E-9</v>
      </c>
      <c r="BS97" s="22">
        <f t="shared" si="63"/>
        <v>6.7749518636357644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2.2737367544323206E-13</v>
      </c>
      <c r="BZ97" s="13">
        <f>BY97*VLOOKUP('Données projet'!$B$12,Paramètres!$A$1:$I$89,3,0)*VLOOKUP('Données projet'!$B$12,Paramètres!$A$1:$I$89,5,0)</f>
        <v>1.2414602679200471E-13</v>
      </c>
      <c r="CA97" s="13">
        <f t="shared" si="93"/>
        <v>1.8186582995804361E-12</v>
      </c>
      <c r="CB97" s="20">
        <f t="shared" si="64"/>
        <v>3.3837175350986671E-12</v>
      </c>
      <c r="CC97" s="59">
        <f t="shared" si="65"/>
        <v>293.33333333333672</v>
      </c>
      <c r="CD97" s="59">
        <f ca="1">AVERAGE(OFFSET($CC$3,0,0,'Données projet'!$E$12+1,1))-AVERAGE(OFFSET($H$3,0,0,'Données projet'!$E$12+1,1))</f>
        <v>168.72306536277267</v>
      </c>
      <c r="CE97" s="59">
        <f t="shared" si="94"/>
        <v>203.35476578922339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0.85647647837053142</v>
      </c>
      <c r="CL97" s="21">
        <f>EXP(-LN(2)/25)*CL96+(1-EXP(-LN(2)/25))/(LN(2)/25)*Calculateur!CG97*Calculateur!CI97*VLOOKUP('Données projet'!$B$12,Paramètres!$A$1:$I$89,3,0)*0.475*44/12</f>
        <v>3.8976974620384919</v>
      </c>
      <c r="CM97" s="21">
        <f>EXP(-LN(2)/2)*CM96+(1-EXP(-LN(2)/2))/(LN(2)/2)*CG97*CJ97*VLOOKUP('Données projet'!$B$12,Paramètres!$A$1:$I$89,3,0)*0.475*44/12</f>
        <v>4.662165097447407E-9</v>
      </c>
      <c r="CN97" s="22">
        <f t="shared" si="66"/>
        <v>4.7541739450711882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26.30769230769231</v>
      </c>
      <c r="CT97" s="12">
        <f>IF('Données projet'!$A$140&gt;35,CT96+CS97-DB96,IF(A97&lt;'Données projet'!$A$140,$CQ$205^A97,IF(A97='Données projet'!$A$140,'Données projet'!$B$140,CT96+CS97-DB96)))</f>
        <v>805.99999999999932</v>
      </c>
      <c r="CU97" s="17">
        <f>CT97*VLOOKUP('Données projet'!$B$13,Paramètres!$A$1:$I$89,3,0)*VLOOKUP('Données projet'!$B$13,Paramètres!$A$1:$I$89,5,0)</f>
        <v>387.68599999999969</v>
      </c>
      <c r="CV97" s="13">
        <f t="shared" si="95"/>
        <v>89.275665704300522</v>
      </c>
      <c r="CW97" s="20">
        <f t="shared" si="67"/>
        <v>830.70823443498955</v>
      </c>
      <c r="CX97" s="59">
        <f t="shared" si="68"/>
        <v>1124.0415677683229</v>
      </c>
      <c r="CY97" s="59">
        <f ca="1">AVERAGE(OFFSET($CX$3,0,0,'Données projet'!$E$13+1,1))-AVERAGE(OFFSET($H$3,0,0,'Données projet'!$E$13+1,1))</f>
        <v>304.15237106473313</v>
      </c>
      <c r="CZ97" s="59">
        <f t="shared" si="96"/>
        <v>120.85458928724336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>
        <f>EXP(-LN(2)/35)*DF96+(1-EXP(-LN(2)/35))/(LN(2)/35)*DB97*DC97*VLOOKUP('Données projet'!$B$13,Paramètres!$A$1:$I$89,3,0)*0.475*44/12</f>
        <v>0</v>
      </c>
      <c r="DG97" s="21">
        <f>EXP(-LN(2)/25)*DG96+(1-EXP(-LN(2)/25))/(LN(2)/25)*Calculateur!DB97*Calculateur!DD97*VLOOKUP('Données projet'!$B$13,Paramètres!$A$1:$I$89,3,0)*0.475*44/12</f>
        <v>0</v>
      </c>
      <c r="DH97" s="21">
        <f>EXP(-LN(2)/2)*DH96+(1-EXP(-LN(2)/2))/(LN(2)/2)*DB97*DE97*VLOOKUP('Données projet'!$B$13,Paramètres!$A$1:$I$89,3,0)*0.475*44/12</f>
        <v>0</v>
      </c>
      <c r="DI97" s="22">
        <f t="shared" si="69"/>
        <v>0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9.7692307692307683</v>
      </c>
      <c r="DO97" s="12">
        <f>IF('Données projet'!$A$166&gt;35,DO96+DN97-DW96,IF(A97&lt;'Données projet'!$A$166,$DL$205^A97,IF(A97='Données projet'!$A$166,'Données projet'!$B$166,DO96+DN97-DW96)))</f>
        <v>324.4615384615384</v>
      </c>
      <c r="DP97" s="17">
        <f>DO97*VLOOKUP('Données projet'!$B$14,Paramètres!$A$1:$I$89,3,0)*VLOOKUP('Données projet'!$B$14,Paramètres!$A$1:$I$89,5,0)</f>
        <v>156.06599999999997</v>
      </c>
      <c r="DQ97" s="13">
        <f t="shared" si="97"/>
        <v>39.953909199088308</v>
      </c>
      <c r="DR97" s="20">
        <f t="shared" si="70"/>
        <v>341.40134185507873</v>
      </c>
      <c r="DS97" s="59">
        <f t="shared" si="71"/>
        <v>634.73467518841198</v>
      </c>
      <c r="DT97" s="59">
        <f ca="1">AVERAGE(OFFSET($DS$3,0,0,'Données projet'!$E$14+1,1))-AVERAGE(OFFSET($H$3,0,0,'Données projet'!$E$14+1,1))</f>
        <v>91.053246648097399</v>
      </c>
      <c r="DU97" s="59">
        <f t="shared" si="98"/>
        <v>64.716270355703955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>
        <f>EXP(-LN(2)/35)*EA96+(1-EXP(-LN(2)/35))/(LN(2)/35)*DW97*DX97*VLOOKUP('Données projet'!$B$14,Paramètres!$A$1:$I$89,3,0)*0.475*44/12</f>
        <v>0</v>
      </c>
      <c r="EB97" s="21">
        <f>EXP(-LN(2)/25)*EB96+(1-EXP(-LN(2)/25))/(LN(2)/25)*Calculateur!DW97*Calculateur!DY97*VLOOKUP('Données projet'!$B$14,Paramètres!$A$1:$I$89,3,0)*0.475*44/12</f>
        <v>0</v>
      </c>
      <c r="EC97" s="21">
        <f>EXP(-LN(2)/2)*EC96+(1-EXP(-LN(2)/2))/(LN(2)/2)*DW97*DZ97*VLOOKUP('Données projet'!$B$14,Paramètres!$A$1:$I$89,3,0)*0.475*44/12</f>
        <v>0</v>
      </c>
      <c r="ED97" s="22">
        <f t="shared" si="72"/>
        <v>0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553.99999999999955</v>
      </c>
      <c r="EK97" s="17">
        <f>EJ97*VLOOKUP('Données projet'!$B$15,Paramètres!$A$1:$I$89,3,0)*VLOOKUP('Données projet'!$B$15,Paramètres!$A$1:$I$89,5,0)</f>
        <v>331.29199999999975</v>
      </c>
      <c r="EL97" s="13">
        <f t="shared" si="99"/>
        <v>77.698110787752</v>
      </c>
      <c r="EM97" s="20">
        <f t="shared" si="73"/>
        <v>712.32444295533423</v>
      </c>
      <c r="EN97" s="59">
        <f t="shared" si="74"/>
        <v>1005.6577762886675</v>
      </c>
      <c r="EO97" s="59">
        <f ca="1">AVERAGE(OFFSET($EN$3,0,0,'Données projet'!$E$15+1,1))-AVERAGE(OFFSET($H$3,0,0,'Données projet'!$E$15+1,1))</f>
        <v>316.58509520829671</v>
      </c>
      <c r="EP97" s="59">
        <f t="shared" si="100"/>
        <v>240.71332110643596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>
        <f>EXP(-LN(2)/35)*EV96+(1-EXP(-LN(2)/35))/(LN(2)/35)*ER97*ES97*VLOOKUP('Données projet'!$B$15,Paramètres!$A$1:$I$89,3,0)*0.475*44/12</f>
        <v>0.71358473937708111</v>
      </c>
      <c r="EW97" s="21">
        <f>EXP(-LN(2)/25)*EW96+(1-EXP(-LN(2)/25))/(LN(2)/25)*Calculateur!ER97*Calculateur!ET97*VLOOKUP('Données projet'!$B$15,Paramètres!$A$1:$I$89,3,0)*0.475*44/12</f>
        <v>2.5890669325392324</v>
      </c>
      <c r="EX97" s="21">
        <f>EXP(-LN(2)/2)*EX96+(1-EXP(-LN(2)/2))/(LN(2)/2)*ER97*EU97*VLOOKUP('Données projet'!$B$15,Paramètres!$A$1:$I$89,3,0)*0.475*44/12</f>
        <v>5.1081513683639692E-9</v>
      </c>
      <c r="EY97" s="22">
        <f t="shared" si="75"/>
        <v>3.3026516770244649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497</v>
      </c>
      <c r="FF97" s="17">
        <f>FE97*VLOOKUP('Données projet'!$B$16,Paramètres!$A$1:$I$89,3,0)*VLOOKUP('Données projet'!$B$16,Paramètres!$A$1:$I$89,5,0)</f>
        <v>297.20600000000002</v>
      </c>
      <c r="FG97" s="13">
        <f t="shared" si="101"/>
        <v>70.590415164571112</v>
      </c>
      <c r="FH97" s="20">
        <f t="shared" si="76"/>
        <v>640.57875641162809</v>
      </c>
      <c r="FI97" s="59">
        <f t="shared" si="77"/>
        <v>933.91208974496135</v>
      </c>
      <c r="FJ97" s="59">
        <f ca="1">AVERAGE(OFFSET($FI$3,0,0,'Données projet'!$E$16+1,1))-AVERAGE(OFFSET($H$3,0,0,'Données projet'!$E$16+1,1))</f>
        <v>270.30888762640245</v>
      </c>
      <c r="FK97" s="59">
        <f t="shared" si="102"/>
        <v>202.23783851977691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>
        <f>EXP(-LN(2)/35)*FQ96+(1-EXP(-LN(2)/35))/(LN(2)/35)*FM97*FN97*VLOOKUP('Données projet'!$B$16,Paramètres!$A$1:$I$89,3,0)*0.475*44/12</f>
        <v>0.60302935722006834</v>
      </c>
      <c r="FR97" s="21">
        <f>EXP(-LN(2)/25)*FR96+(1-EXP(-LN(2)/25))/(LN(2)/25)*Calculateur!FM97*Calculateur!FO97*VLOOKUP('Données projet'!$B$16,Paramètres!$A$1:$I$89,3,0)*0.475*44/12</f>
        <v>2.0849665766664724</v>
      </c>
      <c r="FS97" s="21">
        <f>EXP(-LN(2)/2)*FS96+(1-EXP(-LN(2)/2))/(LN(2)/2)*FM97*FP97*VLOOKUP('Données projet'!$B$16,Paramètres!$A$1:$I$89,3,0)*0.475*44/12</f>
        <v>4.3056459600251596E-9</v>
      </c>
      <c r="FT97" s="22">
        <f t="shared" si="78"/>
        <v>2.687995938192187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-5.1159076974727213E-13</v>
      </c>
      <c r="GA97" s="17">
        <f>FZ97*VLOOKUP('Données projet'!$B$17,Paramètres!$A$1:$I$89,3,0)*VLOOKUP('Données projet'!$B$17,Paramètres!$A$1:$I$89,5,0)</f>
        <v>-4.0702161641092972E-13</v>
      </c>
      <c r="GB97" s="13" t="e">
        <f t="shared" si="103"/>
        <v>#NUM!</v>
      </c>
      <c r="GC97" s="20" t="e">
        <f t="shared" si="79"/>
        <v>#NUM!</v>
      </c>
      <c r="GD97" s="59" t="e">
        <f t="shared" si="80"/>
        <v>#NUM!</v>
      </c>
      <c r="GE97" s="59">
        <f ca="1">AVERAGE(OFFSET($GD$3,0,0,'Données projet'!$E$17+1,1))-AVERAGE(OFFSET($H$3,0,0,'Données projet'!$E$17+1,1))</f>
        <v>260.20517190557814</v>
      </c>
      <c r="GF97" s="59">
        <f t="shared" si="104"/>
        <v>307.22009971147133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>
        <f>EXP(-LN(2)/35)*GL96+(1-EXP(-LN(2)/35))/(LN(2)/35)*GH97*GI97*VLOOKUP('Données projet'!$B$17,Paramètres!$A$1:$I$89,3,0)*0.475*44/12</f>
        <v>0.91867298453791613</v>
      </c>
      <c r="GM97" s="21">
        <f>EXP(-LN(2)/25)*GM96+(1-EXP(-LN(2)/25))/(LN(2)/25)*Calculateur!GH97*Calculateur!GJ97*VLOOKUP('Données projet'!$B$17,Paramètres!$A$1:$I$89,3,0)*0.475*44/12</f>
        <v>3.4796227317458306</v>
      </c>
      <c r="GN97" s="21">
        <f>EXP(-LN(2)/2)*GN96+(1-EXP(-LN(2)/2))/(LN(2)/2)*GH97*GK97*VLOOKUP('Données projet'!$B$17,Paramètres!$A$1:$I$89,3,0)*0.475*44/12</f>
        <v>5.5970238178868979E-9</v>
      </c>
      <c r="GO97" s="21">
        <f t="shared" si="81"/>
        <v>4.3982957218807712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5.6843418860808015E-14</v>
      </c>
      <c r="GV97" s="17">
        <f>GU97*VLOOKUP('Données projet'!$B$18,Paramètres!$A$1:$I$89,3,0)*VLOOKUP('Données projet'!$B$18,Paramètres!$A$1:$I$89,5,0)</f>
        <v>4.5224624045658861E-14</v>
      </c>
      <c r="GW97" s="13">
        <f t="shared" si="105"/>
        <v>7.4514601661523691E-13</v>
      </c>
      <c r="GX97" s="20">
        <f t="shared" si="82"/>
        <v>1.3765621991510601E-12</v>
      </c>
      <c r="GY97" s="59">
        <f t="shared" si="83"/>
        <v>293.33333333333468</v>
      </c>
      <c r="GZ97" s="59">
        <f ca="1">AVERAGE(OFFSET($GY$3,0,0,'Données projet'!$E$18+1,1))-AVERAGE(OFFSET($H$3,0,0,'Données projet'!$E$18+1,1))</f>
        <v>199.58763537752952</v>
      </c>
      <c r="HA97" s="59">
        <f t="shared" si="106"/>
        <v>242.62852778451929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>
        <f>EXP(-LN(2)/35)*HG96+(1-EXP(-LN(2)/35))/(LN(2)/35)*HC97*HD97*VLOOKUP('Données projet'!$B$18,Paramètres!$A$1:$I$89,3,0)*0.475*44/12</f>
        <v>0</v>
      </c>
      <c r="HH97" s="21">
        <f>EXP(-LN(2)/25)*HH96+(1-EXP(-LN(2)/25))/(LN(2)/25)*Calculateur!HC97*Calculateur!HE97*VLOOKUP('Données projet'!$B$18,Paramètres!$A$1:$I$89,3,0)*0.475*44/12</f>
        <v>1.7437412971808328</v>
      </c>
      <c r="HI97" s="21">
        <f>EXP(-LN(2)/2)*HI96+(1-EXP(-LN(2)/2))/(LN(2)/2)*HC97*HF97*VLOOKUP('Données projet'!$B$18,Paramètres!$A$1:$I$89,3,0)*0.475*44/12</f>
        <v>2.5056205674121668E-9</v>
      </c>
      <c r="HJ97" s="22">
        <f t="shared" si="84"/>
        <v>1.7437412996864534</v>
      </c>
    </row>
    <row r="98" spans="1:218" x14ac:dyDescent="0.2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84.474000000000132</v>
      </c>
      <c r="D98" s="11">
        <f t="shared" si="86"/>
        <v>23.227611851623202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831.38086341603992</v>
      </c>
      <c r="H98" s="67">
        <f t="shared" si="56"/>
        <v>480.91364064157727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-2.2737367544323206E-13</v>
      </c>
      <c r="O98" s="13">
        <f>N98*VLOOKUP('Données projet'!$B$9,Paramètres!$A$1:$I$89,3,0)*VLOOKUP('Données projet'!$B$9,Paramètres!$A$1:$I$89,5,0)</f>
        <v>-1.2710188457276673E-13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255.5374979188561</v>
      </c>
      <c r="T98" s="59">
        <f t="shared" si="88"/>
        <v>343.10418468620901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0.85292042387611877</v>
      </c>
      <c r="AA98" s="21">
        <f>EXP(-LN(2)/25)*AA97+(1-EXP(-LN(2)/25))/(LN(2)/25)*Calculateur!V98*Calculateur!X98*VLOOKUP('Données projet'!$B$9,Paramètres!$A$1:$I$89,3,0)*0.475*44/12</f>
        <v>2.6324610225467464</v>
      </c>
      <c r="AB98" s="21">
        <f>EXP(-LN(2)/2)*AB97+(1-EXP(-LN(2)/2))/(LN(2)/2)*V98*Y98*VLOOKUP('Données projet'!$B$9,Paramètres!$A$1:$I$89,3,0)*0.475*44/12</f>
        <v>2.7867168271250113E-10</v>
      </c>
      <c r="AC98" s="22">
        <f t="shared" si="57"/>
        <v>3.4853814467015369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1.1368683772161603E-13</v>
      </c>
      <c r="AJ98" s="13">
        <f>AI98*VLOOKUP('Données projet'!$B$10,Paramètres!$A$1:$I$89,3,0)*VLOOKUP('Données projet'!$B$10,Paramètres!$A$1:$I$89,5,0)</f>
        <v>6.3550942286383367E-14</v>
      </c>
      <c r="AK98" s="13">
        <f t="shared" si="89"/>
        <v>1.0064464192543978E-12</v>
      </c>
      <c r="AL98" s="20">
        <f t="shared" si="58"/>
        <v>1.8635787380168604E-12</v>
      </c>
      <c r="AM98" s="59">
        <f t="shared" si="59"/>
        <v>293.33333333333519</v>
      </c>
      <c r="AN98" s="59">
        <f ca="1">AVERAGE(OFFSET($AM$3,0,0,'Données projet'!$E$10+1,1))-AVERAGE(OFFSET($H$3,0,0,'Données projet'!$E$10+1,1))</f>
        <v>224.7049802939942</v>
      </c>
      <c r="AO98" s="59">
        <f t="shared" si="90"/>
        <v>203.48513862195352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0.6158502308614342</v>
      </c>
      <c r="AV98" s="21">
        <f>EXP(-LN(2)/25)*AV97+(1-EXP(-LN(2)/25))/(LN(2)/25)*Calculateur!AQ98*Calculateur!AS98*VLOOKUP('Données projet'!$B$10,Paramètres!$A$1:$I$89,3,0)*0.475*44/12</f>
        <v>3.2203460674497171</v>
      </c>
      <c r="AW98" s="21">
        <f>EXP(-LN(2)/2)*AW97+(1-EXP(-LN(2)/2))/(LN(2)/2)*AQ98*AT98*VLOOKUP('Données projet'!$B$10,Paramètres!$A$1:$I$89,3,0)*0.475*44/12</f>
        <v>1.4752405525054523E-9</v>
      </c>
      <c r="AX98" s="21">
        <f t="shared" si="60"/>
        <v>3.8361962997863914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>
        <f>BD98*VLOOKUP('Données projet'!$B$11,Paramètres!$A$1:$I$89,3,0)*VLOOKUP('Données projet'!$B$11,Paramètres!$A$1:$I$89,5,0)</f>
        <v>0</v>
      </c>
      <c r="BF98" s="13" t="e">
        <f t="shared" si="91"/>
        <v>#NUM!</v>
      </c>
      <c r="BG98" s="20" t="e">
        <f t="shared" si="61"/>
        <v>#NUM!</v>
      </c>
      <c r="BH98" s="59" t="e">
        <f t="shared" si="62"/>
        <v>#NUM!</v>
      </c>
      <c r="BI98" s="59">
        <f ca="1">AVERAGE(OFFSET($BH$3,0,0,'Données projet'!$E$11+1,1))-AVERAGE(OFFSET($H$3,0,0,'Données projet'!$E$11+1,1))</f>
        <v>210.04871822652808</v>
      </c>
      <c r="BJ98" s="59">
        <f t="shared" si="92"/>
        <v>250.17540614049324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2.0152355928690104</v>
      </c>
      <c r="BQ98" s="21">
        <f>EXP(-LN(2)/25)*BQ97+(1-EXP(-LN(2)/25))/(LN(2)/25)*Calculateur!BL98*Calculateur!BN98*VLOOKUP('Données projet'!$B$11,Paramètres!$A$1:$I$89,3,0)*0.475*44/12</f>
        <v>4.5903558420937962</v>
      </c>
      <c r="BR98" s="21">
        <f>EXP(-LN(2)/2)*BR97+(1-EXP(-LN(2)/2))/(LN(2)/2)*BL98*BO98*VLOOKUP('Données projet'!$B$11,Paramètres!$A$1:$I$89,3,0)*0.475*44/12</f>
        <v>3.5485487634133877E-9</v>
      </c>
      <c r="BS98" s="22">
        <f t="shared" si="63"/>
        <v>6.6055914385113557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2.2737367544323206E-13</v>
      </c>
      <c r="BZ98" s="13">
        <f>BY98*VLOOKUP('Données projet'!$B$12,Paramètres!$A$1:$I$89,3,0)*VLOOKUP('Données projet'!$B$12,Paramètres!$A$1:$I$89,5,0)</f>
        <v>1.2414602679200471E-13</v>
      </c>
      <c r="CA98" s="13">
        <f t="shared" si="93"/>
        <v>1.8186582995804361E-12</v>
      </c>
      <c r="CB98" s="20">
        <f t="shared" si="64"/>
        <v>3.3837175350986671E-12</v>
      </c>
      <c r="CC98" s="59">
        <f t="shared" si="65"/>
        <v>293.33333333333672</v>
      </c>
      <c r="CD98" s="59">
        <f ca="1">AVERAGE(OFFSET($CC$3,0,0,'Données projet'!$E$12+1,1))-AVERAGE(OFFSET($H$3,0,0,'Données projet'!$E$12+1,1))</f>
        <v>168.72306536277267</v>
      </c>
      <c r="CE98" s="59">
        <f t="shared" si="94"/>
        <v>203.35476578922339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0.8396814970287545</v>
      </c>
      <c r="CL98" s="21">
        <f>EXP(-LN(2)/25)*CL97+(1-EXP(-LN(2)/25))/(LN(2)/25)*Calculateur!CG98*Calculateur!CI98*VLOOKUP('Données projet'!$B$12,Paramètres!$A$1:$I$89,3,0)*0.475*44/12</f>
        <v>3.7911147199680482</v>
      </c>
      <c r="CM98" s="21">
        <f>EXP(-LN(2)/2)*CM97+(1-EXP(-LN(2)/2))/(LN(2)/2)*CG98*CJ98*VLOOKUP('Données projet'!$B$12,Paramètres!$A$1:$I$89,3,0)*0.475*44/12</f>
        <v>3.2966485554163027E-9</v>
      </c>
      <c r="CN98" s="22">
        <f t="shared" si="66"/>
        <v>4.6307962202934512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26.30769230769231</v>
      </c>
      <c r="CT98" s="12">
        <f>IF('Données projet'!$A$140&gt;35,CT97+CS98-DB97,IF(A98&lt;'Données projet'!$A$140,$CQ$205^A98,IF(A98='Données projet'!$A$140,'Données projet'!$B$140,CT97+CS98-DB97)))</f>
        <v>832.30769230769158</v>
      </c>
      <c r="CU98" s="17">
        <f>CT98*VLOOKUP('Données projet'!$B$13,Paramètres!$A$1:$I$89,3,0)*VLOOKUP('Données projet'!$B$13,Paramètres!$A$1:$I$89,5,0)</f>
        <v>400.33999999999963</v>
      </c>
      <c r="CV98" s="13">
        <f t="shared" si="95"/>
        <v>91.845591594548409</v>
      </c>
      <c r="CW98" s="20">
        <f t="shared" si="67"/>
        <v>857.22323869383774</v>
      </c>
      <c r="CX98" s="59">
        <f t="shared" si="68"/>
        <v>1150.5565720271711</v>
      </c>
      <c r="CY98" s="59">
        <f ca="1">AVERAGE(OFFSET($CX$3,0,0,'Données projet'!$E$13+1,1))-AVERAGE(OFFSET($H$3,0,0,'Données projet'!$E$13+1,1))</f>
        <v>304.15237106473313</v>
      </c>
      <c r="CZ98" s="59">
        <f t="shared" si="96"/>
        <v>120.85458928724336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>
        <f>EXP(-LN(2)/35)*DF97+(1-EXP(-LN(2)/35))/(LN(2)/35)*DB98*DC98*VLOOKUP('Données projet'!$B$13,Paramètres!$A$1:$I$89,3,0)*0.475*44/12</f>
        <v>0</v>
      </c>
      <c r="DG98" s="21">
        <f>EXP(-LN(2)/25)*DG97+(1-EXP(-LN(2)/25))/(LN(2)/25)*Calculateur!DB98*Calculateur!DD98*VLOOKUP('Données projet'!$B$13,Paramètres!$A$1:$I$89,3,0)*0.475*44/12</f>
        <v>0</v>
      </c>
      <c r="DH98" s="21">
        <f>EXP(-LN(2)/2)*DH97+(1-EXP(-LN(2)/2))/(LN(2)/2)*DB98*DE98*VLOOKUP('Données projet'!$B$13,Paramètres!$A$1:$I$89,3,0)*0.475*44/12</f>
        <v>0</v>
      </c>
      <c r="DI98" s="22">
        <f t="shared" si="69"/>
        <v>0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9.7692307692307683</v>
      </c>
      <c r="DO98" s="12">
        <f>IF('Données projet'!$A$166&gt;35,DO97+DN98-DW97,IF(A98&lt;'Données projet'!$A$166,$DL$205^A98,IF(A98='Données projet'!$A$166,'Données projet'!$B$166,DO97+DN98-DW97)))</f>
        <v>334.23076923076917</v>
      </c>
      <c r="DP98" s="17">
        <f>DO98*VLOOKUP('Données projet'!$B$14,Paramètres!$A$1:$I$89,3,0)*VLOOKUP('Données projet'!$B$14,Paramètres!$A$1:$I$89,5,0)</f>
        <v>160.76499999999999</v>
      </c>
      <c r="DQ98" s="13">
        <f t="shared" si="97"/>
        <v>41.015015362596806</v>
      </c>
      <c r="DR98" s="20">
        <f t="shared" si="70"/>
        <v>351.43352675652278</v>
      </c>
      <c r="DS98" s="59">
        <f t="shared" si="71"/>
        <v>644.7668600898561</v>
      </c>
      <c r="DT98" s="59">
        <f ca="1">AVERAGE(OFFSET($DS$3,0,0,'Données projet'!$E$14+1,1))-AVERAGE(OFFSET($H$3,0,0,'Données projet'!$E$14+1,1))</f>
        <v>91.053246648097399</v>
      </c>
      <c r="DU98" s="59">
        <f t="shared" si="98"/>
        <v>64.716270355703955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>
        <f>EXP(-LN(2)/35)*EA97+(1-EXP(-LN(2)/35))/(LN(2)/35)*DW98*DX98*VLOOKUP('Données projet'!$B$14,Paramètres!$A$1:$I$89,3,0)*0.475*44/12</f>
        <v>0</v>
      </c>
      <c r="EB98" s="21">
        <f>EXP(-LN(2)/25)*EB97+(1-EXP(-LN(2)/25))/(LN(2)/25)*Calculateur!DW98*Calculateur!DY98*VLOOKUP('Données projet'!$B$14,Paramètres!$A$1:$I$89,3,0)*0.475*44/12</f>
        <v>0</v>
      </c>
      <c r="EC98" s="21">
        <f>EXP(-LN(2)/2)*EC97+(1-EXP(-LN(2)/2))/(LN(2)/2)*DW98*DZ98*VLOOKUP('Données projet'!$B$14,Paramètres!$A$1:$I$89,3,0)*0.475*44/12</f>
        <v>0</v>
      </c>
      <c r="ED98" s="22">
        <f t="shared" si="72"/>
        <v>0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553.99999999999955</v>
      </c>
      <c r="EK98" s="17">
        <f>EJ98*VLOOKUP('Données projet'!$B$15,Paramètres!$A$1:$I$89,3,0)*VLOOKUP('Données projet'!$B$15,Paramètres!$A$1:$I$89,5,0)</f>
        <v>331.29199999999975</v>
      </c>
      <c r="EL98" s="13">
        <f t="shared" si="99"/>
        <v>77.698110787752</v>
      </c>
      <c r="EM98" s="20">
        <f t="shared" si="73"/>
        <v>712.32444295533423</v>
      </c>
      <c r="EN98" s="59">
        <f t="shared" si="74"/>
        <v>1005.6577762886675</v>
      </c>
      <c r="EO98" s="59">
        <f ca="1">AVERAGE(OFFSET($EN$3,0,0,'Données projet'!$E$15+1,1))-AVERAGE(OFFSET($H$3,0,0,'Données projet'!$E$15+1,1))</f>
        <v>316.58509520829671</v>
      </c>
      <c r="EP98" s="59">
        <f t="shared" si="100"/>
        <v>240.71332110643596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>
        <f>EXP(-LN(2)/35)*EV97+(1-EXP(-LN(2)/35))/(LN(2)/35)*ER98*ES98*VLOOKUP('Données projet'!$B$15,Paramètres!$A$1:$I$89,3,0)*0.475*44/12</f>
        <v>0.69959177788161087</v>
      </c>
      <c r="EW98" s="21">
        <f>EXP(-LN(2)/25)*EW97+(1-EXP(-LN(2)/25))/(LN(2)/25)*Calculateur!ER98*Calculateur!ET98*VLOOKUP('Données projet'!$B$15,Paramètres!$A$1:$I$89,3,0)*0.475*44/12</f>
        <v>2.5182687611158343</v>
      </c>
      <c r="EX98" s="21">
        <f>EXP(-LN(2)/2)*EX97+(1-EXP(-LN(2)/2))/(LN(2)/2)*ER98*EU98*VLOOKUP('Données projet'!$B$15,Paramètres!$A$1:$I$89,3,0)*0.475*44/12</f>
        <v>3.6120084718975046E-9</v>
      </c>
      <c r="EY98" s="22">
        <f t="shared" si="75"/>
        <v>3.2178605426094538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497</v>
      </c>
      <c r="FF98" s="17">
        <f>FE98*VLOOKUP('Données projet'!$B$16,Paramètres!$A$1:$I$89,3,0)*VLOOKUP('Données projet'!$B$16,Paramètres!$A$1:$I$89,5,0)</f>
        <v>297.20600000000002</v>
      </c>
      <c r="FG98" s="13">
        <f t="shared" si="101"/>
        <v>70.590415164571112</v>
      </c>
      <c r="FH98" s="20">
        <f t="shared" si="76"/>
        <v>640.57875641162809</v>
      </c>
      <c r="FI98" s="59">
        <f t="shared" si="77"/>
        <v>933.91208974496135</v>
      </c>
      <c r="FJ98" s="59">
        <f ca="1">AVERAGE(OFFSET($FI$3,0,0,'Données projet'!$E$16+1,1))-AVERAGE(OFFSET($H$3,0,0,'Données projet'!$E$16+1,1))</f>
        <v>270.30888762640245</v>
      </c>
      <c r="FK98" s="59">
        <f t="shared" si="102"/>
        <v>202.23783851977691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>
        <f>EXP(-LN(2)/35)*FQ97+(1-EXP(-LN(2)/35))/(LN(2)/35)*FM98*FN98*VLOOKUP('Données projet'!$B$16,Paramètres!$A$1:$I$89,3,0)*0.475*44/12</f>
        <v>0.59120431933657236</v>
      </c>
      <c r="FR98" s="21">
        <f>EXP(-LN(2)/25)*FR97+(1-EXP(-LN(2)/25))/(LN(2)/25)*Calculateur!FM98*Calculateur!FO98*VLOOKUP('Données projet'!$B$16,Paramètres!$A$1:$I$89,3,0)*0.475*44/12</f>
        <v>2.0279530559839007</v>
      </c>
      <c r="FS98" s="21">
        <f>EXP(-LN(2)/2)*FS97+(1-EXP(-LN(2)/2))/(LN(2)/2)*FM98*FP98*VLOOKUP('Données projet'!$B$16,Paramètres!$A$1:$I$89,3,0)*0.475*44/12</f>
        <v>3.0445514557222529E-9</v>
      </c>
      <c r="FT98" s="22">
        <f t="shared" si="78"/>
        <v>2.6191573783650242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-5.1159076974727213E-13</v>
      </c>
      <c r="GA98" s="17">
        <f>FZ98*VLOOKUP('Données projet'!$B$17,Paramètres!$A$1:$I$89,3,0)*VLOOKUP('Données projet'!$B$17,Paramètres!$A$1:$I$89,5,0)</f>
        <v>-4.0702161641092972E-13</v>
      </c>
      <c r="GB98" s="13" t="e">
        <f t="shared" si="103"/>
        <v>#NUM!</v>
      </c>
      <c r="GC98" s="20" t="e">
        <f t="shared" si="79"/>
        <v>#NUM!</v>
      </c>
      <c r="GD98" s="59" t="e">
        <f t="shared" si="80"/>
        <v>#NUM!</v>
      </c>
      <c r="GE98" s="59">
        <f ca="1">AVERAGE(OFFSET($GD$3,0,0,'Données projet'!$E$17+1,1))-AVERAGE(OFFSET($H$3,0,0,'Données projet'!$E$17+1,1))</f>
        <v>260.20517190557814</v>
      </c>
      <c r="GF98" s="59">
        <f t="shared" si="104"/>
        <v>307.22009971147133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>
        <f>EXP(-LN(2)/35)*GL97+(1-EXP(-LN(2)/35))/(LN(2)/35)*GH98*GI98*VLOOKUP('Données projet'!$B$17,Paramètres!$A$1:$I$89,3,0)*0.475*44/12</f>
        <v>0.90065836764631968</v>
      </c>
      <c r="GM98" s="21">
        <f>EXP(-LN(2)/25)*GM97+(1-EXP(-LN(2)/25))/(LN(2)/25)*Calculateur!GH98*Calculateur!GJ98*VLOOKUP('Données projet'!$B$17,Paramètres!$A$1:$I$89,3,0)*0.475*44/12</f>
        <v>3.3844722651608343</v>
      </c>
      <c r="GN98" s="21">
        <f>EXP(-LN(2)/2)*GN97+(1-EXP(-LN(2)/2))/(LN(2)/2)*GH98*GK98*VLOOKUP('Données projet'!$B$17,Paramètres!$A$1:$I$89,3,0)*0.475*44/12</f>
        <v>3.9576934960904455E-9</v>
      </c>
      <c r="GO98" s="21">
        <f t="shared" si="81"/>
        <v>4.2851306367648476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5.6843418860808015E-14</v>
      </c>
      <c r="GV98" s="17">
        <f>GU98*VLOOKUP('Données projet'!$B$18,Paramètres!$A$1:$I$89,3,0)*VLOOKUP('Données projet'!$B$18,Paramètres!$A$1:$I$89,5,0)</f>
        <v>4.5224624045658861E-14</v>
      </c>
      <c r="GW98" s="13">
        <f t="shared" si="105"/>
        <v>7.4514601661523691E-13</v>
      </c>
      <c r="GX98" s="20">
        <f t="shared" si="82"/>
        <v>1.3765621991510601E-12</v>
      </c>
      <c r="GY98" s="59">
        <f t="shared" si="83"/>
        <v>293.33333333333468</v>
      </c>
      <c r="GZ98" s="59">
        <f ca="1">AVERAGE(OFFSET($GY$3,0,0,'Données projet'!$E$18+1,1))-AVERAGE(OFFSET($H$3,0,0,'Données projet'!$E$18+1,1))</f>
        <v>199.58763537752952</v>
      </c>
      <c r="HA98" s="59">
        <f t="shared" si="106"/>
        <v>242.62852778451929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>
        <f>EXP(-LN(2)/35)*HG97+(1-EXP(-LN(2)/35))/(LN(2)/35)*HC98*HD98*VLOOKUP('Données projet'!$B$18,Paramètres!$A$1:$I$89,3,0)*0.475*44/12</f>
        <v>0</v>
      </c>
      <c r="HH98" s="21">
        <f>EXP(-LN(2)/25)*HH97+(1-EXP(-LN(2)/25))/(LN(2)/25)*Calculateur!HC98*Calculateur!HE98*VLOOKUP('Données projet'!$B$18,Paramètres!$A$1:$I$89,3,0)*0.475*44/12</f>
        <v>1.6960585997100535</v>
      </c>
      <c r="HI98" s="21">
        <f>EXP(-LN(2)/2)*HI97+(1-EXP(-LN(2)/2))/(LN(2)/2)*HC98*HF98*VLOOKUP('Données projet'!$B$18,Paramètres!$A$1:$I$89,3,0)*0.475*44/12</f>
        <v>1.7717412942976281E-9</v>
      </c>
      <c r="HJ98" s="22">
        <f t="shared" si="84"/>
        <v>1.6960586014817947</v>
      </c>
    </row>
    <row r="99" spans="1:218" x14ac:dyDescent="0.2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85.363200000000134</v>
      </c>
      <c r="D99" s="11">
        <f t="shared" si="86"/>
        <v>23.443521253861071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839.91153248594617</v>
      </c>
      <c r="H99" s="67">
        <f t="shared" si="56"/>
        <v>482.83837285047491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-2.2737367544323206E-13</v>
      </c>
      <c r="O99" s="13">
        <f>N99*VLOOKUP('Données projet'!$B$9,Paramètres!$A$1:$I$89,3,0)*VLOOKUP('Données projet'!$B$9,Paramètres!$A$1:$I$89,5,0)</f>
        <v>-1.2710188457276673E-13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255.5374979188561</v>
      </c>
      <c r="T99" s="59">
        <f t="shared" si="88"/>
        <v>343.10418468620901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0.83619517459399817</v>
      </c>
      <c r="AA99" s="21">
        <f>EXP(-LN(2)/25)*AA98+(1-EXP(-LN(2)/25))/(LN(2)/25)*Calculateur!V99*Calculateur!X99*VLOOKUP('Données projet'!$B$9,Paramètres!$A$1:$I$89,3,0)*0.475*44/12</f>
        <v>2.5604762374500969</v>
      </c>
      <c r="AB99" s="21">
        <f>EXP(-LN(2)/2)*AB98+(1-EXP(-LN(2)/2))/(LN(2)/2)*V99*Y99*VLOOKUP('Données projet'!$B$9,Paramètres!$A$1:$I$89,3,0)*0.475*44/12</f>
        <v>1.9705063657067554E-10</v>
      </c>
      <c r="AC99" s="22">
        <f t="shared" si="57"/>
        <v>3.3966714122411461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1.1368683772161603E-13</v>
      </c>
      <c r="AJ99" s="13">
        <f>AI99*VLOOKUP('Données projet'!$B$10,Paramètres!$A$1:$I$89,3,0)*VLOOKUP('Données projet'!$B$10,Paramètres!$A$1:$I$89,5,0)</f>
        <v>6.3550942286383367E-14</v>
      </c>
      <c r="AK99" s="13">
        <f t="shared" si="89"/>
        <v>1.0064464192543978E-12</v>
      </c>
      <c r="AL99" s="20">
        <f t="shared" si="58"/>
        <v>1.8635787380168604E-12</v>
      </c>
      <c r="AM99" s="59">
        <f t="shared" si="59"/>
        <v>293.33333333333519</v>
      </c>
      <c r="AN99" s="59">
        <f ca="1">AVERAGE(OFFSET($AM$3,0,0,'Données projet'!$E$10+1,1))-AVERAGE(OFFSET($H$3,0,0,'Données projet'!$E$10+1,1))</f>
        <v>224.7049802939942</v>
      </c>
      <c r="AO99" s="59">
        <f t="shared" si="90"/>
        <v>203.48513862195352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0.6037737834657918</v>
      </c>
      <c r="AV99" s="21">
        <f>EXP(-LN(2)/25)*AV98+(1-EXP(-LN(2)/25))/(LN(2)/25)*Calculateur!AQ99*Calculateur!AS99*VLOOKUP('Données projet'!$B$10,Paramètres!$A$1:$I$89,3,0)*0.475*44/12</f>
        <v>3.132285534884665</v>
      </c>
      <c r="AW99" s="21">
        <f>EXP(-LN(2)/2)*AW98+(1-EXP(-LN(2)/2))/(LN(2)/2)*AQ99*AT99*VLOOKUP('Données projet'!$B$10,Paramètres!$A$1:$I$89,3,0)*0.475*44/12</f>
        <v>1.0431525985579943E-9</v>
      </c>
      <c r="AX99" s="21">
        <f t="shared" si="60"/>
        <v>3.7360593193936094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>
        <f>BD99*VLOOKUP('Données projet'!$B$11,Paramètres!$A$1:$I$89,3,0)*VLOOKUP('Données projet'!$B$11,Paramètres!$A$1:$I$89,5,0)</f>
        <v>0</v>
      </c>
      <c r="BF99" s="13" t="e">
        <f t="shared" si="91"/>
        <v>#NUM!</v>
      </c>
      <c r="BG99" s="20" t="e">
        <f t="shared" si="61"/>
        <v>#NUM!</v>
      </c>
      <c r="BH99" s="59" t="e">
        <f t="shared" si="62"/>
        <v>#NUM!</v>
      </c>
      <c r="BI99" s="59">
        <f ca="1">AVERAGE(OFFSET($BH$3,0,0,'Données projet'!$E$11+1,1))-AVERAGE(OFFSET($H$3,0,0,'Données projet'!$E$11+1,1))</f>
        <v>210.04871822652808</v>
      </c>
      <c r="BJ99" s="59">
        <f t="shared" si="92"/>
        <v>250.17540614049324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1.97571805206519</v>
      </c>
      <c r="BQ99" s="21">
        <f>EXP(-LN(2)/25)*BQ98+(1-EXP(-LN(2)/25))/(LN(2)/25)*Calculateur!BL99*Calculateur!BN99*VLOOKUP('Données projet'!$B$11,Paramètres!$A$1:$I$89,3,0)*0.475*44/12</f>
        <v>4.464832320195419</v>
      </c>
      <c r="BR99" s="21">
        <f>EXP(-LN(2)/2)*BR98+(1-EXP(-LN(2)/2))/(LN(2)/2)*BL99*BO99*VLOOKUP('Données projet'!$B$11,Paramètres!$A$1:$I$89,3,0)*0.475*44/12</f>
        <v>2.5092028939807441E-9</v>
      </c>
      <c r="BS99" s="22">
        <f t="shared" si="63"/>
        <v>6.4405503747698116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2.2737367544323206E-13</v>
      </c>
      <c r="BZ99" s="13">
        <f>BY99*VLOOKUP('Données projet'!$B$12,Paramètres!$A$1:$I$89,3,0)*VLOOKUP('Données projet'!$B$12,Paramètres!$A$1:$I$89,5,0)</f>
        <v>1.2414602679200471E-13</v>
      </c>
      <c r="CA99" s="13">
        <f t="shared" si="93"/>
        <v>1.8186582995804361E-12</v>
      </c>
      <c r="CB99" s="20">
        <f t="shared" si="64"/>
        <v>3.3837175350986671E-12</v>
      </c>
      <c r="CC99" s="59">
        <f t="shared" si="65"/>
        <v>293.33333333333672</v>
      </c>
      <c r="CD99" s="59">
        <f ca="1">AVERAGE(OFFSET($CC$3,0,0,'Données projet'!$E$12+1,1))-AVERAGE(OFFSET($H$3,0,0,'Données projet'!$E$12+1,1))</f>
        <v>168.72306536277267</v>
      </c>
      <c r="CE99" s="59">
        <f t="shared" si="94"/>
        <v>203.35476578922339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0.82321585502716266</v>
      </c>
      <c r="CL99" s="21">
        <f>EXP(-LN(2)/25)*CL98+(1-EXP(-LN(2)/25))/(LN(2)/25)*Calculateur!CG99*Calculateur!CI99*VLOOKUP('Données projet'!$B$12,Paramètres!$A$1:$I$89,3,0)*0.475*44/12</f>
        <v>3.6874464885844636</v>
      </c>
      <c r="CM99" s="21">
        <f>EXP(-LN(2)/2)*CM98+(1-EXP(-LN(2)/2))/(LN(2)/2)*CG99*CJ99*VLOOKUP('Données projet'!$B$12,Paramètres!$A$1:$I$89,3,0)*0.475*44/12</f>
        <v>2.3310825487237035E-9</v>
      </c>
      <c r="CN99" s="22">
        <f t="shared" si="66"/>
        <v>4.5106623459427091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26.30769230769231</v>
      </c>
      <c r="CT99" s="12">
        <f>IF('Données projet'!$A$140&gt;35,CT98+CS99-DB98,IF(A99&lt;'Données projet'!$A$140,$CQ$205^A99,IF(A99='Données projet'!$A$140,'Données projet'!$B$140,CT98+CS99-DB98)))</f>
        <v>858.61538461538385</v>
      </c>
      <c r="CU99" s="17">
        <f>CT99*VLOOKUP('Données projet'!$B$13,Paramètres!$A$1:$I$89,3,0)*VLOOKUP('Données projet'!$B$13,Paramètres!$A$1:$I$89,5,0)</f>
        <v>412.99399999999963</v>
      </c>
      <c r="CV99" s="13">
        <f t="shared" si="95"/>
        <v>94.406077959522023</v>
      </c>
      <c r="CW99" s="20">
        <f t="shared" si="67"/>
        <v>883.72180244616675</v>
      </c>
      <c r="CX99" s="59">
        <f t="shared" si="68"/>
        <v>1177.0551357795</v>
      </c>
      <c r="CY99" s="59">
        <f ca="1">AVERAGE(OFFSET($CX$3,0,0,'Données projet'!$E$13+1,1))-AVERAGE(OFFSET($H$3,0,0,'Données projet'!$E$13+1,1))</f>
        <v>304.15237106473313</v>
      </c>
      <c r="CZ99" s="59">
        <f t="shared" si="96"/>
        <v>120.85458928724336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>
        <f>EXP(-LN(2)/35)*DF98+(1-EXP(-LN(2)/35))/(LN(2)/35)*DB99*DC99*VLOOKUP('Données projet'!$B$13,Paramètres!$A$1:$I$89,3,0)*0.475*44/12</f>
        <v>0</v>
      </c>
      <c r="DG99" s="21">
        <f>EXP(-LN(2)/25)*DG98+(1-EXP(-LN(2)/25))/(LN(2)/25)*Calculateur!DB99*Calculateur!DD99*VLOOKUP('Données projet'!$B$13,Paramètres!$A$1:$I$89,3,0)*0.475*44/12</f>
        <v>0</v>
      </c>
      <c r="DH99" s="21">
        <f>EXP(-LN(2)/2)*DH98+(1-EXP(-LN(2)/2))/(LN(2)/2)*DB99*DE99*VLOOKUP('Données projet'!$B$13,Paramètres!$A$1:$I$89,3,0)*0.475*44/12</f>
        <v>0</v>
      </c>
      <c r="DI99" s="22">
        <f t="shared" si="69"/>
        <v>0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9.7692307692307683</v>
      </c>
      <c r="DO99" s="12">
        <f>IF('Données projet'!$A$166&gt;35,DO98+DN99-DW98,IF(A99&lt;'Données projet'!$A$166,$DL$205^A99,IF(A99='Données projet'!$A$166,'Données projet'!$B$166,DO98+DN99-DW98)))</f>
        <v>343.99999999999994</v>
      </c>
      <c r="DP99" s="17">
        <f>DO99*VLOOKUP('Données projet'!$B$14,Paramètres!$A$1:$I$89,3,0)*VLOOKUP('Données projet'!$B$14,Paramètres!$A$1:$I$89,5,0)</f>
        <v>165.46399999999997</v>
      </c>
      <c r="DQ99" s="13">
        <f t="shared" si="97"/>
        <v>42.072516963924798</v>
      </c>
      <c r="DR99" s="20">
        <f t="shared" si="70"/>
        <v>361.45943371216896</v>
      </c>
      <c r="DS99" s="59">
        <f t="shared" si="71"/>
        <v>654.79276704550227</v>
      </c>
      <c r="DT99" s="59">
        <f ca="1">AVERAGE(OFFSET($DS$3,0,0,'Données projet'!$E$14+1,1))-AVERAGE(OFFSET($H$3,0,0,'Données projet'!$E$14+1,1))</f>
        <v>91.053246648097399</v>
      </c>
      <c r="DU99" s="59">
        <f t="shared" si="98"/>
        <v>64.716270355703955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>
        <f>EXP(-LN(2)/35)*EA98+(1-EXP(-LN(2)/35))/(LN(2)/35)*DW99*DX99*VLOOKUP('Données projet'!$B$14,Paramètres!$A$1:$I$89,3,0)*0.475*44/12</f>
        <v>0</v>
      </c>
      <c r="EB99" s="21">
        <f>EXP(-LN(2)/25)*EB98+(1-EXP(-LN(2)/25))/(LN(2)/25)*Calculateur!DW99*Calculateur!DY99*VLOOKUP('Données projet'!$B$14,Paramètres!$A$1:$I$89,3,0)*0.475*44/12</f>
        <v>0</v>
      </c>
      <c r="EC99" s="21">
        <f>EXP(-LN(2)/2)*EC98+(1-EXP(-LN(2)/2))/(LN(2)/2)*DW99*DZ99*VLOOKUP('Données projet'!$B$14,Paramètres!$A$1:$I$89,3,0)*0.475*44/12</f>
        <v>0</v>
      </c>
      <c r="ED99" s="22">
        <f t="shared" si="72"/>
        <v>0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553.99999999999955</v>
      </c>
      <c r="EK99" s="17">
        <f>EJ99*VLOOKUP('Données projet'!$B$15,Paramètres!$A$1:$I$89,3,0)*VLOOKUP('Données projet'!$B$15,Paramètres!$A$1:$I$89,5,0)</f>
        <v>331.29199999999975</v>
      </c>
      <c r="EL99" s="13">
        <f t="shared" si="99"/>
        <v>77.698110787752</v>
      </c>
      <c r="EM99" s="20">
        <f t="shared" si="73"/>
        <v>712.32444295533423</v>
      </c>
      <c r="EN99" s="59">
        <f t="shared" si="74"/>
        <v>1005.6577762886675</v>
      </c>
      <c r="EO99" s="59">
        <f ca="1">AVERAGE(OFFSET($EN$3,0,0,'Données projet'!$E$15+1,1))-AVERAGE(OFFSET($H$3,0,0,'Données projet'!$E$15+1,1))</f>
        <v>316.58509520829671</v>
      </c>
      <c r="EP99" s="59">
        <f t="shared" si="100"/>
        <v>240.71332110643596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>
        <f>EXP(-LN(2)/35)*EV98+(1-EXP(-LN(2)/35))/(LN(2)/35)*ER99*ES99*VLOOKUP('Données projet'!$B$15,Paramètres!$A$1:$I$89,3,0)*0.475*44/12</f>
        <v>0.68587320982620303</v>
      </c>
      <c r="EW99" s="21">
        <f>EXP(-LN(2)/25)*EW98+(1-EXP(-LN(2)/25))/(LN(2)/25)*Calculateur!ER99*Calculateur!ET99*VLOOKUP('Données projet'!$B$15,Paramètres!$A$1:$I$89,3,0)*0.475*44/12</f>
        <v>2.4494065694131231</v>
      </c>
      <c r="EX99" s="21">
        <f>EXP(-LN(2)/2)*EX98+(1-EXP(-LN(2)/2))/(LN(2)/2)*ER99*EU99*VLOOKUP('Données projet'!$B$15,Paramètres!$A$1:$I$89,3,0)*0.475*44/12</f>
        <v>2.554075684181985E-9</v>
      </c>
      <c r="EY99" s="22">
        <f t="shared" si="75"/>
        <v>3.1352797817934017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497</v>
      </c>
      <c r="FF99" s="17">
        <f>FE99*VLOOKUP('Données projet'!$B$16,Paramètres!$A$1:$I$89,3,0)*VLOOKUP('Données projet'!$B$16,Paramètres!$A$1:$I$89,5,0)</f>
        <v>297.20600000000002</v>
      </c>
      <c r="FG99" s="13">
        <f t="shared" si="101"/>
        <v>70.590415164571112</v>
      </c>
      <c r="FH99" s="20">
        <f t="shared" si="76"/>
        <v>640.57875641162809</v>
      </c>
      <c r="FI99" s="59">
        <f t="shared" si="77"/>
        <v>933.91208974496135</v>
      </c>
      <c r="FJ99" s="59">
        <f ca="1">AVERAGE(OFFSET($FI$3,0,0,'Données projet'!$E$16+1,1))-AVERAGE(OFFSET($H$3,0,0,'Données projet'!$E$16+1,1))</f>
        <v>270.30888762640245</v>
      </c>
      <c r="FK99" s="59">
        <f t="shared" si="102"/>
        <v>202.23783851977691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>
        <f>EXP(-LN(2)/35)*FQ98+(1-EXP(-LN(2)/35))/(LN(2)/35)*FM99*FN99*VLOOKUP('Données projet'!$B$16,Paramètres!$A$1:$I$89,3,0)*0.475*44/12</f>
        <v>0.57961116323341078</v>
      </c>
      <c r="FR99" s="21">
        <f>EXP(-LN(2)/25)*FR98+(1-EXP(-LN(2)/25))/(LN(2)/25)*Calculateur!FM99*Calculateur!FO99*VLOOKUP('Données projet'!$B$16,Paramètres!$A$1:$I$89,3,0)*0.475*44/12</f>
        <v>1.9724985730226048</v>
      </c>
      <c r="FS99" s="21">
        <f>EXP(-LN(2)/2)*FS98+(1-EXP(-LN(2)/2))/(LN(2)/2)*FM99*FP99*VLOOKUP('Données projet'!$B$16,Paramètres!$A$1:$I$89,3,0)*0.475*44/12</f>
        <v>2.1528229800125798E-9</v>
      </c>
      <c r="FT99" s="22">
        <f t="shared" si="78"/>
        <v>2.5521097384088383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-5.1159076974727213E-13</v>
      </c>
      <c r="GA99" s="17">
        <f>FZ99*VLOOKUP('Données projet'!$B$17,Paramètres!$A$1:$I$89,3,0)*VLOOKUP('Données projet'!$B$17,Paramètres!$A$1:$I$89,5,0)</f>
        <v>-4.0702161641092972E-13</v>
      </c>
      <c r="GB99" s="13" t="e">
        <f t="shared" si="103"/>
        <v>#NUM!</v>
      </c>
      <c r="GC99" s="20" t="e">
        <f t="shared" si="79"/>
        <v>#NUM!</v>
      </c>
      <c r="GD99" s="59" t="e">
        <f t="shared" si="80"/>
        <v>#NUM!</v>
      </c>
      <c r="GE99" s="59">
        <f ca="1">AVERAGE(OFFSET($GD$3,0,0,'Données projet'!$E$17+1,1))-AVERAGE(OFFSET($H$3,0,0,'Données projet'!$E$17+1,1))</f>
        <v>260.20517190557814</v>
      </c>
      <c r="GF99" s="59">
        <f t="shared" si="104"/>
        <v>307.22009971147133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>
        <f>EXP(-LN(2)/35)*GL98+(1-EXP(-LN(2)/35))/(LN(2)/35)*GH99*GI99*VLOOKUP('Données projet'!$B$17,Paramètres!$A$1:$I$89,3,0)*0.475*44/12</f>
        <v>0.88299700640413603</v>
      </c>
      <c r="GM99" s="21">
        <f>EXP(-LN(2)/25)*GM98+(1-EXP(-LN(2)/25))/(LN(2)/25)*Calculateur!GH99*Calculateur!GJ99*VLOOKUP('Données projet'!$B$17,Paramètres!$A$1:$I$89,3,0)*0.475*44/12</f>
        <v>3.2919236930883504</v>
      </c>
      <c r="GN99" s="21">
        <f>EXP(-LN(2)/2)*GN98+(1-EXP(-LN(2)/2))/(LN(2)/2)*GH99*GK99*VLOOKUP('Données projet'!$B$17,Paramètres!$A$1:$I$89,3,0)*0.475*44/12</f>
        <v>2.7985119089434489E-9</v>
      </c>
      <c r="GO99" s="21">
        <f t="shared" si="81"/>
        <v>4.174920702290998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5.6843418860808015E-14</v>
      </c>
      <c r="GV99" s="17">
        <f>GU99*VLOOKUP('Données projet'!$B$18,Paramètres!$A$1:$I$89,3,0)*VLOOKUP('Données projet'!$B$18,Paramètres!$A$1:$I$89,5,0)</f>
        <v>4.5224624045658861E-14</v>
      </c>
      <c r="GW99" s="13">
        <f t="shared" si="105"/>
        <v>7.4514601661523691E-13</v>
      </c>
      <c r="GX99" s="20">
        <f t="shared" si="82"/>
        <v>1.3765621991510601E-12</v>
      </c>
      <c r="GY99" s="59">
        <f t="shared" si="83"/>
        <v>293.33333333333468</v>
      </c>
      <c r="GZ99" s="59">
        <f ca="1">AVERAGE(OFFSET($GY$3,0,0,'Données projet'!$E$18+1,1))-AVERAGE(OFFSET($H$3,0,0,'Données projet'!$E$18+1,1))</f>
        <v>199.58763537752952</v>
      </c>
      <c r="HA99" s="59">
        <f t="shared" si="106"/>
        <v>242.62852778451929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>
        <f>EXP(-LN(2)/35)*HG98+(1-EXP(-LN(2)/35))/(LN(2)/35)*HC99*HD99*VLOOKUP('Données projet'!$B$18,Paramètres!$A$1:$I$89,3,0)*0.475*44/12</f>
        <v>0</v>
      </c>
      <c r="HH99" s="21">
        <f>EXP(-LN(2)/25)*HH98+(1-EXP(-LN(2)/25))/(LN(2)/25)*Calculateur!HC99*Calculateur!HE99*VLOOKUP('Données projet'!$B$18,Paramètres!$A$1:$I$89,3,0)*0.475*44/12</f>
        <v>1.6496797881091367</v>
      </c>
      <c r="HI99" s="21">
        <f>EXP(-LN(2)/2)*HI98+(1-EXP(-LN(2)/2))/(LN(2)/2)*HC99*HF99*VLOOKUP('Données projet'!$B$18,Paramètres!$A$1:$I$89,3,0)*0.475*44/12</f>
        <v>1.2528102837060834E-9</v>
      </c>
      <c r="HJ99" s="22">
        <f t="shared" si="84"/>
        <v>1.649679789361947</v>
      </c>
    </row>
    <row r="100" spans="1:218" x14ac:dyDescent="0.2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86.252400000000137</v>
      </c>
      <c r="D100" s="11">
        <f t="shared" si="86"/>
        <v>23.659169019590845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848.44018190561474</v>
      </c>
      <c r="H100" s="67">
        <f t="shared" si="56"/>
        <v>484.76264937578765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-2.2737367544323206E-13</v>
      </c>
      <c r="O100" s="13">
        <f>N100*VLOOKUP('Données projet'!$B$9,Paramètres!$A$1:$I$89,3,0)*VLOOKUP('Données projet'!$B$9,Paramètres!$A$1:$I$89,5,0)</f>
        <v>-1.2710188457276673E-13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255.5374979188561</v>
      </c>
      <c r="T100" s="59">
        <f t="shared" si="88"/>
        <v>343.10418468620901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0.81979789724890517</v>
      </c>
      <c r="AA100" s="21">
        <f>EXP(-LN(2)/25)*AA99+(1-EXP(-LN(2)/25))/(LN(2)/25)*Calculateur!V100*Calculateur!X100*VLOOKUP('Données projet'!$B$9,Paramètres!$A$1:$I$89,3,0)*0.475*44/12</f>
        <v>2.4904598800874309</v>
      </c>
      <c r="AB100" s="21">
        <f>EXP(-LN(2)/2)*AB99+(1-EXP(-LN(2)/2))/(LN(2)/2)*V100*Y100*VLOOKUP('Données projet'!$B$9,Paramètres!$A$1:$I$89,3,0)*0.475*44/12</f>
        <v>1.3933584135625056E-10</v>
      </c>
      <c r="AC100" s="22">
        <f t="shared" si="57"/>
        <v>3.3102577774756718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1.1368683772161603E-13</v>
      </c>
      <c r="AJ100" s="13">
        <f>AI100*VLOOKUP('Données projet'!$B$10,Paramètres!$A$1:$I$89,3,0)*VLOOKUP('Données projet'!$B$10,Paramètres!$A$1:$I$89,5,0)</f>
        <v>6.3550942286383367E-14</v>
      </c>
      <c r="AK100" s="13">
        <f t="shared" si="89"/>
        <v>1.0064464192543978E-12</v>
      </c>
      <c r="AL100" s="20">
        <f t="shared" si="58"/>
        <v>1.8635787380168604E-12</v>
      </c>
      <c r="AM100" s="59">
        <f t="shared" si="59"/>
        <v>293.33333333333519</v>
      </c>
      <c r="AN100" s="59">
        <f ca="1">AVERAGE(OFFSET($AM$3,0,0,'Données projet'!$E$10+1,1))-AVERAGE(OFFSET($H$3,0,0,'Données projet'!$E$10+1,1))</f>
        <v>224.7049802939942</v>
      </c>
      <c r="AO100" s="59">
        <f t="shared" si="90"/>
        <v>203.48513862195352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0.59193414783767229</v>
      </c>
      <c r="AV100" s="21">
        <f>EXP(-LN(2)/25)*AV99+(1-EXP(-LN(2)/25))/(LN(2)/25)*Calculateur!AQ100*Calculateur!AS100*VLOOKUP('Données projet'!$B$10,Paramètres!$A$1:$I$89,3,0)*0.475*44/12</f>
        <v>3.0466330222135065</v>
      </c>
      <c r="AW100" s="21">
        <f>EXP(-LN(2)/2)*AW99+(1-EXP(-LN(2)/2))/(LN(2)/2)*AQ100*AT100*VLOOKUP('Données projet'!$B$10,Paramètres!$A$1:$I$89,3,0)*0.475*44/12</f>
        <v>7.3762027625272613E-10</v>
      </c>
      <c r="AX100" s="21">
        <f t="shared" si="60"/>
        <v>3.6385671707887988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>
        <f>BD100*VLOOKUP('Données projet'!$B$11,Paramètres!$A$1:$I$89,3,0)*VLOOKUP('Données projet'!$B$11,Paramètres!$A$1:$I$89,5,0)</f>
        <v>0</v>
      </c>
      <c r="BF100" s="13" t="e">
        <f t="shared" si="91"/>
        <v>#NUM!</v>
      </c>
      <c r="BG100" s="20" t="e">
        <f t="shared" si="61"/>
        <v>#NUM!</v>
      </c>
      <c r="BH100" s="59" t="e">
        <f t="shared" si="62"/>
        <v>#NUM!</v>
      </c>
      <c r="BI100" s="59">
        <f ca="1">AVERAGE(OFFSET($BH$3,0,0,'Données projet'!$E$11+1,1))-AVERAGE(OFFSET($H$3,0,0,'Données projet'!$E$11+1,1))</f>
        <v>210.04871822652808</v>
      </c>
      <c r="BJ100" s="59">
        <f t="shared" si="92"/>
        <v>250.17540614049324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1.9369754261332128</v>
      </c>
      <c r="BQ100" s="21">
        <f>EXP(-LN(2)/25)*BQ99+(1-EXP(-LN(2)/25))/(LN(2)/25)*Calculateur!BL100*Calculateur!BN100*VLOOKUP('Données projet'!$B$11,Paramètres!$A$1:$I$89,3,0)*0.475*44/12</f>
        <v>4.3427412456043477</v>
      </c>
      <c r="BR100" s="21">
        <f>EXP(-LN(2)/2)*BR99+(1-EXP(-LN(2)/2))/(LN(2)/2)*BL100*BO100*VLOOKUP('Données projet'!$B$11,Paramètres!$A$1:$I$89,3,0)*0.475*44/12</f>
        <v>1.7742743817066938E-9</v>
      </c>
      <c r="BS100" s="22">
        <f t="shared" si="63"/>
        <v>6.2797166735118344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2.2737367544323206E-13</v>
      </c>
      <c r="BZ100" s="13">
        <f>BY100*VLOOKUP('Données projet'!$B$12,Paramètres!$A$1:$I$89,3,0)*VLOOKUP('Données projet'!$B$12,Paramètres!$A$1:$I$89,5,0)</f>
        <v>1.2414602679200471E-13</v>
      </c>
      <c r="CA100" s="13">
        <f t="shared" si="93"/>
        <v>1.8186582995804361E-12</v>
      </c>
      <c r="CB100" s="20">
        <f t="shared" si="64"/>
        <v>3.3837175350986671E-12</v>
      </c>
      <c r="CC100" s="59">
        <f t="shared" si="65"/>
        <v>293.33333333333672</v>
      </c>
      <c r="CD100" s="59">
        <f ca="1">AVERAGE(OFFSET($CC$3,0,0,'Données projet'!$E$12+1,1))-AVERAGE(OFFSET($H$3,0,0,'Données projet'!$E$12+1,1))</f>
        <v>168.72306536277267</v>
      </c>
      <c r="CE100" s="59">
        <f t="shared" si="94"/>
        <v>203.35476578922339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0.8070730942221721</v>
      </c>
      <c r="CL100" s="21">
        <f>EXP(-LN(2)/25)*CL99+(1-EXP(-LN(2)/25))/(LN(2)/25)*Calculateur!CG100*Calculateur!CI100*VLOOKUP('Données projet'!$B$12,Paramètres!$A$1:$I$89,3,0)*0.475*44/12</f>
        <v>3.5866130704397383</v>
      </c>
      <c r="CM100" s="21">
        <f>EXP(-LN(2)/2)*CM99+(1-EXP(-LN(2)/2))/(LN(2)/2)*CG100*CJ100*VLOOKUP('Données projet'!$B$12,Paramètres!$A$1:$I$89,3,0)*0.475*44/12</f>
        <v>1.6483242777081513E-9</v>
      </c>
      <c r="CN100" s="22">
        <f t="shared" si="66"/>
        <v>4.3936861663102347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26.30769230769231</v>
      </c>
      <c r="CT100" s="12">
        <f>IF('Données projet'!$A$140&gt;35,CT99+CS100-DB99,IF(A100&lt;'Données projet'!$A$140,$CQ$205^A100,IF(A100='Données projet'!$A$140,'Données projet'!$B$140,CT99+CS100-DB99)))</f>
        <v>884.92307692307611</v>
      </c>
      <c r="CU100" s="17">
        <f>CT100*VLOOKUP('Données projet'!$B$13,Paramètres!$A$1:$I$89,3,0)*VLOOKUP('Données projet'!$B$13,Paramètres!$A$1:$I$89,5,0)</f>
        <v>425.64799999999963</v>
      </c>
      <c r="CV100" s="13">
        <f t="shared" si="95"/>
        <v>96.957447216059961</v>
      </c>
      <c r="CW100" s="20">
        <f t="shared" si="67"/>
        <v>910.20448723463699</v>
      </c>
      <c r="CX100" s="59">
        <f t="shared" si="68"/>
        <v>1203.5378205679704</v>
      </c>
      <c r="CY100" s="59">
        <f ca="1">AVERAGE(OFFSET($CX$3,0,0,'Données projet'!$E$13+1,1))-AVERAGE(OFFSET($H$3,0,0,'Données projet'!$E$13+1,1))</f>
        <v>304.15237106473313</v>
      </c>
      <c r="CZ100" s="59">
        <f t="shared" si="96"/>
        <v>120.85458928724336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>
        <f>EXP(-LN(2)/35)*DF99+(1-EXP(-LN(2)/35))/(LN(2)/35)*DB100*DC100*VLOOKUP('Données projet'!$B$13,Paramètres!$A$1:$I$89,3,0)*0.475*44/12</f>
        <v>0</v>
      </c>
      <c r="DG100" s="21">
        <f>EXP(-LN(2)/25)*DG99+(1-EXP(-LN(2)/25))/(LN(2)/25)*Calculateur!DB100*Calculateur!DD100*VLOOKUP('Données projet'!$B$13,Paramètres!$A$1:$I$89,3,0)*0.475*44/12</f>
        <v>0</v>
      </c>
      <c r="DH100" s="21">
        <f>EXP(-LN(2)/2)*DH99+(1-EXP(-LN(2)/2))/(LN(2)/2)*DB100*DE100*VLOOKUP('Données projet'!$B$13,Paramètres!$A$1:$I$89,3,0)*0.475*44/12</f>
        <v>0</v>
      </c>
      <c r="DI100" s="22">
        <f t="shared" si="69"/>
        <v>0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9.7692307692307683</v>
      </c>
      <c r="DO100" s="12">
        <f>IF('Données projet'!$A$166&gt;35,DO99+DN100-DW99,IF(A100&lt;'Données projet'!$A$166,$DL$205^A100,IF(A100='Données projet'!$A$166,'Données projet'!$B$166,DO99+DN100-DW99)))</f>
        <v>353.76923076923072</v>
      </c>
      <c r="DP100" s="17">
        <f>DO100*VLOOKUP('Données projet'!$B$14,Paramètres!$A$1:$I$89,3,0)*VLOOKUP('Données projet'!$B$14,Paramètres!$A$1:$I$89,5,0)</f>
        <v>170.16300000000001</v>
      </c>
      <c r="DQ100" s="13">
        <f t="shared" si="97"/>
        <v>43.126528126542304</v>
      </c>
      <c r="DR100" s="20">
        <f t="shared" si="70"/>
        <v>371.47926148706119</v>
      </c>
      <c r="DS100" s="59">
        <f t="shared" si="71"/>
        <v>664.81259482039445</v>
      </c>
      <c r="DT100" s="59">
        <f ca="1">AVERAGE(OFFSET($DS$3,0,0,'Données projet'!$E$14+1,1))-AVERAGE(OFFSET($H$3,0,0,'Données projet'!$E$14+1,1))</f>
        <v>91.053246648097399</v>
      </c>
      <c r="DU100" s="59">
        <f t="shared" si="98"/>
        <v>64.716270355703955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>
        <f>EXP(-LN(2)/35)*EA99+(1-EXP(-LN(2)/35))/(LN(2)/35)*DW100*DX100*VLOOKUP('Données projet'!$B$14,Paramètres!$A$1:$I$89,3,0)*0.475*44/12</f>
        <v>0</v>
      </c>
      <c r="EB100" s="21">
        <f>EXP(-LN(2)/25)*EB99+(1-EXP(-LN(2)/25))/(LN(2)/25)*Calculateur!DW100*Calculateur!DY100*VLOOKUP('Données projet'!$B$14,Paramètres!$A$1:$I$89,3,0)*0.475*44/12</f>
        <v>0</v>
      </c>
      <c r="EC100" s="21">
        <f>EXP(-LN(2)/2)*EC99+(1-EXP(-LN(2)/2))/(LN(2)/2)*DW100*DZ100*VLOOKUP('Données projet'!$B$14,Paramètres!$A$1:$I$89,3,0)*0.475*44/12</f>
        <v>0</v>
      </c>
      <c r="ED100" s="22">
        <f t="shared" si="72"/>
        <v>0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553.99999999999955</v>
      </c>
      <c r="EK100" s="17">
        <f>EJ100*VLOOKUP('Données projet'!$B$15,Paramètres!$A$1:$I$89,3,0)*VLOOKUP('Données projet'!$B$15,Paramètres!$A$1:$I$89,5,0)</f>
        <v>331.29199999999975</v>
      </c>
      <c r="EL100" s="13">
        <f t="shared" si="99"/>
        <v>77.698110787752</v>
      </c>
      <c r="EM100" s="20">
        <f t="shared" si="73"/>
        <v>712.32444295533423</v>
      </c>
      <c r="EN100" s="59">
        <f t="shared" si="74"/>
        <v>1005.6577762886675</v>
      </c>
      <c r="EO100" s="59">
        <f ca="1">AVERAGE(OFFSET($EN$3,0,0,'Données projet'!$E$15+1,1))-AVERAGE(OFFSET($H$3,0,0,'Données projet'!$E$15+1,1))</f>
        <v>316.58509520829671</v>
      </c>
      <c r="EP100" s="59">
        <f t="shared" si="100"/>
        <v>240.71332110643596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>
        <f>EXP(-LN(2)/35)*EV99+(1-EXP(-LN(2)/35))/(LN(2)/35)*ER100*ES100*VLOOKUP('Données projet'!$B$15,Paramètres!$A$1:$I$89,3,0)*0.475*44/12</f>
        <v>0.67242365452286146</v>
      </c>
      <c r="EW100" s="21">
        <f>EXP(-LN(2)/25)*EW99+(1-EXP(-LN(2)/25))/(LN(2)/25)*Calculateur!ER100*Calculateur!ET100*VLOOKUP('Données projet'!$B$15,Paramètres!$A$1:$I$89,3,0)*0.475*44/12</f>
        <v>2.3824274179638278</v>
      </c>
      <c r="EX100" s="21">
        <f>EXP(-LN(2)/2)*EX99+(1-EXP(-LN(2)/2))/(LN(2)/2)*ER100*EU100*VLOOKUP('Données projet'!$B$15,Paramètres!$A$1:$I$89,3,0)*0.475*44/12</f>
        <v>1.8060042359487527E-9</v>
      </c>
      <c r="EY100" s="22">
        <f t="shared" si="75"/>
        <v>3.0548510742926935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497</v>
      </c>
      <c r="FF100" s="17">
        <f>FE100*VLOOKUP('Données projet'!$B$16,Paramètres!$A$1:$I$89,3,0)*VLOOKUP('Données projet'!$B$16,Paramètres!$A$1:$I$89,5,0)</f>
        <v>297.20600000000002</v>
      </c>
      <c r="FG100" s="13">
        <f t="shared" si="101"/>
        <v>70.590415164571112</v>
      </c>
      <c r="FH100" s="20">
        <f t="shared" si="76"/>
        <v>640.57875641162809</v>
      </c>
      <c r="FI100" s="59">
        <f t="shared" si="77"/>
        <v>933.91208974496135</v>
      </c>
      <c r="FJ100" s="59">
        <f ca="1">AVERAGE(OFFSET($FI$3,0,0,'Données projet'!$E$16+1,1))-AVERAGE(OFFSET($H$3,0,0,'Données projet'!$E$16+1,1))</f>
        <v>270.30888762640245</v>
      </c>
      <c r="FK100" s="59">
        <f t="shared" si="102"/>
        <v>202.23783851977691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>
        <f>EXP(-LN(2)/35)*FQ99+(1-EXP(-LN(2)/35))/(LN(2)/35)*FM100*FN100*VLOOKUP('Données projet'!$B$16,Paramètres!$A$1:$I$89,3,0)*0.475*44/12</f>
        <v>0.56824534185030517</v>
      </c>
      <c r="FR100" s="21">
        <f>EXP(-LN(2)/25)*FR99+(1-EXP(-LN(2)/25))/(LN(2)/25)*Calculateur!FM100*Calculateur!FO100*VLOOKUP('Données projet'!$B$16,Paramètres!$A$1:$I$89,3,0)*0.475*44/12</f>
        <v>1.9185604958141098</v>
      </c>
      <c r="FS100" s="21">
        <f>EXP(-LN(2)/2)*FS99+(1-EXP(-LN(2)/2))/(LN(2)/2)*FM100*FP100*VLOOKUP('Données projet'!$B$16,Paramètres!$A$1:$I$89,3,0)*0.475*44/12</f>
        <v>1.5222757278611265E-9</v>
      </c>
      <c r="FT100" s="22">
        <f t="shared" si="78"/>
        <v>2.4868058391866907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-5.1159076974727213E-13</v>
      </c>
      <c r="GA100" s="17">
        <f>FZ100*VLOOKUP('Données projet'!$B$17,Paramètres!$A$1:$I$89,3,0)*VLOOKUP('Données projet'!$B$17,Paramètres!$A$1:$I$89,5,0)</f>
        <v>-4.0702161641092972E-13</v>
      </c>
      <c r="GB100" s="13" t="e">
        <f t="shared" si="103"/>
        <v>#NUM!</v>
      </c>
      <c r="GC100" s="20" t="e">
        <f t="shared" si="79"/>
        <v>#NUM!</v>
      </c>
      <c r="GD100" s="59" t="e">
        <f t="shared" si="80"/>
        <v>#NUM!</v>
      </c>
      <c r="GE100" s="59">
        <f ca="1">AVERAGE(OFFSET($GD$3,0,0,'Données projet'!$E$17+1,1))-AVERAGE(OFFSET($H$3,0,0,'Données projet'!$E$17+1,1))</f>
        <v>260.20517190557814</v>
      </c>
      <c r="GF100" s="59">
        <f t="shared" si="104"/>
        <v>307.22009971147133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>
        <f>EXP(-LN(2)/35)*GL99+(1-EXP(-LN(2)/35))/(LN(2)/35)*GH100*GI100*VLOOKUP('Données projet'!$B$17,Paramètres!$A$1:$I$89,3,0)*0.475*44/12</f>
        <v>0.86568197368354494</v>
      </c>
      <c r="GM100" s="21">
        <f>EXP(-LN(2)/25)*GM99+(1-EXP(-LN(2)/25))/(LN(2)/25)*Calculateur!GH100*Calculateur!GJ100*VLOOKUP('Données projet'!$B$17,Paramètres!$A$1:$I$89,3,0)*0.475*44/12</f>
        <v>3.2019058665861064</v>
      </c>
      <c r="GN100" s="21">
        <f>EXP(-LN(2)/2)*GN99+(1-EXP(-LN(2)/2))/(LN(2)/2)*GH100*GK100*VLOOKUP('Données projet'!$B$17,Paramètres!$A$1:$I$89,3,0)*0.475*44/12</f>
        <v>1.9788467480452227E-9</v>
      </c>
      <c r="GO100" s="21">
        <f t="shared" si="81"/>
        <v>4.0675878422484981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5.6843418860808015E-14</v>
      </c>
      <c r="GV100" s="17">
        <f>GU100*VLOOKUP('Données projet'!$B$18,Paramètres!$A$1:$I$89,3,0)*VLOOKUP('Données projet'!$B$18,Paramètres!$A$1:$I$89,5,0)</f>
        <v>4.5224624045658861E-14</v>
      </c>
      <c r="GW100" s="13">
        <f t="shared" si="105"/>
        <v>7.4514601661523691E-13</v>
      </c>
      <c r="GX100" s="20">
        <f t="shared" si="82"/>
        <v>1.3765621991510601E-12</v>
      </c>
      <c r="GY100" s="59">
        <f t="shared" si="83"/>
        <v>293.33333333333468</v>
      </c>
      <c r="GZ100" s="59">
        <f ca="1">AVERAGE(OFFSET($GY$3,0,0,'Données projet'!$E$18+1,1))-AVERAGE(OFFSET($H$3,0,0,'Données projet'!$E$18+1,1))</f>
        <v>199.58763537752952</v>
      </c>
      <c r="HA100" s="59">
        <f t="shared" si="106"/>
        <v>242.62852778451929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>
        <f>EXP(-LN(2)/35)*HG99+(1-EXP(-LN(2)/35))/(LN(2)/35)*HC100*HD100*VLOOKUP('Données projet'!$B$18,Paramètres!$A$1:$I$89,3,0)*0.475*44/12</f>
        <v>0</v>
      </c>
      <c r="HH100" s="21">
        <f>EXP(-LN(2)/25)*HH99+(1-EXP(-LN(2)/25))/(LN(2)/25)*Calculateur!HC100*Calculateur!HE100*VLOOKUP('Données projet'!$B$18,Paramètres!$A$1:$I$89,3,0)*0.475*44/12</f>
        <v>1.6045692075504028</v>
      </c>
      <c r="HI100" s="21">
        <f>EXP(-LN(2)/2)*HI99+(1-EXP(-LN(2)/2))/(LN(2)/2)*HC100*HF100*VLOOKUP('Données projet'!$B$18,Paramètres!$A$1:$I$89,3,0)*0.475*44/12</f>
        <v>8.8587064714881406E-10</v>
      </c>
      <c r="HJ100" s="22">
        <f t="shared" si="84"/>
        <v>1.6045692084362735</v>
      </c>
    </row>
    <row r="101" spans="1:218" x14ac:dyDescent="0.2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87.141600000000139</v>
      </c>
      <c r="D101" s="11">
        <f t="shared" si="86"/>
        <v>23.874558158360987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856.96683490664736</v>
      </c>
      <c r="H101" s="67">
        <f t="shared" si="56"/>
        <v>486.68647545914564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-2.2737367544323206E-13</v>
      </c>
      <c r="O101" s="13">
        <f>N101*VLOOKUP('Données projet'!$B$9,Paramètres!$A$1:$I$89,3,0)*VLOOKUP('Données projet'!$B$9,Paramètres!$A$1:$I$89,5,0)</f>
        <v>-1.2710188457276673E-13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255.5374979188561</v>
      </c>
      <c r="T101" s="59">
        <f t="shared" si="88"/>
        <v>343.10418468620901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0.80372216051119783</v>
      </c>
      <c r="AA101" s="21">
        <f>EXP(-LN(2)/25)*AA100+(1-EXP(-LN(2)/25))/(LN(2)/25)*Calculateur!V101*Calculateur!X101*VLOOKUP('Données projet'!$B$9,Paramètres!$A$1:$I$89,3,0)*0.475*44/12</f>
        <v>2.4223581236988472</v>
      </c>
      <c r="AB101" s="21">
        <f>EXP(-LN(2)/2)*AB100+(1-EXP(-LN(2)/2))/(LN(2)/2)*V101*Y101*VLOOKUP('Données projet'!$B$9,Paramètres!$A$1:$I$89,3,0)*0.475*44/12</f>
        <v>9.8525318285337768E-11</v>
      </c>
      <c r="AC101" s="22">
        <f t="shared" si="57"/>
        <v>3.2260802843085701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1.1368683772161603E-13</v>
      </c>
      <c r="AJ101" s="13">
        <f>AI101*VLOOKUP('Données projet'!$B$10,Paramètres!$A$1:$I$89,3,0)*VLOOKUP('Données projet'!$B$10,Paramètres!$A$1:$I$89,5,0)</f>
        <v>6.3550942286383367E-14</v>
      </c>
      <c r="AK101" s="13">
        <f t="shared" si="89"/>
        <v>1.0064464192543978E-12</v>
      </c>
      <c r="AL101" s="20">
        <f t="shared" si="58"/>
        <v>1.8635787380168604E-12</v>
      </c>
      <c r="AM101" s="59">
        <f t="shared" si="59"/>
        <v>293.33333333333519</v>
      </c>
      <c r="AN101" s="59">
        <f ca="1">AVERAGE(OFFSET($AM$3,0,0,'Données projet'!$E$10+1,1))-AVERAGE(OFFSET($H$3,0,0,'Données projet'!$E$10+1,1))</f>
        <v>224.7049802939942</v>
      </c>
      <c r="AO101" s="59">
        <f t="shared" si="90"/>
        <v>203.48513862195352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0.58032668024275558</v>
      </c>
      <c r="AV101" s="21">
        <f>EXP(-LN(2)/25)*AV100+(1-EXP(-LN(2)/25))/(LN(2)/25)*Calculateur!AQ101*Calculateur!AS101*VLOOKUP('Données projet'!$B$10,Paramètres!$A$1:$I$89,3,0)*0.475*44/12</f>
        <v>2.9633226820056109</v>
      </c>
      <c r="AW101" s="21">
        <f>EXP(-LN(2)/2)*AW100+(1-EXP(-LN(2)/2))/(LN(2)/2)*AQ101*AT101*VLOOKUP('Données projet'!$B$10,Paramètres!$A$1:$I$89,3,0)*0.475*44/12</f>
        <v>5.2157629927899715E-10</v>
      </c>
      <c r="AX101" s="21">
        <f t="shared" si="60"/>
        <v>3.5436493627699428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>
        <f>BD101*VLOOKUP('Données projet'!$B$11,Paramètres!$A$1:$I$89,3,0)*VLOOKUP('Données projet'!$B$11,Paramètres!$A$1:$I$89,5,0)</f>
        <v>0</v>
      </c>
      <c r="BF101" s="13" t="e">
        <f t="shared" si="91"/>
        <v>#NUM!</v>
      </c>
      <c r="BG101" s="20" t="e">
        <f t="shared" si="61"/>
        <v>#NUM!</v>
      </c>
      <c r="BH101" s="59" t="e">
        <f t="shared" si="62"/>
        <v>#NUM!</v>
      </c>
      <c r="BI101" s="59">
        <f ca="1">AVERAGE(OFFSET($BH$3,0,0,'Données projet'!$E$11+1,1))-AVERAGE(OFFSET($H$3,0,0,'Données projet'!$E$11+1,1))</f>
        <v>210.04871822652808</v>
      </c>
      <c r="BJ101" s="59">
        <f t="shared" si="92"/>
        <v>250.17540614049324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1.8989925194650932</v>
      </c>
      <c r="BQ101" s="21">
        <f>EXP(-LN(2)/25)*BQ100+(1-EXP(-LN(2)/25))/(LN(2)/25)*Calculateur!BL101*Calculateur!BN101*VLOOKUP('Données projet'!$B$11,Paramètres!$A$1:$I$89,3,0)*0.475*44/12</f>
        <v>4.2239887578684598</v>
      </c>
      <c r="BR101" s="21">
        <f>EXP(-LN(2)/2)*BR100+(1-EXP(-LN(2)/2))/(LN(2)/2)*BL101*BO101*VLOOKUP('Données projet'!$B$11,Paramètres!$A$1:$I$89,3,0)*0.475*44/12</f>
        <v>1.254601446990372E-9</v>
      </c>
      <c r="BS101" s="22">
        <f t="shared" si="63"/>
        <v>6.1229812785881546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2.2737367544323206E-13</v>
      </c>
      <c r="BZ101" s="13">
        <f>BY101*VLOOKUP('Données projet'!$B$12,Paramètres!$A$1:$I$89,3,0)*VLOOKUP('Données projet'!$B$12,Paramètres!$A$1:$I$89,5,0)</f>
        <v>1.2414602679200471E-13</v>
      </c>
      <c r="CA101" s="13">
        <f t="shared" si="93"/>
        <v>1.8186582995804361E-12</v>
      </c>
      <c r="CB101" s="20">
        <f t="shared" si="64"/>
        <v>3.3837175350986671E-12</v>
      </c>
      <c r="CC101" s="59">
        <f t="shared" si="65"/>
        <v>293.33333333333672</v>
      </c>
      <c r="CD101" s="59">
        <f ca="1">AVERAGE(OFFSET($CC$3,0,0,'Données projet'!$E$12+1,1))-AVERAGE(OFFSET($H$3,0,0,'Données projet'!$E$12+1,1))</f>
        <v>168.72306536277267</v>
      </c>
      <c r="CE101" s="59">
        <f t="shared" si="94"/>
        <v>203.35476578922339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0.79124688311045555</v>
      </c>
      <c r="CL101" s="21">
        <f>EXP(-LN(2)/25)*CL100+(1-EXP(-LN(2)/25))/(LN(2)/25)*Calculateur!CG101*Calculateur!CI101*VLOOKUP('Données projet'!$B$12,Paramètres!$A$1:$I$89,3,0)*0.475*44/12</f>
        <v>3.4885369474167796</v>
      </c>
      <c r="CM101" s="21">
        <f>EXP(-LN(2)/2)*CM100+(1-EXP(-LN(2)/2))/(LN(2)/2)*CG101*CJ101*VLOOKUP('Données projet'!$B$12,Paramètres!$A$1:$I$89,3,0)*0.475*44/12</f>
        <v>1.1655412743618517E-9</v>
      </c>
      <c r="CN101" s="22">
        <f t="shared" si="66"/>
        <v>4.2797838316927761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26.30769230769231</v>
      </c>
      <c r="CT101" s="12">
        <f>IF('Données projet'!$A$140&gt;35,CT100+CS101-DB100,IF(A101&lt;'Données projet'!$A$140,$CQ$205^A101,IF(A101='Données projet'!$A$140,'Données projet'!$B$140,CT100+CS101-DB100)))</f>
        <v>911.23076923076837</v>
      </c>
      <c r="CU101" s="17">
        <f>CT101*VLOOKUP('Données projet'!$B$13,Paramètres!$A$1:$I$89,3,0)*VLOOKUP('Données projet'!$B$13,Paramètres!$A$1:$I$89,5,0)</f>
        <v>438.30199999999962</v>
      </c>
      <c r="CV101" s="13">
        <f t="shared" si="95"/>
        <v>99.500001521192502</v>
      </c>
      <c r="CW101" s="20">
        <f t="shared" si="67"/>
        <v>936.67181931607627</v>
      </c>
      <c r="CX101" s="59">
        <f t="shared" si="68"/>
        <v>1230.0051526494096</v>
      </c>
      <c r="CY101" s="59">
        <f ca="1">AVERAGE(OFFSET($CX$3,0,0,'Données projet'!$E$13+1,1))-AVERAGE(OFFSET($H$3,0,0,'Données projet'!$E$13+1,1))</f>
        <v>304.15237106473313</v>
      </c>
      <c r="CZ101" s="59">
        <f t="shared" si="96"/>
        <v>120.85458928724336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>
        <f>EXP(-LN(2)/35)*DF100+(1-EXP(-LN(2)/35))/(LN(2)/35)*DB101*DC101*VLOOKUP('Données projet'!$B$13,Paramètres!$A$1:$I$89,3,0)*0.475*44/12</f>
        <v>0</v>
      </c>
      <c r="DG101" s="21">
        <f>EXP(-LN(2)/25)*DG100+(1-EXP(-LN(2)/25))/(LN(2)/25)*Calculateur!DB101*Calculateur!DD101*VLOOKUP('Données projet'!$B$13,Paramètres!$A$1:$I$89,3,0)*0.475*44/12</f>
        <v>0</v>
      </c>
      <c r="DH101" s="21">
        <f>EXP(-LN(2)/2)*DH100+(1-EXP(-LN(2)/2))/(LN(2)/2)*DB101*DE101*VLOOKUP('Données projet'!$B$13,Paramètres!$A$1:$I$89,3,0)*0.475*44/12</f>
        <v>0</v>
      </c>
      <c r="DI101" s="22">
        <f t="shared" si="69"/>
        <v>0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9.7692307692307683</v>
      </c>
      <c r="DO101" s="12">
        <f>IF('Données projet'!$A$166&gt;35,DO100+DN101-DW100,IF(A101&lt;'Données projet'!$A$166,$DL$205^A101,IF(A101='Données projet'!$A$166,'Données projet'!$B$166,DO100+DN101-DW100)))</f>
        <v>363.53846153846149</v>
      </c>
      <c r="DP101" s="17">
        <f>DO101*VLOOKUP('Données projet'!$B$14,Paramètres!$A$1:$I$89,3,0)*VLOOKUP('Données projet'!$B$14,Paramètres!$A$1:$I$89,5,0)</f>
        <v>174.86199999999999</v>
      </c>
      <c r="DQ101" s="13">
        <f t="shared" si="97"/>
        <v>44.177156312264735</v>
      </c>
      <c r="DR101" s="20">
        <f t="shared" si="70"/>
        <v>381.49319724386106</v>
      </c>
      <c r="DS101" s="59">
        <f t="shared" si="71"/>
        <v>674.82653057719438</v>
      </c>
      <c r="DT101" s="59">
        <f ca="1">AVERAGE(OFFSET($DS$3,0,0,'Données projet'!$E$14+1,1))-AVERAGE(OFFSET($H$3,0,0,'Données projet'!$E$14+1,1))</f>
        <v>91.053246648097399</v>
      </c>
      <c r="DU101" s="59">
        <f t="shared" si="98"/>
        <v>64.716270355703955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>
        <f>EXP(-LN(2)/35)*EA100+(1-EXP(-LN(2)/35))/(LN(2)/35)*DW101*DX101*VLOOKUP('Données projet'!$B$14,Paramètres!$A$1:$I$89,3,0)*0.475*44/12</f>
        <v>0</v>
      </c>
      <c r="EB101" s="21">
        <f>EXP(-LN(2)/25)*EB100+(1-EXP(-LN(2)/25))/(LN(2)/25)*Calculateur!DW101*Calculateur!DY101*VLOOKUP('Données projet'!$B$14,Paramètres!$A$1:$I$89,3,0)*0.475*44/12</f>
        <v>0</v>
      </c>
      <c r="EC101" s="21">
        <f>EXP(-LN(2)/2)*EC100+(1-EXP(-LN(2)/2))/(LN(2)/2)*DW101*DZ101*VLOOKUP('Données projet'!$B$14,Paramètres!$A$1:$I$89,3,0)*0.475*44/12</f>
        <v>0</v>
      </c>
      <c r="ED101" s="22">
        <f t="shared" si="72"/>
        <v>0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553.99999999999955</v>
      </c>
      <c r="EK101" s="17">
        <f>EJ101*VLOOKUP('Données projet'!$B$15,Paramètres!$A$1:$I$89,3,0)*VLOOKUP('Données projet'!$B$15,Paramètres!$A$1:$I$89,5,0)</f>
        <v>331.29199999999975</v>
      </c>
      <c r="EL101" s="13">
        <f t="shared" si="99"/>
        <v>77.698110787752</v>
      </c>
      <c r="EM101" s="20">
        <f t="shared" si="73"/>
        <v>712.32444295533423</v>
      </c>
      <c r="EN101" s="59">
        <f t="shared" si="74"/>
        <v>1005.6577762886675</v>
      </c>
      <c r="EO101" s="59">
        <f ca="1">AVERAGE(OFFSET($EN$3,0,0,'Données projet'!$E$15+1,1))-AVERAGE(OFFSET($H$3,0,0,'Données projet'!$E$15+1,1))</f>
        <v>316.58509520829671</v>
      </c>
      <c r="EP101" s="59">
        <f t="shared" si="100"/>
        <v>240.71332110643596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>
        <f>EXP(-LN(2)/35)*EV100+(1-EXP(-LN(2)/35))/(LN(2)/35)*ER101*ES101*VLOOKUP('Données projet'!$B$15,Paramètres!$A$1:$I$89,3,0)*0.475*44/12</f>
        <v>0.65923783679559966</v>
      </c>
      <c r="EW101" s="21">
        <f>EXP(-LN(2)/25)*EW100+(1-EXP(-LN(2)/25))/(LN(2)/25)*Calculateur!ER101*Calculateur!ET101*VLOOKUP('Données projet'!$B$15,Paramètres!$A$1:$I$89,3,0)*0.475*44/12</f>
        <v>2.3172798149331943</v>
      </c>
      <c r="EX101" s="21">
        <f>EXP(-LN(2)/2)*EX100+(1-EXP(-LN(2)/2))/(LN(2)/2)*ER101*EU101*VLOOKUP('Données projet'!$B$15,Paramètres!$A$1:$I$89,3,0)*0.475*44/12</f>
        <v>1.2770378420909927E-9</v>
      </c>
      <c r="EY101" s="22">
        <f t="shared" si="75"/>
        <v>2.9765176530058319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497</v>
      </c>
      <c r="FF101" s="17">
        <f>FE101*VLOOKUP('Données projet'!$B$16,Paramètres!$A$1:$I$89,3,0)*VLOOKUP('Données projet'!$B$16,Paramètres!$A$1:$I$89,5,0)</f>
        <v>297.20600000000002</v>
      </c>
      <c r="FG101" s="13">
        <f t="shared" si="101"/>
        <v>70.590415164571112</v>
      </c>
      <c r="FH101" s="20">
        <f t="shared" si="76"/>
        <v>640.57875641162809</v>
      </c>
      <c r="FI101" s="59">
        <f t="shared" si="77"/>
        <v>933.91208974496135</v>
      </c>
      <c r="FJ101" s="59">
        <f ca="1">AVERAGE(OFFSET($FI$3,0,0,'Données projet'!$E$16+1,1))-AVERAGE(OFFSET($H$3,0,0,'Données projet'!$E$16+1,1))</f>
        <v>270.30888762640245</v>
      </c>
      <c r="FK101" s="59">
        <f t="shared" si="102"/>
        <v>202.23783851977691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>
        <f>EXP(-LN(2)/35)*FQ100+(1-EXP(-LN(2)/35))/(LN(2)/35)*FM101*FN101*VLOOKUP('Données projet'!$B$16,Paramètres!$A$1:$I$89,3,0)*0.475*44/12</f>
        <v>0.5571023972920558</v>
      </c>
      <c r="FR101" s="21">
        <f>EXP(-LN(2)/25)*FR100+(1-EXP(-LN(2)/25))/(LN(2)/25)*Calculateur!FM101*Calculateur!FO101*VLOOKUP('Données projet'!$B$16,Paramètres!$A$1:$I$89,3,0)*0.475*44/12</f>
        <v>1.8660973581633615</v>
      </c>
      <c r="FS101" s="21">
        <f>EXP(-LN(2)/2)*FS100+(1-EXP(-LN(2)/2))/(LN(2)/2)*FM101*FP101*VLOOKUP('Données projet'!$B$16,Paramètres!$A$1:$I$89,3,0)*0.475*44/12</f>
        <v>1.0764114900062899E-9</v>
      </c>
      <c r="FT101" s="22">
        <f t="shared" si="78"/>
        <v>2.4231997565318286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-5.1159076974727213E-13</v>
      </c>
      <c r="GA101" s="17">
        <f>FZ101*VLOOKUP('Données projet'!$B$17,Paramètres!$A$1:$I$89,3,0)*VLOOKUP('Données projet'!$B$17,Paramètres!$A$1:$I$89,5,0)</f>
        <v>-4.0702161641092972E-13</v>
      </c>
      <c r="GB101" s="13" t="e">
        <f t="shared" si="103"/>
        <v>#NUM!</v>
      </c>
      <c r="GC101" s="20" t="e">
        <f t="shared" si="79"/>
        <v>#NUM!</v>
      </c>
      <c r="GD101" s="59" t="e">
        <f t="shared" si="80"/>
        <v>#NUM!</v>
      </c>
      <c r="GE101" s="59">
        <f ca="1">AVERAGE(OFFSET($GD$3,0,0,'Données projet'!$E$17+1,1))-AVERAGE(OFFSET($H$3,0,0,'Données projet'!$E$17+1,1))</f>
        <v>260.20517190557814</v>
      </c>
      <c r="GF101" s="59">
        <f t="shared" si="104"/>
        <v>307.22009971147133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>
        <f>EXP(-LN(2)/35)*GL100+(1-EXP(-LN(2)/35))/(LN(2)/35)*GH101*GI101*VLOOKUP('Données projet'!$B$17,Paramètres!$A$1:$I$89,3,0)*0.475*44/12</f>
        <v>0.84870647819347755</v>
      </c>
      <c r="GM101" s="21">
        <f>EXP(-LN(2)/25)*GM100+(1-EXP(-LN(2)/25))/(LN(2)/25)*Calculateur!GH101*Calculateur!GJ101*VLOOKUP('Données projet'!$B$17,Paramètres!$A$1:$I$89,3,0)*0.475*44/12</f>
        <v>3.1143495822833978</v>
      </c>
      <c r="GN101" s="21">
        <f>EXP(-LN(2)/2)*GN100+(1-EXP(-LN(2)/2))/(LN(2)/2)*GH101*GK101*VLOOKUP('Données projet'!$B$17,Paramètres!$A$1:$I$89,3,0)*0.475*44/12</f>
        <v>1.3992559544717245E-9</v>
      </c>
      <c r="GO101" s="21">
        <f t="shared" si="81"/>
        <v>3.9630560618761312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5.6843418860808015E-14</v>
      </c>
      <c r="GV101" s="17">
        <f>GU101*VLOOKUP('Données projet'!$B$18,Paramètres!$A$1:$I$89,3,0)*VLOOKUP('Données projet'!$B$18,Paramètres!$A$1:$I$89,5,0)</f>
        <v>4.5224624045658861E-14</v>
      </c>
      <c r="GW101" s="13">
        <f t="shared" si="105"/>
        <v>7.4514601661523691E-13</v>
      </c>
      <c r="GX101" s="20">
        <f t="shared" si="82"/>
        <v>1.3765621991510601E-12</v>
      </c>
      <c r="GY101" s="59">
        <f t="shared" si="83"/>
        <v>293.33333333333468</v>
      </c>
      <c r="GZ101" s="59">
        <f ca="1">AVERAGE(OFFSET($GY$3,0,0,'Données projet'!$E$18+1,1))-AVERAGE(OFFSET($H$3,0,0,'Données projet'!$E$18+1,1))</f>
        <v>199.58763537752952</v>
      </c>
      <c r="HA101" s="59">
        <f t="shared" si="106"/>
        <v>242.62852778451929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>
        <f>EXP(-LN(2)/35)*HG100+(1-EXP(-LN(2)/35))/(LN(2)/35)*HC101*HD101*VLOOKUP('Données projet'!$B$18,Paramètres!$A$1:$I$89,3,0)*0.475*44/12</f>
        <v>0</v>
      </c>
      <c r="HH101" s="21">
        <f>EXP(-LN(2)/25)*HH100+(1-EXP(-LN(2)/25))/(LN(2)/25)*Calculateur!HC101*Calculateur!HE101*VLOOKUP('Données projet'!$B$18,Paramètres!$A$1:$I$89,3,0)*0.475*44/12</f>
        <v>1.5606921781893097</v>
      </c>
      <c r="HI101" s="21">
        <f>EXP(-LN(2)/2)*HI100+(1-EXP(-LN(2)/2))/(LN(2)/2)*HC101*HF101*VLOOKUP('Données projet'!$B$18,Paramètres!$A$1:$I$89,3,0)*0.475*44/12</f>
        <v>6.2640514185304171E-10</v>
      </c>
      <c r="HJ101" s="22">
        <f t="shared" si="84"/>
        <v>1.5606921788157149</v>
      </c>
    </row>
    <row r="102" spans="1:218" x14ac:dyDescent="0.2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88.030800000000141</v>
      </c>
      <c r="D102" s="11">
        <f t="shared" si="86"/>
        <v>24.089691614761293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865.49151421921113</v>
      </c>
      <c r="H102" s="67">
        <f t="shared" si="56"/>
        <v>488.6098562290428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-2.2737367544323206E-13</v>
      </c>
      <c r="O102" s="13">
        <f>N102*VLOOKUP('Données projet'!$B$9,Paramètres!$A$1:$I$89,3,0)*VLOOKUP('Données projet'!$B$9,Paramètres!$A$1:$I$89,5,0)</f>
        <v>-1.2710188457276673E-13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255.5374979188561</v>
      </c>
      <c r="T102" s="59">
        <f t="shared" si="88"/>
        <v>343.10418468620901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0.78796165916568572</v>
      </c>
      <c r="AA102" s="21">
        <f>EXP(-LN(2)/25)*AA101+(1-EXP(-LN(2)/25))/(LN(2)/25)*Calculateur!V102*Calculateur!X102*VLOOKUP('Données projet'!$B$9,Paramètres!$A$1:$I$89,3,0)*0.475*44/12</f>
        <v>2.3561186134200249</v>
      </c>
      <c r="AB102" s="21">
        <f>EXP(-LN(2)/2)*AB101+(1-EXP(-LN(2)/2))/(LN(2)/2)*V102*Y102*VLOOKUP('Données projet'!$B$9,Paramètres!$A$1:$I$89,3,0)*0.475*44/12</f>
        <v>6.9667920678125282E-11</v>
      </c>
      <c r="AC102" s="22">
        <f t="shared" si="57"/>
        <v>3.1440802726553785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1.1368683772161603E-13</v>
      </c>
      <c r="AJ102" s="13">
        <f>AI102*VLOOKUP('Données projet'!$B$10,Paramètres!$A$1:$I$89,3,0)*VLOOKUP('Données projet'!$B$10,Paramètres!$A$1:$I$89,5,0)</f>
        <v>6.3550942286383367E-14</v>
      </c>
      <c r="AK102" s="13">
        <f t="shared" si="89"/>
        <v>1.0064464192543978E-12</v>
      </c>
      <c r="AL102" s="20">
        <f t="shared" si="58"/>
        <v>1.8635787380168604E-12</v>
      </c>
      <c r="AM102" s="59">
        <f t="shared" si="59"/>
        <v>293.33333333333519</v>
      </c>
      <c r="AN102" s="59">
        <f ca="1">AVERAGE(OFFSET($AM$3,0,0,'Données projet'!$E$10+1,1))-AVERAGE(OFFSET($H$3,0,0,'Données projet'!$E$10+1,1))</f>
        <v>224.7049802939942</v>
      </c>
      <c r="AO102" s="59">
        <f t="shared" si="90"/>
        <v>203.48513862195352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0.56894682800751906</v>
      </c>
      <c r="AV102" s="21">
        <f>EXP(-LN(2)/25)*AV101+(1-EXP(-LN(2)/25))/(LN(2)/25)*Calculateur!AQ102*Calculateur!AS102*VLOOKUP('Données projet'!$B$10,Paramètres!$A$1:$I$89,3,0)*0.475*44/12</f>
        <v>2.8822904674318002</v>
      </c>
      <c r="AW102" s="21">
        <f>EXP(-LN(2)/2)*AW101+(1-EXP(-LN(2)/2))/(LN(2)/2)*AQ102*AT102*VLOOKUP('Données projet'!$B$10,Paramètres!$A$1:$I$89,3,0)*0.475*44/12</f>
        <v>3.6881013812636306E-10</v>
      </c>
      <c r="AX102" s="21">
        <f t="shared" si="60"/>
        <v>3.4512372958081294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>
        <f>BD102*VLOOKUP('Données projet'!$B$11,Paramètres!$A$1:$I$89,3,0)*VLOOKUP('Données projet'!$B$11,Paramètres!$A$1:$I$89,5,0)</f>
        <v>0</v>
      </c>
      <c r="BF102" s="13" t="e">
        <f t="shared" si="91"/>
        <v>#NUM!</v>
      </c>
      <c r="BG102" s="20" t="e">
        <f t="shared" si="61"/>
        <v>#NUM!</v>
      </c>
      <c r="BH102" s="59" t="e">
        <f t="shared" si="62"/>
        <v>#NUM!</v>
      </c>
      <c r="BI102" s="59">
        <f ca="1">AVERAGE(OFFSET($BH$3,0,0,'Données projet'!$E$11+1,1))-AVERAGE(OFFSET($H$3,0,0,'Données projet'!$E$11+1,1))</f>
        <v>210.04871822652808</v>
      </c>
      <c r="BJ102" s="59">
        <f t="shared" si="92"/>
        <v>250.17540614049324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1.8617544344294499</v>
      </c>
      <c r="BQ102" s="21">
        <f>EXP(-LN(2)/25)*BQ101+(1-EXP(-LN(2)/25))/(LN(2)/25)*Calculateur!BL102*Calculateur!BN102*VLOOKUP('Données projet'!$B$11,Paramètres!$A$1:$I$89,3,0)*0.475*44/12</f>
        <v>4.1084835631546319</v>
      </c>
      <c r="BR102" s="21">
        <f>EXP(-LN(2)/2)*BR101+(1-EXP(-LN(2)/2))/(LN(2)/2)*BL102*BO102*VLOOKUP('Données projet'!$B$11,Paramètres!$A$1:$I$89,3,0)*0.475*44/12</f>
        <v>8.8713719085334691E-10</v>
      </c>
      <c r="BS102" s="22">
        <f t="shared" si="63"/>
        <v>5.9702379984712195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2.2737367544323206E-13</v>
      </c>
      <c r="BZ102" s="13">
        <f>BY102*VLOOKUP('Données projet'!$B$12,Paramètres!$A$1:$I$89,3,0)*VLOOKUP('Données projet'!$B$12,Paramètres!$A$1:$I$89,5,0)</f>
        <v>1.2414602679200471E-13</v>
      </c>
      <c r="CA102" s="13">
        <f t="shared" si="93"/>
        <v>1.8186582995804361E-12</v>
      </c>
      <c r="CB102" s="20">
        <f t="shared" si="64"/>
        <v>3.3837175350986671E-12</v>
      </c>
      <c r="CC102" s="59">
        <f t="shared" si="65"/>
        <v>293.33333333333672</v>
      </c>
      <c r="CD102" s="59">
        <f ca="1">AVERAGE(OFFSET($CC$3,0,0,'Données projet'!$E$12+1,1))-AVERAGE(OFFSET($H$3,0,0,'Données projet'!$E$12+1,1))</f>
        <v>168.72306536277267</v>
      </c>
      <c r="CE102" s="59">
        <f t="shared" si="94"/>
        <v>203.35476578922339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0.7757310143456041</v>
      </c>
      <c r="CL102" s="21">
        <f>EXP(-LN(2)/25)*CL101+(1-EXP(-LN(2)/25))/(LN(2)/25)*Calculateur!CG102*Calculateur!CI102*VLOOKUP('Données projet'!$B$12,Paramètres!$A$1:$I$89,3,0)*0.475*44/12</f>
        <v>3.393142721135483</v>
      </c>
      <c r="CM102" s="21">
        <f>EXP(-LN(2)/2)*CM101+(1-EXP(-LN(2)/2))/(LN(2)/2)*CG102*CJ102*VLOOKUP('Données projet'!$B$12,Paramètres!$A$1:$I$89,3,0)*0.475*44/12</f>
        <v>8.2416213885407567E-10</v>
      </c>
      <c r="CN102" s="22">
        <f t="shared" si="66"/>
        <v>4.1688737363052493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26.30769230769231</v>
      </c>
      <c r="CT102" s="12">
        <f>IF('Données projet'!$A$140&gt;35,CT101+CS102-DB101,IF(A102&lt;'Données projet'!$A$140,$CQ$205^A102,IF(A102='Données projet'!$A$140,'Données projet'!$B$140,CT101+CS102-DB101)))</f>
        <v>937.53846153846064</v>
      </c>
      <c r="CU102" s="17">
        <f>CT102*VLOOKUP('Données projet'!$B$13,Paramètres!$A$1:$I$89,3,0)*VLOOKUP('Données projet'!$B$13,Paramètres!$A$1:$I$89,5,0)</f>
        <v>450.95599999999956</v>
      </c>
      <c r="CV102" s="13">
        <f t="shared" si="95"/>
        <v>102.03402459292501</v>
      </c>
      <c r="CW102" s="20">
        <f t="shared" si="67"/>
        <v>963.12429283267693</v>
      </c>
      <c r="CX102" s="59">
        <f t="shared" si="68"/>
        <v>1256.4576261660102</v>
      </c>
      <c r="CY102" s="59">
        <f ca="1">AVERAGE(OFFSET($CX$3,0,0,'Données projet'!$E$13+1,1))-AVERAGE(OFFSET($H$3,0,0,'Données projet'!$E$13+1,1))</f>
        <v>304.15237106473313</v>
      </c>
      <c r="CZ102" s="59">
        <f t="shared" si="96"/>
        <v>120.85458928724336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>
        <f>EXP(-LN(2)/35)*DF101+(1-EXP(-LN(2)/35))/(LN(2)/35)*DB102*DC102*VLOOKUP('Données projet'!$B$13,Paramètres!$A$1:$I$89,3,0)*0.475*44/12</f>
        <v>0</v>
      </c>
      <c r="DG102" s="21">
        <f>EXP(-LN(2)/25)*DG101+(1-EXP(-LN(2)/25))/(LN(2)/25)*Calculateur!DB102*Calculateur!DD102*VLOOKUP('Données projet'!$B$13,Paramètres!$A$1:$I$89,3,0)*0.475*44/12</f>
        <v>0</v>
      </c>
      <c r="DH102" s="21">
        <f>EXP(-LN(2)/2)*DH101+(1-EXP(-LN(2)/2))/(LN(2)/2)*DB102*DE102*VLOOKUP('Données projet'!$B$13,Paramètres!$A$1:$I$89,3,0)*0.475*44/12</f>
        <v>0</v>
      </c>
      <c r="DI102" s="22">
        <f t="shared" si="69"/>
        <v>0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9.7692307692307683</v>
      </c>
      <c r="DO102" s="12">
        <f>IF('Données projet'!$A$166&gt;35,DO101+DN102-DW101,IF(A102&lt;'Données projet'!$A$166,$DL$205^A102,IF(A102='Données projet'!$A$166,'Données projet'!$B$166,DO101+DN102-DW101)))</f>
        <v>373.30769230769226</v>
      </c>
      <c r="DP102" s="17">
        <f>DO102*VLOOKUP('Données projet'!$B$14,Paramètres!$A$1:$I$89,3,0)*VLOOKUP('Données projet'!$B$14,Paramètres!$A$1:$I$89,5,0)</f>
        <v>179.56099999999998</v>
      </c>
      <c r="DQ102" s="13">
        <f t="shared" si="97"/>
        <v>45.224502878538509</v>
      </c>
      <c r="DR102" s="20">
        <f t="shared" si="70"/>
        <v>391.5014175134545</v>
      </c>
      <c r="DS102" s="59">
        <f t="shared" si="71"/>
        <v>684.83475084678776</v>
      </c>
      <c r="DT102" s="59">
        <f ca="1">AVERAGE(OFFSET($DS$3,0,0,'Données projet'!$E$14+1,1))-AVERAGE(OFFSET($H$3,0,0,'Données projet'!$E$14+1,1))</f>
        <v>91.053246648097399</v>
      </c>
      <c r="DU102" s="59">
        <f t="shared" si="98"/>
        <v>64.716270355703955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>
        <f>EXP(-LN(2)/35)*EA101+(1-EXP(-LN(2)/35))/(LN(2)/35)*DW102*DX102*VLOOKUP('Données projet'!$B$14,Paramètres!$A$1:$I$89,3,0)*0.475*44/12</f>
        <v>0</v>
      </c>
      <c r="EB102" s="21">
        <f>EXP(-LN(2)/25)*EB101+(1-EXP(-LN(2)/25))/(LN(2)/25)*Calculateur!DW102*Calculateur!DY102*VLOOKUP('Données projet'!$B$14,Paramètres!$A$1:$I$89,3,0)*0.475*44/12</f>
        <v>0</v>
      </c>
      <c r="EC102" s="21">
        <f>EXP(-LN(2)/2)*EC101+(1-EXP(-LN(2)/2))/(LN(2)/2)*DW102*DZ102*VLOOKUP('Données projet'!$B$14,Paramètres!$A$1:$I$89,3,0)*0.475*44/12</f>
        <v>0</v>
      </c>
      <c r="ED102" s="22">
        <f t="shared" si="72"/>
        <v>0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553.99999999999955</v>
      </c>
      <c r="EK102" s="17">
        <f>EJ102*VLOOKUP('Données projet'!$B$15,Paramètres!$A$1:$I$89,3,0)*VLOOKUP('Données projet'!$B$15,Paramètres!$A$1:$I$89,5,0)</f>
        <v>331.29199999999975</v>
      </c>
      <c r="EL102" s="13">
        <f t="shared" si="99"/>
        <v>77.698110787752</v>
      </c>
      <c r="EM102" s="20">
        <f t="shared" si="73"/>
        <v>712.32444295533423</v>
      </c>
      <c r="EN102" s="59">
        <f t="shared" si="74"/>
        <v>1005.6577762886675</v>
      </c>
      <c r="EO102" s="59">
        <f ca="1">AVERAGE(OFFSET($EN$3,0,0,'Données projet'!$E$15+1,1))-AVERAGE(OFFSET($H$3,0,0,'Données projet'!$E$15+1,1))</f>
        <v>316.58509520829671</v>
      </c>
      <c r="EP102" s="59">
        <f t="shared" si="100"/>
        <v>240.71332110643596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>
        <f>EXP(-LN(2)/35)*EV101+(1-EXP(-LN(2)/35))/(LN(2)/35)*ER102*ES102*VLOOKUP('Données projet'!$B$15,Paramètres!$A$1:$I$89,3,0)*0.475*44/12</f>
        <v>0.6463105849114148</v>
      </c>
      <c r="EW102" s="21">
        <f>EXP(-LN(2)/25)*EW101+(1-EXP(-LN(2)/25))/(LN(2)/25)*Calculateur!ER102*Calculateur!ET102*VLOOKUP('Données projet'!$B$15,Paramètres!$A$1:$I$89,3,0)*0.475*44/12</f>
        <v>2.2539136765333967</v>
      </c>
      <c r="EX102" s="21">
        <f>EXP(-LN(2)/2)*EX101+(1-EXP(-LN(2)/2))/(LN(2)/2)*ER102*EU102*VLOOKUP('Données projet'!$B$15,Paramètres!$A$1:$I$89,3,0)*0.475*44/12</f>
        <v>9.0300211797437646E-10</v>
      </c>
      <c r="EY102" s="22">
        <f t="shared" si="75"/>
        <v>2.9002242623478134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497</v>
      </c>
      <c r="FF102" s="17">
        <f>FE102*VLOOKUP('Données projet'!$B$16,Paramètres!$A$1:$I$89,3,0)*VLOOKUP('Données projet'!$B$16,Paramètres!$A$1:$I$89,5,0)</f>
        <v>297.20600000000002</v>
      </c>
      <c r="FG102" s="13">
        <f t="shared" si="101"/>
        <v>70.590415164571112</v>
      </c>
      <c r="FH102" s="20">
        <f t="shared" si="76"/>
        <v>640.57875641162809</v>
      </c>
      <c r="FI102" s="59">
        <f t="shared" si="77"/>
        <v>933.91208974496135</v>
      </c>
      <c r="FJ102" s="59">
        <f ca="1">AVERAGE(OFFSET($FI$3,0,0,'Données projet'!$E$16+1,1))-AVERAGE(OFFSET($H$3,0,0,'Données projet'!$E$16+1,1))</f>
        <v>270.30888762640245</v>
      </c>
      <c r="FK102" s="59">
        <f t="shared" si="102"/>
        <v>202.23783851977691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>
        <f>EXP(-LN(2)/35)*FQ101+(1-EXP(-LN(2)/35))/(LN(2)/35)*FM102*FN102*VLOOKUP('Données projet'!$B$16,Paramètres!$A$1:$I$89,3,0)*0.475*44/12</f>
        <v>0.54617795908006861</v>
      </c>
      <c r="FR102" s="21">
        <f>EXP(-LN(2)/25)*FR101+(1-EXP(-LN(2)/25))/(LN(2)/25)*Calculateur!FM102*Calculateur!FO102*VLOOKUP('Données projet'!$B$16,Paramètres!$A$1:$I$89,3,0)*0.475*44/12</f>
        <v>1.8150688277705893</v>
      </c>
      <c r="FS102" s="21">
        <f>EXP(-LN(2)/2)*FS101+(1-EXP(-LN(2)/2))/(LN(2)/2)*FM102*FP102*VLOOKUP('Données projet'!$B$16,Paramètres!$A$1:$I$89,3,0)*0.475*44/12</f>
        <v>7.6113786393056323E-10</v>
      </c>
      <c r="FT102" s="22">
        <f t="shared" si="78"/>
        <v>2.3612467876117957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-5.1159076974727213E-13</v>
      </c>
      <c r="GA102" s="17">
        <f>FZ102*VLOOKUP('Données projet'!$B$17,Paramètres!$A$1:$I$89,3,0)*VLOOKUP('Données projet'!$B$17,Paramètres!$A$1:$I$89,5,0)</f>
        <v>-4.0702161641092972E-13</v>
      </c>
      <c r="GB102" s="13" t="e">
        <f t="shared" si="103"/>
        <v>#NUM!</v>
      </c>
      <c r="GC102" s="20" t="e">
        <f t="shared" si="79"/>
        <v>#NUM!</v>
      </c>
      <c r="GD102" s="59" t="e">
        <f t="shared" si="80"/>
        <v>#NUM!</v>
      </c>
      <c r="GE102" s="59">
        <f ca="1">AVERAGE(OFFSET($GD$3,0,0,'Données projet'!$E$17+1,1))-AVERAGE(OFFSET($H$3,0,0,'Données projet'!$E$17+1,1))</f>
        <v>260.20517190557814</v>
      </c>
      <c r="GF102" s="59">
        <f t="shared" si="104"/>
        <v>307.22009971147133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>
        <f>EXP(-LN(2)/35)*GL101+(1-EXP(-LN(2)/35))/(LN(2)/35)*GH102*GI102*VLOOKUP('Données projet'!$B$17,Paramètres!$A$1:$I$89,3,0)*0.475*44/12</f>
        <v>0.8320638618159405</v>
      </c>
      <c r="GM102" s="21">
        <f>EXP(-LN(2)/25)*GM101+(1-EXP(-LN(2)/25))/(LN(2)/25)*Calculateur!GH102*Calculateur!GJ102*VLOOKUP('Données projet'!$B$17,Paramètres!$A$1:$I$89,3,0)*0.475*44/12</f>
        <v>3.0291875291793318</v>
      </c>
      <c r="GN102" s="21">
        <f>EXP(-LN(2)/2)*GN101+(1-EXP(-LN(2)/2))/(LN(2)/2)*GH102*GK102*VLOOKUP('Données projet'!$B$17,Paramètres!$A$1:$I$89,3,0)*0.475*44/12</f>
        <v>9.8942337402261137E-10</v>
      </c>
      <c r="GO102" s="21">
        <f t="shared" si="81"/>
        <v>3.8612513919846956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5.6843418860808015E-14</v>
      </c>
      <c r="GV102" s="17">
        <f>GU102*VLOOKUP('Données projet'!$B$18,Paramètres!$A$1:$I$89,3,0)*VLOOKUP('Données projet'!$B$18,Paramètres!$A$1:$I$89,5,0)</f>
        <v>4.5224624045658861E-14</v>
      </c>
      <c r="GW102" s="13">
        <f t="shared" si="105"/>
        <v>7.4514601661523691E-13</v>
      </c>
      <c r="GX102" s="20">
        <f t="shared" si="82"/>
        <v>1.3765621991510601E-12</v>
      </c>
      <c r="GY102" s="59">
        <f t="shared" si="83"/>
        <v>293.33333333333468</v>
      </c>
      <c r="GZ102" s="59">
        <f ca="1">AVERAGE(OFFSET($GY$3,0,0,'Données projet'!$E$18+1,1))-AVERAGE(OFFSET($H$3,0,0,'Données projet'!$E$18+1,1))</f>
        <v>199.58763537752952</v>
      </c>
      <c r="HA102" s="59">
        <f t="shared" si="106"/>
        <v>242.62852778451929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>
        <f>EXP(-LN(2)/35)*HG101+(1-EXP(-LN(2)/35))/(LN(2)/35)*HC102*HD102*VLOOKUP('Données projet'!$B$18,Paramètres!$A$1:$I$89,3,0)*0.475*44/12</f>
        <v>0</v>
      </c>
      <c r="HH102" s="21">
        <f>EXP(-LN(2)/25)*HH101+(1-EXP(-LN(2)/25))/(LN(2)/25)*Calculateur!HC102*Calculateur!HE102*VLOOKUP('Données projet'!$B$18,Paramètres!$A$1:$I$89,3,0)*0.475*44/12</f>
        <v>1.5180149685034885</v>
      </c>
      <c r="HI102" s="21">
        <f>EXP(-LN(2)/2)*HI101+(1-EXP(-LN(2)/2))/(LN(2)/2)*HC102*HF102*VLOOKUP('Données projet'!$B$18,Paramètres!$A$1:$I$89,3,0)*0.475*44/12</f>
        <v>4.4293532357440703E-10</v>
      </c>
      <c r="HJ102" s="22">
        <f t="shared" si="84"/>
        <v>1.5180149689464237</v>
      </c>
    </row>
    <row r="103" spans="1:218" x14ac:dyDescent="0.2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88.920000000000144</v>
      </c>
      <c r="D103" s="11">
        <f t="shared" si="86"/>
        <v>24.304572270466512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874.01424208781282</v>
      </c>
      <c r="H103" s="67">
        <f t="shared" si="56"/>
        <v>490.53279670439605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-2.2737367544323206E-13</v>
      </c>
      <c r="O103" s="13">
        <f>N103*VLOOKUP('Données projet'!$B$9,Paramètres!$A$1:$I$89,3,0)*VLOOKUP('Données projet'!$B$9,Paramètres!$A$1:$I$89,5,0)</f>
        <v>-1.2710188457276673E-13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255.5374979188561</v>
      </c>
      <c r="T103" s="59">
        <f t="shared" si="88"/>
        <v>343.10418468620901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0.77251021163860245</v>
      </c>
      <c r="AA103" s="21">
        <f>EXP(-LN(2)/25)*AA102+(1-EXP(-LN(2)/25))/(LN(2)/25)*Calculateur!V103*Calculateur!X103*VLOOKUP('Données projet'!$B$9,Paramètres!$A$1:$I$89,3,0)*0.475*44/12</f>
        <v>2.2916904260331616</v>
      </c>
      <c r="AB103" s="21">
        <f>EXP(-LN(2)/2)*AB102+(1-EXP(-LN(2)/2))/(LN(2)/2)*V103*Y103*VLOOKUP('Données projet'!$B$9,Paramètres!$A$1:$I$89,3,0)*0.475*44/12</f>
        <v>4.9262659142668884E-11</v>
      </c>
      <c r="AC103" s="22">
        <f t="shared" si="57"/>
        <v>3.0642006377210267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1.1368683772161603E-13</v>
      </c>
      <c r="AJ103" s="13">
        <f>AI103*VLOOKUP('Données projet'!$B$10,Paramètres!$A$1:$I$89,3,0)*VLOOKUP('Données projet'!$B$10,Paramètres!$A$1:$I$89,5,0)</f>
        <v>6.3550942286383367E-14</v>
      </c>
      <c r="AK103" s="13">
        <f t="shared" si="89"/>
        <v>1.0064464192543978E-12</v>
      </c>
      <c r="AL103" s="20">
        <f t="shared" si="58"/>
        <v>1.8635787380168604E-12</v>
      </c>
      <c r="AM103" s="59">
        <f t="shared" si="59"/>
        <v>293.33333333333519</v>
      </c>
      <c r="AN103" s="59">
        <f ca="1">AVERAGE(OFFSET($AM$3,0,0,'Données projet'!$E$10+1,1))-AVERAGE(OFFSET($H$3,0,0,'Données projet'!$E$10+1,1))</f>
        <v>224.7049802939942</v>
      </c>
      <c r="AO103" s="59">
        <f t="shared" si="90"/>
        <v>203.48513862195352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0.55779012773359093</v>
      </c>
      <c r="AV103" s="21">
        <f>EXP(-LN(2)/25)*AV102+(1-EXP(-LN(2)/25))/(LN(2)/25)*Calculateur!AQ103*Calculateur!AS103*VLOOKUP('Données projet'!$B$10,Paramètres!$A$1:$I$89,3,0)*0.475*44/12</f>
        <v>2.8034740830268094</v>
      </c>
      <c r="AW103" s="21">
        <f>EXP(-LN(2)/2)*AW102+(1-EXP(-LN(2)/2))/(LN(2)/2)*AQ103*AT103*VLOOKUP('Données projet'!$B$10,Paramètres!$A$1:$I$89,3,0)*0.475*44/12</f>
        <v>2.6078814963949858E-10</v>
      </c>
      <c r="AX103" s="21">
        <f t="shared" si="60"/>
        <v>3.3612642110211888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>
        <f>BD103*VLOOKUP('Données projet'!$B$11,Paramètres!$A$1:$I$89,3,0)*VLOOKUP('Données projet'!$B$11,Paramètres!$A$1:$I$89,5,0)</f>
        <v>0</v>
      </c>
      <c r="BF103" s="13" t="e">
        <f t="shared" si="91"/>
        <v>#NUM!</v>
      </c>
      <c r="BG103" s="20" t="e">
        <f t="shared" si="61"/>
        <v>#NUM!</v>
      </c>
      <c r="BH103" s="59" t="e">
        <f t="shared" si="62"/>
        <v>#NUM!</v>
      </c>
      <c r="BI103" s="59">
        <f ca="1">AVERAGE(OFFSET($BH$3,0,0,'Données projet'!$E$11+1,1))-AVERAGE(OFFSET($H$3,0,0,'Données projet'!$E$11+1,1))</f>
        <v>210.04871822652808</v>
      </c>
      <c r="BJ103" s="59">
        <f t="shared" si="92"/>
        <v>250.17540614049324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1.8252465655283663</v>
      </c>
      <c r="BQ103" s="21">
        <f>EXP(-LN(2)/25)*BQ102+(1-EXP(-LN(2)/25))/(LN(2)/25)*Calculateur!BL103*Calculateur!BN103*VLOOKUP('Données projet'!$B$11,Paramètres!$A$1:$I$89,3,0)*0.475*44/12</f>
        <v>3.9961368640644079</v>
      </c>
      <c r="BR103" s="21">
        <f>EXP(-LN(2)/2)*BR102+(1-EXP(-LN(2)/2))/(LN(2)/2)*BL103*BO103*VLOOKUP('Données projet'!$B$11,Paramètres!$A$1:$I$89,3,0)*0.475*44/12</f>
        <v>6.2730072349518602E-10</v>
      </c>
      <c r="BS103" s="22">
        <f t="shared" si="63"/>
        <v>5.8213834302200755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2.2737367544323206E-13</v>
      </c>
      <c r="BZ103" s="13">
        <f>BY103*VLOOKUP('Données projet'!$B$12,Paramètres!$A$1:$I$89,3,0)*VLOOKUP('Données projet'!$B$12,Paramètres!$A$1:$I$89,5,0)</f>
        <v>1.2414602679200471E-13</v>
      </c>
      <c r="CA103" s="13">
        <f t="shared" si="93"/>
        <v>1.8186582995804361E-12</v>
      </c>
      <c r="CB103" s="20">
        <f t="shared" si="64"/>
        <v>3.3837175350986671E-12</v>
      </c>
      <c r="CC103" s="59">
        <f t="shared" si="65"/>
        <v>293.33333333333672</v>
      </c>
      <c r="CD103" s="59">
        <f ca="1">AVERAGE(OFFSET($CC$3,0,0,'Données projet'!$E$12+1,1))-AVERAGE(OFFSET($H$3,0,0,'Données projet'!$E$12+1,1))</f>
        <v>168.72306536277267</v>
      </c>
      <c r="CE103" s="59">
        <f t="shared" si="94"/>
        <v>203.35476578922339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0.76051940230348591</v>
      </c>
      <c r="CL103" s="21">
        <f>EXP(-LN(2)/25)*CL102+(1-EXP(-LN(2)/25))/(LN(2)/25)*Calculateur!CG103*Calculateur!CI103*VLOOKUP('Données projet'!$B$12,Paramètres!$A$1:$I$89,3,0)*0.475*44/12</f>
        <v>3.3003570549884125</v>
      </c>
      <c r="CM103" s="21">
        <f>EXP(-LN(2)/2)*CM102+(1-EXP(-LN(2)/2))/(LN(2)/2)*CG103*CJ103*VLOOKUP('Données projet'!$B$12,Paramètres!$A$1:$I$89,3,0)*0.475*44/12</f>
        <v>5.8277063718092587E-10</v>
      </c>
      <c r="CN103" s="22">
        <f t="shared" si="66"/>
        <v>4.0608764578746683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>
        <f>VLOOKUP(A103,'Données projet'!$A$139:$I$159,2,0)</f>
        <v>963.84615384615381</v>
      </c>
      <c r="CR103" s="12">
        <f>VLOOKUP(A103,'Données projet'!$A$139:$I$159,9,0)</f>
        <v>26.30769230769231</v>
      </c>
      <c r="CS103" s="12">
        <f t="array" ref="CS103">INDEX(CR:CR,MIN(IF(ISNUMBER(CR103:CR299),ROW(CR103:CR299),"")))</f>
        <v>26.30769230769231</v>
      </c>
      <c r="CT103" s="12">
        <f>IF('Données projet'!$A$140&gt;35,CT102+CS103-DB102,IF(A103&lt;'Données projet'!$A$140,$CQ$205^A103,IF(A103='Données projet'!$A$140,'Données projet'!$B$140,CT102+CS103-DB102)))</f>
        <v>963.8461538461529</v>
      </c>
      <c r="CU103" s="17">
        <f>CT103*VLOOKUP('Données projet'!$B$13,Paramètres!$A$1:$I$89,3,0)*VLOOKUP('Données projet'!$B$13,Paramètres!$A$1:$I$89,5,0)</f>
        <v>463.60999999999956</v>
      </c>
      <c r="CV103" s="13">
        <f t="shared" si="95"/>
        <v>104.55978332090849</v>
      </c>
      <c r="CW103" s="20">
        <f t="shared" si="67"/>
        <v>989.56237261724812</v>
      </c>
      <c r="CX103" s="59">
        <f t="shared" si="68"/>
        <v>1282.8957059505815</v>
      </c>
      <c r="CY103" s="59">
        <f ca="1">AVERAGE(OFFSET($CX$3,0,0,'Données projet'!$E$13+1,1))-AVERAGE(OFFSET($H$3,0,0,'Données projet'!$E$13+1,1))</f>
        <v>304.15237106473313</v>
      </c>
      <c r="CZ103" s="59">
        <f t="shared" si="96"/>
        <v>120.85458928724336</v>
      </c>
      <c r="DA103" s="15">
        <f>IF(ISNA(VLOOKUP(A103,'Données projet'!$A$139:$I$159,3,0)),0,VLOOKUP(A103,'Données projet'!$A$139:$I$159,3,0))</f>
        <v>7</v>
      </c>
      <c r="DB103" s="15">
        <f>IF(ISNA(VLOOKUP(A103,'Données projet'!$A$139:$I$159,4,0)),0,VLOOKUP(A103,'Données projet'!$A$139:$I$159,4,0))</f>
        <v>17.692307692307693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>
        <f>EXP(-LN(2)/35)*DF102+(1-EXP(-LN(2)/35))/(LN(2)/35)*DB103*DC103*VLOOKUP('Données projet'!$B$13,Paramètres!$A$1:$I$89,3,0)*0.475*44/12</f>
        <v>0</v>
      </c>
      <c r="DG103" s="21">
        <f>EXP(-LN(2)/25)*DG102+(1-EXP(-LN(2)/25))/(LN(2)/25)*Calculateur!DB103*Calculateur!DD103*VLOOKUP('Données projet'!$B$13,Paramètres!$A$1:$I$89,3,0)*0.475*44/12</f>
        <v>0</v>
      </c>
      <c r="DH103" s="21">
        <f>EXP(-LN(2)/2)*DH102+(1-EXP(-LN(2)/2))/(LN(2)/2)*DB103*DE103*VLOOKUP('Données projet'!$B$13,Paramètres!$A$1:$I$89,3,0)*0.475*44/12</f>
        <v>0</v>
      </c>
      <c r="DI103" s="22">
        <f t="shared" si="69"/>
        <v>0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>
        <f>VLOOKUP(A103,'Données projet'!$A$165:$I$185,2,0)</f>
        <v>383.07692307692304</v>
      </c>
      <c r="DM103" s="12">
        <f>VLOOKUP(A103,'Données projet'!$A$165:$I$185,9,0)</f>
        <v>9.7692307692307683</v>
      </c>
      <c r="DN103" s="12">
        <f t="array" ref="DN103">INDEX(DM:DM,MIN(IF(ISNUMBER(DM103:DM299),ROW(DM103:DM299),"")))</f>
        <v>9.7692307692307683</v>
      </c>
      <c r="DO103" s="12">
        <f>IF('Données projet'!$A$166&gt;35,DO102+DN103-DW102,IF(A103&lt;'Données projet'!$A$166,$DL$205^A103,IF(A103='Données projet'!$A$166,'Données projet'!$B$166,DO102+DN103-DW102)))</f>
        <v>383.07692307692304</v>
      </c>
      <c r="DP103" s="17">
        <f>DO103*VLOOKUP('Données projet'!$B$14,Paramètres!$A$1:$I$89,3,0)*VLOOKUP('Données projet'!$B$14,Paramètres!$A$1:$I$89,5,0)</f>
        <v>184.26</v>
      </c>
      <c r="DQ103" s="13">
        <f t="shared" si="97"/>
        <v>46.268663575750054</v>
      </c>
      <c r="DR103" s="20">
        <f t="shared" si="70"/>
        <v>401.504089061098</v>
      </c>
      <c r="DS103" s="59">
        <f t="shared" si="71"/>
        <v>694.83742239443131</v>
      </c>
      <c r="DT103" s="59">
        <f ca="1">AVERAGE(OFFSET($DS$3,0,0,'Données projet'!$E$14+1,1))-AVERAGE(OFFSET($H$3,0,0,'Données projet'!$E$14+1,1))</f>
        <v>91.053246648097399</v>
      </c>
      <c r="DU103" s="59">
        <f t="shared" si="98"/>
        <v>64.716270355703955</v>
      </c>
      <c r="DV103" s="15">
        <f>IF(ISNA(VLOOKUP(A103,'Données projet'!$A$165:$I$185,3,0)),0,VLOOKUP(A103,'Données projet'!$A$165:$I$185,3,0))</f>
        <v>7</v>
      </c>
      <c r="DW103" s="15">
        <f>IF(ISNA(VLOOKUP(A103,'Données projet'!$A$165:$I$185,4,0)),0,VLOOKUP(A103,'Données projet'!$A$165:$I$185,4,0))</f>
        <v>34.615384615384613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>
        <f>EXP(-LN(2)/35)*EA102+(1-EXP(-LN(2)/35))/(LN(2)/35)*DW103*DX103*VLOOKUP('Données projet'!$B$14,Paramètres!$A$1:$I$89,3,0)*0.475*44/12</f>
        <v>0</v>
      </c>
      <c r="EB103" s="21">
        <f>EXP(-LN(2)/25)*EB102+(1-EXP(-LN(2)/25))/(LN(2)/25)*Calculateur!DW103*Calculateur!DY103*VLOOKUP('Données projet'!$B$14,Paramètres!$A$1:$I$89,3,0)*0.475*44/12</f>
        <v>0</v>
      </c>
      <c r="EC103" s="21">
        <f>EXP(-LN(2)/2)*EC102+(1-EXP(-LN(2)/2))/(LN(2)/2)*DW103*DZ103*VLOOKUP('Données projet'!$B$14,Paramètres!$A$1:$I$89,3,0)*0.475*44/12</f>
        <v>0</v>
      </c>
      <c r="ED103" s="22">
        <f t="shared" si="72"/>
        <v>0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553.99999999999955</v>
      </c>
      <c r="EK103" s="17">
        <f>EJ103*VLOOKUP('Données projet'!$B$15,Paramètres!$A$1:$I$89,3,0)*VLOOKUP('Données projet'!$B$15,Paramètres!$A$1:$I$89,5,0)</f>
        <v>331.29199999999975</v>
      </c>
      <c r="EL103" s="13">
        <f t="shared" si="99"/>
        <v>77.698110787752</v>
      </c>
      <c r="EM103" s="20">
        <f t="shared" si="73"/>
        <v>712.32444295533423</v>
      </c>
      <c r="EN103" s="59">
        <f t="shared" si="74"/>
        <v>1005.6577762886675</v>
      </c>
      <c r="EO103" s="59">
        <f ca="1">AVERAGE(OFFSET($EN$3,0,0,'Données projet'!$E$15+1,1))-AVERAGE(OFFSET($H$3,0,0,'Données projet'!$E$15+1,1))</f>
        <v>316.58509520829671</v>
      </c>
      <c r="EP103" s="59">
        <f t="shared" si="100"/>
        <v>240.71332110643596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>
        <f>EXP(-LN(2)/35)*EV102+(1-EXP(-LN(2)/35))/(LN(2)/35)*ER103*ES103*VLOOKUP('Données projet'!$B$15,Paramètres!$A$1:$I$89,3,0)*0.475*44/12</f>
        <v>0.63363682855183368</v>
      </c>
      <c r="EW103" s="21">
        <f>EXP(-LN(2)/25)*EW102+(1-EXP(-LN(2)/25))/(LN(2)/25)*Calculateur!ER103*Calculateur!ET103*VLOOKUP('Données projet'!$B$15,Paramètres!$A$1:$I$89,3,0)*0.475*44/12</f>
        <v>2.192280288520422</v>
      </c>
      <c r="EX103" s="21">
        <f>EXP(-LN(2)/2)*EX102+(1-EXP(-LN(2)/2))/(LN(2)/2)*ER103*EU103*VLOOKUP('Données projet'!$B$15,Paramètres!$A$1:$I$89,3,0)*0.475*44/12</f>
        <v>6.3851892104549646E-10</v>
      </c>
      <c r="EY103" s="22">
        <f t="shared" si="75"/>
        <v>2.8259171177107745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497</v>
      </c>
      <c r="FF103" s="17">
        <f>FE103*VLOOKUP('Données projet'!$B$16,Paramètres!$A$1:$I$89,3,0)*VLOOKUP('Données projet'!$B$16,Paramètres!$A$1:$I$89,5,0)</f>
        <v>297.20600000000002</v>
      </c>
      <c r="FG103" s="13">
        <f t="shared" si="101"/>
        <v>70.590415164571112</v>
      </c>
      <c r="FH103" s="20">
        <f t="shared" si="76"/>
        <v>640.57875641162809</v>
      </c>
      <c r="FI103" s="59">
        <f t="shared" si="77"/>
        <v>933.91208974496135</v>
      </c>
      <c r="FJ103" s="59">
        <f ca="1">AVERAGE(OFFSET($FI$3,0,0,'Données projet'!$E$16+1,1))-AVERAGE(OFFSET($H$3,0,0,'Données projet'!$E$16+1,1))</f>
        <v>270.30888762640245</v>
      </c>
      <c r="FK103" s="59">
        <f t="shared" si="102"/>
        <v>202.23783851977691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>
        <f>EXP(-LN(2)/35)*FQ102+(1-EXP(-LN(2)/35))/(LN(2)/35)*FM103*FN103*VLOOKUP('Données projet'!$B$16,Paramètres!$A$1:$I$89,3,0)*0.475*44/12</f>
        <v>0.53546774243816908</v>
      </c>
      <c r="FR103" s="21">
        <f>EXP(-LN(2)/25)*FR102+(1-EXP(-LN(2)/25))/(LN(2)/25)*Calculateur!FM103*Calculateur!FO103*VLOOKUP('Données projet'!$B$16,Paramètres!$A$1:$I$89,3,0)*0.475*44/12</f>
        <v>1.7654356752248812</v>
      </c>
      <c r="FS103" s="21">
        <f>EXP(-LN(2)/2)*FS102+(1-EXP(-LN(2)/2))/(LN(2)/2)*FM103*FP103*VLOOKUP('Données projet'!$B$16,Paramètres!$A$1:$I$89,3,0)*0.475*44/12</f>
        <v>5.3820574500314495E-10</v>
      </c>
      <c r="FT103" s="22">
        <f t="shared" si="78"/>
        <v>2.3009034182012562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-5.1159076974727213E-13</v>
      </c>
      <c r="GA103" s="17">
        <f>FZ103*VLOOKUP('Données projet'!$B$17,Paramètres!$A$1:$I$89,3,0)*VLOOKUP('Données projet'!$B$17,Paramètres!$A$1:$I$89,5,0)</f>
        <v>-4.0702161641092972E-13</v>
      </c>
      <c r="GB103" s="13" t="e">
        <f t="shared" si="103"/>
        <v>#NUM!</v>
      </c>
      <c r="GC103" s="20" t="e">
        <f t="shared" si="79"/>
        <v>#NUM!</v>
      </c>
      <c r="GD103" s="59" t="e">
        <f t="shared" si="80"/>
        <v>#NUM!</v>
      </c>
      <c r="GE103" s="59">
        <f ca="1">AVERAGE(OFFSET($GD$3,0,0,'Données projet'!$E$17+1,1))-AVERAGE(OFFSET($H$3,0,0,'Données projet'!$E$17+1,1))</f>
        <v>260.20517190557814</v>
      </c>
      <c r="GF103" s="59">
        <f t="shared" si="104"/>
        <v>307.22009971147133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>
        <f>EXP(-LN(2)/35)*GL102+(1-EXP(-LN(2)/35))/(LN(2)/35)*GH103*GI103*VLOOKUP('Données projet'!$B$17,Paramètres!$A$1:$I$89,3,0)*0.475*44/12</f>
        <v>0.81574759699457322</v>
      </c>
      <c r="GM103" s="21">
        <f>EXP(-LN(2)/25)*GM102+(1-EXP(-LN(2)/25))/(LN(2)/25)*Calculateur!GH103*Calculateur!GJ103*VLOOKUP('Données projet'!$B$17,Paramètres!$A$1:$I$89,3,0)*0.475*44/12</f>
        <v>2.9463542368958739</v>
      </c>
      <c r="GN103" s="21">
        <f>EXP(-LN(2)/2)*GN102+(1-EXP(-LN(2)/2))/(LN(2)/2)*GH103*GK103*VLOOKUP('Données projet'!$B$17,Paramètres!$A$1:$I$89,3,0)*0.475*44/12</f>
        <v>6.9962797723586224E-10</v>
      </c>
      <c r="GO103" s="21">
        <f t="shared" si="81"/>
        <v>3.7621018345900752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5.6843418860808015E-14</v>
      </c>
      <c r="GV103" s="17">
        <f>GU103*VLOOKUP('Données projet'!$B$18,Paramètres!$A$1:$I$89,3,0)*VLOOKUP('Données projet'!$B$18,Paramètres!$A$1:$I$89,5,0)</f>
        <v>4.5224624045658861E-14</v>
      </c>
      <c r="GW103" s="13">
        <f t="shared" si="105"/>
        <v>7.4514601661523691E-13</v>
      </c>
      <c r="GX103" s="20">
        <f t="shared" si="82"/>
        <v>1.3765621991510601E-12</v>
      </c>
      <c r="GY103" s="59">
        <f t="shared" si="83"/>
        <v>293.33333333333468</v>
      </c>
      <c r="GZ103" s="59">
        <f ca="1">AVERAGE(OFFSET($GY$3,0,0,'Données projet'!$E$18+1,1))-AVERAGE(OFFSET($H$3,0,0,'Données projet'!$E$18+1,1))</f>
        <v>199.58763537752952</v>
      </c>
      <c r="HA103" s="59">
        <f t="shared" si="106"/>
        <v>242.62852778451929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>
        <f>EXP(-LN(2)/35)*HG102+(1-EXP(-LN(2)/35))/(LN(2)/35)*HC103*HD103*VLOOKUP('Données projet'!$B$18,Paramètres!$A$1:$I$89,3,0)*0.475*44/12</f>
        <v>0</v>
      </c>
      <c r="HH103" s="21">
        <f>EXP(-LN(2)/25)*HH102+(1-EXP(-LN(2)/25))/(LN(2)/25)*Calculateur!HC103*Calculateur!HE103*VLOOKUP('Données projet'!$B$18,Paramètres!$A$1:$I$89,3,0)*0.475*44/12</f>
        <v>1.4765047693608229</v>
      </c>
      <c r="HI103" s="21">
        <f>EXP(-LN(2)/2)*HI102+(1-EXP(-LN(2)/2))/(LN(2)/2)*HC103*HF103*VLOOKUP('Données projet'!$B$18,Paramètres!$A$1:$I$89,3,0)*0.475*44/12</f>
        <v>3.1320257092652085E-10</v>
      </c>
      <c r="HJ103" s="22">
        <f t="shared" si="84"/>
        <v>1.4765047696740254</v>
      </c>
    </row>
    <row r="104" spans="1:218" x14ac:dyDescent="0.2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89.809200000000146</v>
      </c>
      <c r="D104" s="11">
        <f t="shared" si="86"/>
        <v>24.519202946196138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882.53504028642749</v>
      </c>
      <c r="H104" s="67">
        <f t="shared" si="56"/>
        <v>492.4553017979585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-2.2737367544323206E-13</v>
      </c>
      <c r="O104" s="13">
        <f>N104*VLOOKUP('Données projet'!$B$9,Paramètres!$A$1:$I$89,3,0)*VLOOKUP('Données projet'!$B$9,Paramètres!$A$1:$I$89,5,0)</f>
        <v>-1.2710188457276673E-13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255.5374979188561</v>
      </c>
      <c r="T104" s="59">
        <f t="shared" si="88"/>
        <v>343.10418468620901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0.75736175757307289</v>
      </c>
      <c r="AA104" s="21">
        <f>EXP(-LN(2)/25)*AA103+(1-EXP(-LN(2)/25))/(LN(2)/25)*Calculateur!V104*Calculateur!X104*VLOOKUP('Données projet'!$B$9,Paramètres!$A$1:$I$89,3,0)*0.475*44/12</f>
        <v>2.2290240308185232</v>
      </c>
      <c r="AB104" s="21">
        <f>EXP(-LN(2)/2)*AB103+(1-EXP(-LN(2)/2))/(LN(2)/2)*V104*Y104*VLOOKUP('Données projet'!$B$9,Paramètres!$A$1:$I$89,3,0)*0.475*44/12</f>
        <v>3.4833960339062641E-11</v>
      </c>
      <c r="AC104" s="22">
        <f t="shared" si="57"/>
        <v>2.9863857884264298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1.1368683772161603E-13</v>
      </c>
      <c r="AJ104" s="13">
        <f>AI104*VLOOKUP('Données projet'!$B$10,Paramètres!$A$1:$I$89,3,0)*VLOOKUP('Données projet'!$B$10,Paramètres!$A$1:$I$89,5,0)</f>
        <v>6.3550942286383367E-14</v>
      </c>
      <c r="AK104" s="13">
        <f t="shared" si="89"/>
        <v>1.0064464192543978E-12</v>
      </c>
      <c r="AL104" s="20">
        <f t="shared" si="58"/>
        <v>1.8635787380168604E-12</v>
      </c>
      <c r="AM104" s="59">
        <f t="shared" si="59"/>
        <v>293.33333333333519</v>
      </c>
      <c r="AN104" s="59">
        <f ca="1">AVERAGE(OFFSET($AM$3,0,0,'Données projet'!$E$10+1,1))-AVERAGE(OFFSET($H$3,0,0,'Données projet'!$E$10+1,1))</f>
        <v>224.7049802939942</v>
      </c>
      <c r="AO104" s="59">
        <f t="shared" si="90"/>
        <v>203.48513862195352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0.54685220354711939</v>
      </c>
      <c r="AV104" s="21">
        <f>EXP(-LN(2)/25)*AV103+(1-EXP(-LN(2)/25))/(LN(2)/25)*Calculateur!AQ104*Calculateur!AS104*VLOOKUP('Données projet'!$B$10,Paramètres!$A$1:$I$89,3,0)*0.475*44/12</f>
        <v>2.7268129367981468</v>
      </c>
      <c r="AW104" s="21">
        <f>EXP(-LN(2)/2)*AW103+(1-EXP(-LN(2)/2))/(LN(2)/2)*AQ104*AT104*VLOOKUP('Données projet'!$B$10,Paramètres!$A$1:$I$89,3,0)*0.475*44/12</f>
        <v>1.8440506906318153E-10</v>
      </c>
      <c r="AX104" s="21">
        <f t="shared" si="60"/>
        <v>3.2736651405296713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>
        <f>BD104*VLOOKUP('Données projet'!$B$11,Paramètres!$A$1:$I$89,3,0)*VLOOKUP('Données projet'!$B$11,Paramètres!$A$1:$I$89,5,0)</f>
        <v>0</v>
      </c>
      <c r="BF104" s="13" t="e">
        <f t="shared" si="91"/>
        <v>#NUM!</v>
      </c>
      <c r="BG104" s="20" t="e">
        <f t="shared" si="61"/>
        <v>#NUM!</v>
      </c>
      <c r="BH104" s="59" t="e">
        <f t="shared" si="62"/>
        <v>#NUM!</v>
      </c>
      <c r="BI104" s="59">
        <f ca="1">AVERAGE(OFFSET($BH$3,0,0,'Données projet'!$E$11+1,1))-AVERAGE(OFFSET($H$3,0,0,'Données projet'!$E$11+1,1))</f>
        <v>210.04871822652808</v>
      </c>
      <c r="BJ104" s="59">
        <f t="shared" si="92"/>
        <v>250.17540614049324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1.7894545936688318</v>
      </c>
      <c r="BQ104" s="21">
        <f>EXP(-LN(2)/25)*BQ103+(1-EXP(-LN(2)/25))/(LN(2)/25)*Calculateur!BL104*Calculateur!BN104*VLOOKUP('Données projet'!$B$11,Paramètres!$A$1:$I$89,3,0)*0.475*44/12</f>
        <v>3.8868622913688622</v>
      </c>
      <c r="BR104" s="21">
        <f>EXP(-LN(2)/2)*BR103+(1-EXP(-LN(2)/2))/(LN(2)/2)*BL104*BO104*VLOOKUP('Données projet'!$B$11,Paramètres!$A$1:$I$89,3,0)*0.475*44/12</f>
        <v>4.4356859542667346E-10</v>
      </c>
      <c r="BS104" s="22">
        <f t="shared" si="63"/>
        <v>5.6763168854812625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2.2737367544323206E-13</v>
      </c>
      <c r="BZ104" s="13">
        <f>BY104*VLOOKUP('Données projet'!$B$12,Paramètres!$A$1:$I$89,3,0)*VLOOKUP('Données projet'!$B$12,Paramètres!$A$1:$I$89,5,0)</f>
        <v>1.2414602679200471E-13</v>
      </c>
      <c r="CA104" s="13">
        <f t="shared" si="93"/>
        <v>1.8186582995804361E-12</v>
      </c>
      <c r="CB104" s="20">
        <f t="shared" si="64"/>
        <v>3.3837175350986671E-12</v>
      </c>
      <c r="CC104" s="59">
        <f t="shared" si="65"/>
        <v>293.33333333333672</v>
      </c>
      <c r="CD104" s="59">
        <f ca="1">AVERAGE(OFFSET($CC$3,0,0,'Données projet'!$E$12+1,1))-AVERAGE(OFFSET($H$3,0,0,'Données projet'!$E$12+1,1))</f>
        <v>168.72306536277267</v>
      </c>
      <c r="CE104" s="59">
        <f t="shared" si="94"/>
        <v>203.35476578922339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0.74560608069534651</v>
      </c>
      <c r="CL104" s="21">
        <f>EXP(-LN(2)/25)*CL103+(1-EXP(-LN(2)/25))/(LN(2)/25)*Calculateur!CG104*Calculateur!CI104*VLOOKUP('Données projet'!$B$12,Paramètres!$A$1:$I$89,3,0)*0.475*44/12</f>
        <v>3.2101086177615197</v>
      </c>
      <c r="CM104" s="21">
        <f>EXP(-LN(2)/2)*CM103+(1-EXP(-LN(2)/2))/(LN(2)/2)*CG104*CJ104*VLOOKUP('Données projet'!$B$12,Paramètres!$A$1:$I$89,3,0)*0.475*44/12</f>
        <v>4.1208106942703784E-10</v>
      </c>
      <c r="CN104" s="22">
        <f t="shared" si="66"/>
        <v>3.9557146988689471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34.000000000000014</v>
      </c>
      <c r="CT104" s="12">
        <f>IF('Données projet'!$A$140&gt;35,CT103+CS104-DB103,IF(A104&lt;'Données projet'!$A$140,$CQ$205^A104,IF(A104='Données projet'!$A$140,'Données projet'!$B$140,CT103+CS104-DB103)))</f>
        <v>980.15384615384517</v>
      </c>
      <c r="CU104" s="17">
        <f>CT104*VLOOKUP('Données projet'!$B$13,Paramètres!$A$1:$I$89,3,0)*VLOOKUP('Données projet'!$B$13,Paramètres!$A$1:$I$89,5,0)</f>
        <v>471.4539999999995</v>
      </c>
      <c r="CV104" s="13">
        <f t="shared" si="95"/>
        <v>106.12141992048088</v>
      </c>
      <c r="CW104" s="20">
        <f t="shared" si="67"/>
        <v>1005.9438563615032</v>
      </c>
      <c r="CX104" s="59">
        <f t="shared" si="68"/>
        <v>1299.2771896948366</v>
      </c>
      <c r="CY104" s="59">
        <f ca="1">AVERAGE(OFFSET($CX$3,0,0,'Données projet'!$E$13+1,1))-AVERAGE(OFFSET($H$3,0,0,'Données projet'!$E$13+1,1))</f>
        <v>304.15237106473313</v>
      </c>
      <c r="CZ104" s="59">
        <f t="shared" si="96"/>
        <v>120.85458928724336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>
        <f>EXP(-LN(2)/35)*DF103+(1-EXP(-LN(2)/35))/(LN(2)/35)*DB104*DC104*VLOOKUP('Données projet'!$B$13,Paramètres!$A$1:$I$89,3,0)*0.475*44/12</f>
        <v>0</v>
      </c>
      <c r="DG104" s="21">
        <f>EXP(-LN(2)/25)*DG103+(1-EXP(-LN(2)/25))/(LN(2)/25)*Calculateur!DB104*Calculateur!DD104*VLOOKUP('Données projet'!$B$13,Paramètres!$A$1:$I$89,3,0)*0.475*44/12</f>
        <v>0</v>
      </c>
      <c r="DH104" s="21">
        <f>EXP(-LN(2)/2)*DH103+(1-EXP(-LN(2)/2))/(LN(2)/2)*DB104*DE104*VLOOKUP('Données projet'!$B$13,Paramètres!$A$1:$I$89,3,0)*0.475*44/12</f>
        <v>0</v>
      </c>
      <c r="DI104" s="22">
        <f t="shared" si="69"/>
        <v>0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10.769230769230768</v>
      </c>
      <c r="DO104" s="12">
        <f>IF('Données projet'!$A$166&gt;35,DO103+DN104-DW103,IF(A104&lt;'Données projet'!$A$166,$DL$205^A104,IF(A104='Données projet'!$A$166,'Données projet'!$B$166,DO103+DN104-DW103)))</f>
        <v>359.23076923076917</v>
      </c>
      <c r="DP104" s="17">
        <f>DO104*VLOOKUP('Données projet'!$B$14,Paramètres!$A$1:$I$89,3,0)*VLOOKUP('Données projet'!$B$14,Paramètres!$A$1:$I$89,5,0)</f>
        <v>172.79</v>
      </c>
      <c r="DQ104" s="13">
        <f t="shared" si="97"/>
        <v>43.714297536926459</v>
      </c>
      <c r="DR104" s="20">
        <f t="shared" si="70"/>
        <v>377.07831821014685</v>
      </c>
      <c r="DS104" s="59">
        <f t="shared" si="71"/>
        <v>670.41165154348016</v>
      </c>
      <c r="DT104" s="59">
        <f ca="1">AVERAGE(OFFSET($DS$3,0,0,'Données projet'!$E$14+1,1))-AVERAGE(OFFSET($H$3,0,0,'Données projet'!$E$14+1,1))</f>
        <v>91.053246648097399</v>
      </c>
      <c r="DU104" s="59">
        <f t="shared" si="98"/>
        <v>64.716270355703955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>
        <f>EXP(-LN(2)/35)*EA103+(1-EXP(-LN(2)/35))/(LN(2)/35)*DW104*DX104*VLOOKUP('Données projet'!$B$14,Paramètres!$A$1:$I$89,3,0)*0.475*44/12</f>
        <v>0</v>
      </c>
      <c r="EB104" s="21">
        <f>EXP(-LN(2)/25)*EB103+(1-EXP(-LN(2)/25))/(LN(2)/25)*Calculateur!DW104*Calculateur!DY104*VLOOKUP('Données projet'!$B$14,Paramètres!$A$1:$I$89,3,0)*0.475*44/12</f>
        <v>0</v>
      </c>
      <c r="EC104" s="21">
        <f>EXP(-LN(2)/2)*EC103+(1-EXP(-LN(2)/2))/(LN(2)/2)*DW104*DZ104*VLOOKUP('Données projet'!$B$14,Paramètres!$A$1:$I$89,3,0)*0.475*44/12</f>
        <v>0</v>
      </c>
      <c r="ED104" s="22">
        <f t="shared" si="72"/>
        <v>0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553.99999999999955</v>
      </c>
      <c r="EK104" s="17">
        <f>EJ104*VLOOKUP('Données projet'!$B$15,Paramètres!$A$1:$I$89,3,0)*VLOOKUP('Données projet'!$B$15,Paramètres!$A$1:$I$89,5,0)</f>
        <v>331.29199999999975</v>
      </c>
      <c r="EL104" s="13">
        <f t="shared" si="99"/>
        <v>77.698110787752</v>
      </c>
      <c r="EM104" s="20">
        <f t="shared" si="73"/>
        <v>712.32444295533423</v>
      </c>
      <c r="EN104" s="59">
        <f t="shared" si="74"/>
        <v>1005.6577762886675</v>
      </c>
      <c r="EO104" s="59">
        <f ca="1">AVERAGE(OFFSET($EN$3,0,0,'Données projet'!$E$15+1,1))-AVERAGE(OFFSET($H$3,0,0,'Données projet'!$E$15+1,1))</f>
        <v>316.58509520829671</v>
      </c>
      <c r="EP104" s="59">
        <f t="shared" si="100"/>
        <v>240.71332110643596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>
        <f>EXP(-LN(2)/35)*EV103+(1-EXP(-LN(2)/35))/(LN(2)/35)*ER104*ES104*VLOOKUP('Données projet'!$B$15,Paramètres!$A$1:$I$89,3,0)*0.475*44/12</f>
        <v>0.62121159682423588</v>
      </c>
      <c r="EW104" s="21">
        <f>EXP(-LN(2)/25)*EW103+(1-EXP(-LN(2)/25))/(LN(2)/25)*Calculateur!ER104*Calculateur!ET104*VLOOKUP('Données projet'!$B$15,Paramètres!$A$1:$I$89,3,0)*0.475*44/12</f>
        <v>2.1323322687438213</v>
      </c>
      <c r="EX104" s="21">
        <f>EXP(-LN(2)/2)*EX103+(1-EXP(-LN(2)/2))/(LN(2)/2)*ER104*EU104*VLOOKUP('Données projet'!$B$15,Paramètres!$A$1:$I$89,3,0)*0.475*44/12</f>
        <v>4.5150105898718833E-10</v>
      </c>
      <c r="EY104" s="22">
        <f t="shared" si="75"/>
        <v>2.7535438660195584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497</v>
      </c>
      <c r="FF104" s="17">
        <f>FE104*VLOOKUP('Données projet'!$B$16,Paramètres!$A$1:$I$89,3,0)*VLOOKUP('Données projet'!$B$16,Paramètres!$A$1:$I$89,5,0)</f>
        <v>297.20600000000002</v>
      </c>
      <c r="FG104" s="13">
        <f t="shared" si="101"/>
        <v>70.590415164571112</v>
      </c>
      <c r="FH104" s="20">
        <f t="shared" si="76"/>
        <v>640.57875641162809</v>
      </c>
      <c r="FI104" s="59">
        <f t="shared" si="77"/>
        <v>933.91208974496135</v>
      </c>
      <c r="FJ104" s="59">
        <f ca="1">AVERAGE(OFFSET($FI$3,0,0,'Données projet'!$E$16+1,1))-AVERAGE(OFFSET($H$3,0,0,'Données projet'!$E$16+1,1))</f>
        <v>270.30888762640245</v>
      </c>
      <c r="FK104" s="59">
        <f t="shared" si="102"/>
        <v>202.23783851977691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>
        <f>EXP(-LN(2)/35)*FQ103+(1-EXP(-LN(2)/35))/(LN(2)/35)*FM104*FN104*VLOOKUP('Données projet'!$B$16,Paramètres!$A$1:$I$89,3,0)*0.475*44/12</f>
        <v>0.52496754661203004</v>
      </c>
      <c r="FR104" s="21">
        <f>EXP(-LN(2)/25)*FR103+(1-EXP(-LN(2)/25))/(LN(2)/25)*Calculateur!FM104*Calculateur!FO104*VLOOKUP('Données projet'!$B$16,Paramètres!$A$1:$I$89,3,0)*0.475*44/12</f>
        <v>1.7171597438456296</v>
      </c>
      <c r="FS104" s="21">
        <f>EXP(-LN(2)/2)*FS103+(1-EXP(-LN(2)/2))/(LN(2)/2)*FM104*FP104*VLOOKUP('Données projet'!$B$16,Paramètres!$A$1:$I$89,3,0)*0.475*44/12</f>
        <v>3.8056893196528162E-10</v>
      </c>
      <c r="FT104" s="22">
        <f t="shared" si="78"/>
        <v>2.2421272908382286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-5.1159076974727213E-13</v>
      </c>
      <c r="GA104" s="17">
        <f>FZ104*VLOOKUP('Données projet'!$B$17,Paramètres!$A$1:$I$89,3,0)*VLOOKUP('Données projet'!$B$17,Paramètres!$A$1:$I$89,5,0)</f>
        <v>-4.0702161641092972E-13</v>
      </c>
      <c r="GB104" s="13" t="e">
        <f t="shared" si="103"/>
        <v>#NUM!</v>
      </c>
      <c r="GC104" s="20" t="e">
        <f t="shared" si="79"/>
        <v>#NUM!</v>
      </c>
      <c r="GD104" s="59" t="e">
        <f t="shared" si="80"/>
        <v>#NUM!</v>
      </c>
      <c r="GE104" s="59">
        <f ca="1">AVERAGE(OFFSET($GD$3,0,0,'Données projet'!$E$17+1,1))-AVERAGE(OFFSET($H$3,0,0,'Données projet'!$E$17+1,1))</f>
        <v>260.20517190557814</v>
      </c>
      <c r="GF104" s="59">
        <f t="shared" si="104"/>
        <v>307.22009971147133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>
        <f>EXP(-LN(2)/35)*GL103+(1-EXP(-LN(2)/35))/(LN(2)/35)*GH104*GI104*VLOOKUP('Données projet'!$B$17,Paramètres!$A$1:$I$89,3,0)*0.475*44/12</f>
        <v>0.7997512841744141</v>
      </c>
      <c r="GM104" s="21">
        <f>EXP(-LN(2)/25)*GM103+(1-EXP(-LN(2)/25))/(LN(2)/25)*Calculateur!GH104*Calculateur!GJ104*VLOOKUP('Données projet'!$B$17,Paramètres!$A$1:$I$89,3,0)*0.475*44/12</f>
        <v>2.8657860253459209</v>
      </c>
      <c r="GN104" s="21">
        <f>EXP(-LN(2)/2)*GN103+(1-EXP(-LN(2)/2))/(LN(2)/2)*GH104*GK104*VLOOKUP('Données projet'!$B$17,Paramètres!$A$1:$I$89,3,0)*0.475*44/12</f>
        <v>4.9471168701130569E-10</v>
      </c>
      <c r="GO104" s="21">
        <f t="shared" si="81"/>
        <v>3.665537310015047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5.6843418860808015E-14</v>
      </c>
      <c r="GV104" s="17">
        <f>GU104*VLOOKUP('Données projet'!$B$18,Paramètres!$A$1:$I$89,3,0)*VLOOKUP('Données projet'!$B$18,Paramètres!$A$1:$I$89,5,0)</f>
        <v>4.5224624045658861E-14</v>
      </c>
      <c r="GW104" s="13">
        <f t="shared" si="105"/>
        <v>7.4514601661523691E-13</v>
      </c>
      <c r="GX104" s="20">
        <f t="shared" si="82"/>
        <v>1.3765621991510601E-12</v>
      </c>
      <c r="GY104" s="59">
        <f t="shared" si="83"/>
        <v>293.33333333333468</v>
      </c>
      <c r="GZ104" s="59">
        <f ca="1">AVERAGE(OFFSET($GY$3,0,0,'Données projet'!$E$18+1,1))-AVERAGE(OFFSET($H$3,0,0,'Données projet'!$E$18+1,1))</f>
        <v>199.58763537752952</v>
      </c>
      <c r="HA104" s="59">
        <f t="shared" si="106"/>
        <v>242.62852778451929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>
        <f>EXP(-LN(2)/35)*HG103+(1-EXP(-LN(2)/35))/(LN(2)/35)*HC104*HD104*VLOOKUP('Données projet'!$B$18,Paramètres!$A$1:$I$89,3,0)*0.475*44/12</f>
        <v>0</v>
      </c>
      <c r="HH104" s="21">
        <f>EXP(-LN(2)/25)*HH103+(1-EXP(-LN(2)/25))/(LN(2)/25)*Calculateur!HC104*Calculateur!HE104*VLOOKUP('Données projet'!$B$18,Paramètres!$A$1:$I$89,3,0)*0.475*44/12</f>
        <v>1.4361296687966398</v>
      </c>
      <c r="HI104" s="21">
        <f>EXP(-LN(2)/2)*HI103+(1-EXP(-LN(2)/2))/(LN(2)/2)*HC104*HF104*VLOOKUP('Données projet'!$B$18,Paramètres!$A$1:$I$89,3,0)*0.475*44/12</f>
        <v>2.2146766178720352E-10</v>
      </c>
      <c r="HJ104" s="22">
        <f t="shared" si="84"/>
        <v>1.4361296690181076</v>
      </c>
    </row>
    <row r="105" spans="1:218" x14ac:dyDescent="0.2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90.698400000000149</v>
      </c>
      <c r="D105" s="11">
        <f t="shared" si="86"/>
        <v>24.733586403594217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891.05393013300909</v>
      </c>
      <c r="H105" s="67">
        <f t="shared" si="56"/>
        <v>494.37737631959351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-2.2737367544323206E-13</v>
      </c>
      <c r="O105" s="13">
        <f>N105*VLOOKUP('Données projet'!$B$9,Paramètres!$A$1:$I$89,3,0)*VLOOKUP('Données projet'!$B$9,Paramètres!$A$1:$I$89,5,0)</f>
        <v>-1.2710188457276673E-13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255.5374979188561</v>
      </c>
      <c r="T105" s="59">
        <f t="shared" si="88"/>
        <v>343.10418468620901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0.74251035545212374</v>
      </c>
      <c r="AA105" s="21">
        <f>EXP(-LN(2)/25)*AA104+(1-EXP(-LN(2)/25))/(LN(2)/25)*Calculateur!V105*Calculateur!X105*VLOOKUP('Données projet'!$B$9,Paramètres!$A$1:$I$89,3,0)*0.475*44/12</f>
        <v>2.1680712514765115</v>
      </c>
      <c r="AB105" s="21">
        <f>EXP(-LN(2)/2)*AB104+(1-EXP(-LN(2)/2))/(LN(2)/2)*V105*Y105*VLOOKUP('Données projet'!$B$9,Paramètres!$A$1:$I$89,3,0)*0.475*44/12</f>
        <v>2.4631329571334442E-11</v>
      </c>
      <c r="AC105" s="22">
        <f t="shared" si="57"/>
        <v>2.9105816069532664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1.1368683772161603E-13</v>
      </c>
      <c r="AJ105" s="13">
        <f>AI105*VLOOKUP('Données projet'!$B$10,Paramètres!$A$1:$I$89,3,0)*VLOOKUP('Données projet'!$B$10,Paramètres!$A$1:$I$89,5,0)</f>
        <v>6.3550942286383367E-14</v>
      </c>
      <c r="AK105" s="13">
        <f t="shared" si="89"/>
        <v>1.0064464192543978E-12</v>
      </c>
      <c r="AL105" s="20">
        <f t="shared" si="58"/>
        <v>1.8635787380168604E-12</v>
      </c>
      <c r="AM105" s="59">
        <f t="shared" si="59"/>
        <v>293.33333333333519</v>
      </c>
      <c r="AN105" s="59">
        <f ca="1">AVERAGE(OFFSET($AM$3,0,0,'Données projet'!$E$10+1,1))-AVERAGE(OFFSET($H$3,0,0,'Données projet'!$E$10+1,1))</f>
        <v>224.7049802939942</v>
      </c>
      <c r="AO105" s="59">
        <f t="shared" si="90"/>
        <v>203.48513862195352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0.53612876538246956</v>
      </c>
      <c r="AV105" s="21">
        <f>EXP(-LN(2)/25)*AV104+(1-EXP(-LN(2)/25))/(LN(2)/25)*Calculateur!AQ105*Calculateur!AS105*VLOOKUP('Données projet'!$B$10,Paramètres!$A$1:$I$89,3,0)*0.475*44/12</f>
        <v>2.6522480936445412</v>
      </c>
      <c r="AW105" s="21">
        <f>EXP(-LN(2)/2)*AW104+(1-EXP(-LN(2)/2))/(LN(2)/2)*AQ105*AT105*VLOOKUP('Données projet'!$B$10,Paramètres!$A$1:$I$89,3,0)*0.475*44/12</f>
        <v>1.3039407481974929E-10</v>
      </c>
      <c r="AX105" s="21">
        <f t="shared" si="60"/>
        <v>3.1883768591574047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>
        <f>BD105*VLOOKUP('Données projet'!$B$11,Paramètres!$A$1:$I$89,3,0)*VLOOKUP('Données projet'!$B$11,Paramètres!$A$1:$I$89,5,0)</f>
        <v>0</v>
      </c>
      <c r="BF105" s="13" t="e">
        <f t="shared" si="91"/>
        <v>#NUM!</v>
      </c>
      <c r="BG105" s="20" t="e">
        <f t="shared" si="61"/>
        <v>#NUM!</v>
      </c>
      <c r="BH105" s="59" t="e">
        <f t="shared" si="62"/>
        <v>#NUM!</v>
      </c>
      <c r="BI105" s="59">
        <f ca="1">AVERAGE(OFFSET($BH$3,0,0,'Données projet'!$E$11+1,1))-AVERAGE(OFFSET($H$3,0,0,'Données projet'!$E$11+1,1))</f>
        <v>210.04871822652808</v>
      </c>
      <c r="BJ105" s="59">
        <f t="shared" si="92"/>
        <v>250.17540614049324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1.7543644805465155</v>
      </c>
      <c r="BQ105" s="21">
        <f>EXP(-LN(2)/25)*BQ104+(1-EXP(-LN(2)/25))/(LN(2)/25)*Calculateur!BL105*Calculateur!BN105*VLOOKUP('Données projet'!$B$11,Paramètres!$A$1:$I$89,3,0)*0.475*44/12</f>
        <v>3.7805758376101761</v>
      </c>
      <c r="BR105" s="21">
        <f>EXP(-LN(2)/2)*BR104+(1-EXP(-LN(2)/2))/(LN(2)/2)*BL105*BO105*VLOOKUP('Données projet'!$B$11,Paramètres!$A$1:$I$89,3,0)*0.475*44/12</f>
        <v>3.1365036174759301E-10</v>
      </c>
      <c r="BS105" s="22">
        <f t="shared" si="63"/>
        <v>5.5349403184703423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2.2737367544323206E-13</v>
      </c>
      <c r="BZ105" s="13">
        <f>BY105*VLOOKUP('Données projet'!$B$12,Paramètres!$A$1:$I$89,3,0)*VLOOKUP('Données projet'!$B$12,Paramètres!$A$1:$I$89,5,0)</f>
        <v>1.2414602679200471E-13</v>
      </c>
      <c r="CA105" s="13">
        <f t="shared" si="93"/>
        <v>1.8186582995804361E-12</v>
      </c>
      <c r="CB105" s="20">
        <f t="shared" si="64"/>
        <v>3.3837175350986671E-12</v>
      </c>
      <c r="CC105" s="59">
        <f t="shared" si="65"/>
        <v>293.33333333333672</v>
      </c>
      <c r="CD105" s="59">
        <f ca="1">AVERAGE(OFFSET($CC$3,0,0,'Données projet'!$E$12+1,1))-AVERAGE(OFFSET($H$3,0,0,'Données projet'!$E$12+1,1))</f>
        <v>168.72306536277267</v>
      </c>
      <c r="CE105" s="59">
        <f t="shared" si="94"/>
        <v>203.35476578922339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0.73098520022771474</v>
      </c>
      <c r="CL105" s="21">
        <f>EXP(-LN(2)/25)*CL104+(1-EXP(-LN(2)/25))/(LN(2)/25)*Calculateur!CG105*Calculateur!CI105*VLOOKUP('Données projet'!$B$12,Paramètres!$A$1:$I$89,3,0)*0.475*44/12</f>
        <v>3.1223280287965554</v>
      </c>
      <c r="CM105" s="21">
        <f>EXP(-LN(2)/2)*CM104+(1-EXP(-LN(2)/2))/(LN(2)/2)*CG105*CJ105*VLOOKUP('Données projet'!$B$12,Paramètres!$A$1:$I$89,3,0)*0.475*44/12</f>
        <v>2.9138531859046294E-10</v>
      </c>
      <c r="CN105" s="22">
        <f t="shared" si="66"/>
        <v>3.8533132293156553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34.000000000000014</v>
      </c>
      <c r="CT105" s="12">
        <f>IF('Données projet'!$A$140&gt;35,CT104+CS105-DB104,IF(A105&lt;'Données projet'!$A$140,$CQ$205^A105,IF(A105='Données projet'!$A$140,'Données projet'!$B$140,CT104+CS105-DB104)))</f>
        <v>1014.1538461538452</v>
      </c>
      <c r="CU105" s="17">
        <f>CT105*VLOOKUP('Données projet'!$B$13,Paramètres!$A$1:$I$89,3,0)*VLOOKUP('Données projet'!$B$13,Paramètres!$A$1:$I$89,5,0)</f>
        <v>487.80799999999954</v>
      </c>
      <c r="CV105" s="13">
        <f t="shared" si="95"/>
        <v>109.36763205092639</v>
      </c>
      <c r="CW105" s="20">
        <f t="shared" si="67"/>
        <v>1040.080892488696</v>
      </c>
      <c r="CX105" s="59">
        <f t="shared" si="68"/>
        <v>1333.4142258220293</v>
      </c>
      <c r="CY105" s="59">
        <f ca="1">AVERAGE(OFFSET($CX$3,0,0,'Données projet'!$E$13+1,1))-AVERAGE(OFFSET($H$3,0,0,'Données projet'!$E$13+1,1))</f>
        <v>304.15237106473313</v>
      </c>
      <c r="CZ105" s="59">
        <f t="shared" si="96"/>
        <v>120.85458928724336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>
        <f>EXP(-LN(2)/35)*DF104+(1-EXP(-LN(2)/35))/(LN(2)/35)*DB105*DC105*VLOOKUP('Données projet'!$B$13,Paramètres!$A$1:$I$89,3,0)*0.475*44/12</f>
        <v>0</v>
      </c>
      <c r="DG105" s="21">
        <f>EXP(-LN(2)/25)*DG104+(1-EXP(-LN(2)/25))/(LN(2)/25)*Calculateur!DB105*Calculateur!DD105*VLOOKUP('Données projet'!$B$13,Paramètres!$A$1:$I$89,3,0)*0.475*44/12</f>
        <v>0</v>
      </c>
      <c r="DH105" s="21">
        <f>EXP(-LN(2)/2)*DH104+(1-EXP(-LN(2)/2))/(LN(2)/2)*DB105*DE105*VLOOKUP('Données projet'!$B$13,Paramètres!$A$1:$I$89,3,0)*0.475*44/12</f>
        <v>0</v>
      </c>
      <c r="DI105" s="22">
        <f t="shared" si="69"/>
        <v>0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10.769230769230768</v>
      </c>
      <c r="DO105" s="12">
        <f>IF('Données projet'!$A$166&gt;35,DO104+DN105-DW104,IF(A105&lt;'Données projet'!$A$166,$DL$205^A105,IF(A105='Données projet'!$A$166,'Données projet'!$B$166,DO104+DN105-DW104)))</f>
        <v>369.99999999999994</v>
      </c>
      <c r="DP105" s="17">
        <f>DO105*VLOOKUP('Données projet'!$B$14,Paramètres!$A$1:$I$89,3,0)*VLOOKUP('Données projet'!$B$14,Paramètres!$A$1:$I$89,5,0)</f>
        <v>177.96999999999997</v>
      </c>
      <c r="DQ105" s="13">
        <f t="shared" si="97"/>
        <v>44.870250875643023</v>
      </c>
      <c r="DR105" s="20">
        <f t="shared" si="70"/>
        <v>388.11343694174485</v>
      </c>
      <c r="DS105" s="59">
        <f t="shared" si="71"/>
        <v>681.44677027507817</v>
      </c>
      <c r="DT105" s="59">
        <f ca="1">AVERAGE(OFFSET($DS$3,0,0,'Données projet'!$E$14+1,1))-AVERAGE(OFFSET($H$3,0,0,'Données projet'!$E$14+1,1))</f>
        <v>91.053246648097399</v>
      </c>
      <c r="DU105" s="59">
        <f t="shared" si="98"/>
        <v>64.716270355703955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>
        <f>EXP(-LN(2)/35)*EA104+(1-EXP(-LN(2)/35))/(LN(2)/35)*DW105*DX105*VLOOKUP('Données projet'!$B$14,Paramètres!$A$1:$I$89,3,0)*0.475*44/12</f>
        <v>0</v>
      </c>
      <c r="EB105" s="21">
        <f>EXP(-LN(2)/25)*EB104+(1-EXP(-LN(2)/25))/(LN(2)/25)*Calculateur!DW105*Calculateur!DY105*VLOOKUP('Données projet'!$B$14,Paramètres!$A$1:$I$89,3,0)*0.475*44/12</f>
        <v>0</v>
      </c>
      <c r="EC105" s="21">
        <f>EXP(-LN(2)/2)*EC104+(1-EXP(-LN(2)/2))/(LN(2)/2)*DW105*DZ105*VLOOKUP('Données projet'!$B$14,Paramètres!$A$1:$I$89,3,0)*0.475*44/12</f>
        <v>0</v>
      </c>
      <c r="ED105" s="22">
        <f t="shared" si="72"/>
        <v>0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553.99999999999955</v>
      </c>
      <c r="EK105" s="17">
        <f>EJ105*VLOOKUP('Données projet'!$B$15,Paramètres!$A$1:$I$89,3,0)*VLOOKUP('Données projet'!$B$15,Paramètres!$A$1:$I$89,5,0)</f>
        <v>331.29199999999975</v>
      </c>
      <c r="EL105" s="13">
        <f t="shared" si="99"/>
        <v>77.698110787752</v>
      </c>
      <c r="EM105" s="20">
        <f t="shared" si="73"/>
        <v>712.32444295533423</v>
      </c>
      <c r="EN105" s="59">
        <f t="shared" si="74"/>
        <v>1005.6577762886675</v>
      </c>
      <c r="EO105" s="59">
        <f ca="1">AVERAGE(OFFSET($EN$3,0,0,'Données projet'!$E$15+1,1))-AVERAGE(OFFSET($H$3,0,0,'Données projet'!$E$15+1,1))</f>
        <v>316.58509520829671</v>
      </c>
      <c r="EP105" s="59">
        <f t="shared" si="100"/>
        <v>240.71332110643596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>
        <f>EXP(-LN(2)/35)*EV104+(1-EXP(-LN(2)/35))/(LN(2)/35)*ER105*ES105*VLOOKUP('Données projet'!$B$15,Paramètres!$A$1:$I$89,3,0)*0.475*44/12</f>
        <v>0.60903001631217324</v>
      </c>
      <c r="EW105" s="21">
        <f>EXP(-LN(2)/25)*EW104+(1-EXP(-LN(2)/25))/(LN(2)/25)*Calculateur!ER105*Calculateur!ET105*VLOOKUP('Données projet'!$B$15,Paramètres!$A$1:$I$89,3,0)*0.475*44/12</f>
        <v>2.0740235307205408</v>
      </c>
      <c r="EX105" s="21">
        <f>EXP(-LN(2)/2)*EX104+(1-EXP(-LN(2)/2))/(LN(2)/2)*ER105*EU105*VLOOKUP('Données projet'!$B$15,Paramètres!$A$1:$I$89,3,0)*0.475*44/12</f>
        <v>3.1925946052274828E-10</v>
      </c>
      <c r="EY105" s="22">
        <f t="shared" si="75"/>
        <v>2.6830535473519732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497</v>
      </c>
      <c r="FF105" s="17">
        <f>FE105*VLOOKUP('Données projet'!$B$16,Paramètres!$A$1:$I$89,3,0)*VLOOKUP('Données projet'!$B$16,Paramètres!$A$1:$I$89,5,0)</f>
        <v>297.20600000000002</v>
      </c>
      <c r="FG105" s="13">
        <f t="shared" si="101"/>
        <v>70.590415164571112</v>
      </c>
      <c r="FH105" s="20">
        <f t="shared" si="76"/>
        <v>640.57875641162809</v>
      </c>
      <c r="FI105" s="59">
        <f t="shared" si="77"/>
        <v>933.91208974496135</v>
      </c>
      <c r="FJ105" s="59">
        <f ca="1">AVERAGE(OFFSET($FI$3,0,0,'Données projet'!$E$16+1,1))-AVERAGE(OFFSET($H$3,0,0,'Données projet'!$E$16+1,1))</f>
        <v>270.30888762640245</v>
      </c>
      <c r="FK105" s="59">
        <f t="shared" si="102"/>
        <v>202.23783851977691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>
        <f>EXP(-LN(2)/35)*FQ104+(1-EXP(-LN(2)/35))/(LN(2)/35)*FM105*FN105*VLOOKUP('Données projet'!$B$16,Paramètres!$A$1:$I$89,3,0)*0.475*44/12</f>
        <v>0.51467325322155455</v>
      </c>
      <c r="FR105" s="21">
        <f>EXP(-LN(2)/25)*FR104+(1-EXP(-LN(2)/25))/(LN(2)/25)*Calculateur!FM105*Calculateur!FO105*VLOOKUP('Données projet'!$B$16,Paramètres!$A$1:$I$89,3,0)*0.475*44/12</f>
        <v>1.6702039203486645</v>
      </c>
      <c r="FS105" s="21">
        <f>EXP(-LN(2)/2)*FS104+(1-EXP(-LN(2)/2))/(LN(2)/2)*FM105*FP105*VLOOKUP('Données projet'!$B$16,Paramètres!$A$1:$I$89,3,0)*0.475*44/12</f>
        <v>2.6910287250157248E-10</v>
      </c>
      <c r="FT105" s="22">
        <f t="shared" si="78"/>
        <v>2.1848771738393218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-5.1159076974727213E-13</v>
      </c>
      <c r="GA105" s="17">
        <f>FZ105*VLOOKUP('Données projet'!$B$17,Paramètres!$A$1:$I$89,3,0)*VLOOKUP('Données projet'!$B$17,Paramètres!$A$1:$I$89,5,0)</f>
        <v>-4.0702161641092972E-13</v>
      </c>
      <c r="GB105" s="13" t="e">
        <f t="shared" si="103"/>
        <v>#NUM!</v>
      </c>
      <c r="GC105" s="20" t="e">
        <f t="shared" si="79"/>
        <v>#NUM!</v>
      </c>
      <c r="GD105" s="59" t="e">
        <f t="shared" si="80"/>
        <v>#NUM!</v>
      </c>
      <c r="GE105" s="59">
        <f ca="1">AVERAGE(OFFSET($GD$3,0,0,'Données projet'!$E$17+1,1))-AVERAGE(OFFSET($H$3,0,0,'Données projet'!$E$17+1,1))</f>
        <v>260.20517190557814</v>
      </c>
      <c r="GF105" s="59">
        <f t="shared" si="104"/>
        <v>307.22009971147133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>
        <f>EXP(-LN(2)/35)*GL104+(1-EXP(-LN(2)/35))/(LN(2)/35)*GH105*GI105*VLOOKUP('Données projet'!$B$17,Paramètres!$A$1:$I$89,3,0)*0.475*44/12</f>
        <v>0.78406864929187092</v>
      </c>
      <c r="GM105" s="21">
        <f>EXP(-LN(2)/25)*GM104+(1-EXP(-LN(2)/25))/(LN(2)/25)*Calculateur!GH105*Calculateur!GJ105*VLOOKUP('Données projet'!$B$17,Paramètres!$A$1:$I$89,3,0)*0.475*44/12</f>
        <v>2.7874209557776992</v>
      </c>
      <c r="GN105" s="21">
        <f>EXP(-LN(2)/2)*GN104+(1-EXP(-LN(2)/2))/(LN(2)/2)*GH105*GK105*VLOOKUP('Données projet'!$B$17,Paramètres!$A$1:$I$89,3,0)*0.475*44/12</f>
        <v>3.4981398861793112E-10</v>
      </c>
      <c r="GO105" s="21">
        <f t="shared" si="81"/>
        <v>3.5714896054193841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5.6843418860808015E-14</v>
      </c>
      <c r="GV105" s="17">
        <f>GU105*VLOOKUP('Données projet'!$B$18,Paramètres!$A$1:$I$89,3,0)*VLOOKUP('Données projet'!$B$18,Paramètres!$A$1:$I$89,5,0)</f>
        <v>4.5224624045658861E-14</v>
      </c>
      <c r="GW105" s="13">
        <f t="shared" si="105"/>
        <v>7.4514601661523691E-13</v>
      </c>
      <c r="GX105" s="20">
        <f t="shared" si="82"/>
        <v>1.3765621991510601E-12</v>
      </c>
      <c r="GY105" s="59">
        <f t="shared" si="83"/>
        <v>293.33333333333468</v>
      </c>
      <c r="GZ105" s="59">
        <f ca="1">AVERAGE(OFFSET($GY$3,0,0,'Données projet'!$E$18+1,1))-AVERAGE(OFFSET($H$3,0,0,'Données projet'!$E$18+1,1))</f>
        <v>199.58763537752952</v>
      </c>
      <c r="HA105" s="59">
        <f t="shared" si="106"/>
        <v>242.62852778451929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>
        <f>EXP(-LN(2)/35)*HG104+(1-EXP(-LN(2)/35))/(LN(2)/35)*HC105*HD105*VLOOKUP('Données projet'!$B$18,Paramètres!$A$1:$I$89,3,0)*0.475*44/12</f>
        <v>0</v>
      </c>
      <c r="HH105" s="21">
        <f>EXP(-LN(2)/25)*HH104+(1-EXP(-LN(2)/25))/(LN(2)/25)*Calculateur!HC105*Calculateur!HE105*VLOOKUP('Données projet'!$B$18,Paramètres!$A$1:$I$89,3,0)*0.475*44/12</f>
        <v>1.3968586274806187</v>
      </c>
      <c r="HI105" s="21">
        <f>EXP(-LN(2)/2)*HI104+(1-EXP(-LN(2)/2))/(LN(2)/2)*HC105*HF105*VLOOKUP('Données projet'!$B$18,Paramètres!$A$1:$I$89,3,0)*0.475*44/12</f>
        <v>1.5660128546326043E-10</v>
      </c>
      <c r="HJ105" s="22">
        <f t="shared" si="84"/>
        <v>1.3968586276372199</v>
      </c>
    </row>
    <row r="106" spans="1:218" x14ac:dyDescent="0.2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91.587600000000151</v>
      </c>
      <c r="D106" s="11">
        <f t="shared" si="86"/>
        <v>24.947725347033305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899.5709325034162</v>
      </c>
      <c r="H106" s="67">
        <f t="shared" si="56"/>
        <v>496.29902497941657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-2.2737367544323206E-13</v>
      </c>
      <c r="O106" s="13">
        <f>N106*VLOOKUP('Données projet'!$B$9,Paramètres!$A$1:$I$89,3,0)*VLOOKUP('Données projet'!$B$9,Paramètres!$A$1:$I$89,5,0)</f>
        <v>-1.2710188457276673E-13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255.5374979188561</v>
      </c>
      <c r="T106" s="59">
        <f t="shared" si="88"/>
        <v>343.10418468620901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0.7279501802683056</v>
      </c>
      <c r="AA106" s="21">
        <f>EXP(-LN(2)/25)*AA105+(1-EXP(-LN(2)/25))/(LN(2)/25)*Calculateur!V106*Calculateur!X106*VLOOKUP('Données projet'!$B$9,Paramètres!$A$1:$I$89,3,0)*0.475*44/12</f>
        <v>2.1087852290909743</v>
      </c>
      <c r="AB106" s="21">
        <f>EXP(-LN(2)/2)*AB105+(1-EXP(-LN(2)/2))/(LN(2)/2)*V106*Y106*VLOOKUP('Données projet'!$B$9,Paramètres!$A$1:$I$89,3,0)*0.475*44/12</f>
        <v>1.741698016953132E-11</v>
      </c>
      <c r="AC106" s="22">
        <f t="shared" si="57"/>
        <v>2.836735409376697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1.1368683772161603E-13</v>
      </c>
      <c r="AJ106" s="13">
        <f>AI106*VLOOKUP('Données projet'!$B$10,Paramètres!$A$1:$I$89,3,0)*VLOOKUP('Données projet'!$B$10,Paramètres!$A$1:$I$89,5,0)</f>
        <v>6.3550942286383367E-14</v>
      </c>
      <c r="AK106" s="13">
        <f t="shared" si="89"/>
        <v>1.0064464192543978E-12</v>
      </c>
      <c r="AL106" s="20">
        <f t="shared" si="58"/>
        <v>1.8635787380168604E-12</v>
      </c>
      <c r="AM106" s="59">
        <f t="shared" si="59"/>
        <v>293.33333333333519</v>
      </c>
      <c r="AN106" s="59">
        <f ca="1">AVERAGE(OFFSET($AM$3,0,0,'Données projet'!$E$10+1,1))-AVERAGE(OFFSET($H$3,0,0,'Données projet'!$E$10+1,1))</f>
        <v>224.7049802939942</v>
      </c>
      <c r="AO106" s="59">
        <f t="shared" si="90"/>
        <v>203.48513862195352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0.52561560729957701</v>
      </c>
      <c r="AV106" s="21">
        <f>EXP(-LN(2)/25)*AV105+(1-EXP(-LN(2)/25))/(LN(2)/25)*Calculateur!AQ106*Calculateur!AS106*VLOOKUP('Données projet'!$B$10,Paramètres!$A$1:$I$89,3,0)*0.475*44/12</f>
        <v>2.5797222300481657</v>
      </c>
      <c r="AW106" s="21">
        <f>EXP(-LN(2)/2)*AW105+(1-EXP(-LN(2)/2))/(LN(2)/2)*AQ106*AT106*VLOOKUP('Données projet'!$B$10,Paramètres!$A$1:$I$89,3,0)*0.475*44/12</f>
        <v>9.2202534531590766E-11</v>
      </c>
      <c r="AX106" s="21">
        <f t="shared" si="60"/>
        <v>3.1053378374399454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>
        <f>BD106*VLOOKUP('Données projet'!$B$11,Paramètres!$A$1:$I$89,3,0)*VLOOKUP('Données projet'!$B$11,Paramètres!$A$1:$I$89,5,0)</f>
        <v>0</v>
      </c>
      <c r="BF106" s="13" t="e">
        <f t="shared" si="91"/>
        <v>#NUM!</v>
      </c>
      <c r="BG106" s="20" t="e">
        <f t="shared" si="61"/>
        <v>#NUM!</v>
      </c>
      <c r="BH106" s="59" t="e">
        <f t="shared" si="62"/>
        <v>#NUM!</v>
      </c>
      <c r="BI106" s="59">
        <f ca="1">AVERAGE(OFFSET($BH$3,0,0,'Données projet'!$E$11+1,1))-AVERAGE(OFFSET($H$3,0,0,'Données projet'!$E$11+1,1))</f>
        <v>210.04871822652808</v>
      </c>
      <c r="BJ106" s="59">
        <f t="shared" si="92"/>
        <v>250.17540614049324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1.7199624631396722</v>
      </c>
      <c r="BQ106" s="21">
        <f>EXP(-LN(2)/25)*BQ105+(1-EXP(-LN(2)/25))/(LN(2)/25)*Calculateur!BL106*Calculateur!BN106*VLOOKUP('Données projet'!$B$11,Paramètres!$A$1:$I$89,3,0)*0.475*44/12</f>
        <v>3.6771957925188832</v>
      </c>
      <c r="BR106" s="21">
        <f>EXP(-LN(2)/2)*BR105+(1-EXP(-LN(2)/2))/(LN(2)/2)*BL106*BO106*VLOOKUP('Données projet'!$B$11,Paramètres!$A$1:$I$89,3,0)*0.475*44/12</f>
        <v>2.2178429771333673E-10</v>
      </c>
      <c r="BS106" s="22">
        <f t="shared" si="63"/>
        <v>5.3971582558803393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2.2737367544323206E-13</v>
      </c>
      <c r="BZ106" s="13">
        <f>BY106*VLOOKUP('Données projet'!$B$12,Paramètres!$A$1:$I$89,3,0)*VLOOKUP('Données projet'!$B$12,Paramètres!$A$1:$I$89,5,0)</f>
        <v>1.2414602679200471E-13</v>
      </c>
      <c r="CA106" s="13">
        <f t="shared" si="93"/>
        <v>1.8186582995804361E-12</v>
      </c>
      <c r="CB106" s="20">
        <f t="shared" si="64"/>
        <v>3.3837175350986671E-12</v>
      </c>
      <c r="CC106" s="59">
        <f t="shared" si="65"/>
        <v>293.33333333333672</v>
      </c>
      <c r="CD106" s="59">
        <f ca="1">AVERAGE(OFFSET($CC$3,0,0,'Données projet'!$E$12+1,1))-AVERAGE(OFFSET($H$3,0,0,'Données projet'!$E$12+1,1))</f>
        <v>168.72306536277267</v>
      </c>
      <c r="CE106" s="59">
        <f t="shared" si="94"/>
        <v>203.35476578922339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0.71665102630819666</v>
      </c>
      <c r="CL106" s="21">
        <f>EXP(-LN(2)/25)*CL105+(1-EXP(-LN(2)/25))/(LN(2)/25)*Calculateur!CG106*Calculateur!CI106*VLOOKUP('Données projet'!$B$12,Paramètres!$A$1:$I$89,3,0)*0.475*44/12</f>
        <v>3.0369478046530185</v>
      </c>
      <c r="CM106" s="21">
        <f>EXP(-LN(2)/2)*CM105+(1-EXP(-LN(2)/2))/(LN(2)/2)*CG106*CJ106*VLOOKUP('Données projet'!$B$12,Paramètres!$A$1:$I$89,3,0)*0.475*44/12</f>
        <v>2.0604053471351892E-10</v>
      </c>
      <c r="CN106" s="22">
        <f t="shared" si="66"/>
        <v>3.7535988311672557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34.000000000000014</v>
      </c>
      <c r="CT106" s="12">
        <f>IF('Données projet'!$A$140&gt;35,CT105+CS106-DB105,IF(A106&lt;'Données projet'!$A$140,$CQ$205^A106,IF(A106='Données projet'!$A$140,'Données projet'!$B$140,CT105+CS106-DB105)))</f>
        <v>1048.1538461538453</v>
      </c>
      <c r="CU106" s="17">
        <f>CT106*VLOOKUP('Données projet'!$B$13,Paramètres!$A$1:$I$89,3,0)*VLOOKUP('Données projet'!$B$13,Paramètres!$A$1:$I$89,5,0)</f>
        <v>504.16199999999964</v>
      </c>
      <c r="CV106" s="13">
        <f t="shared" si="95"/>
        <v>112.6011984546378</v>
      </c>
      <c r="CW106" s="20">
        <f t="shared" si="67"/>
        <v>1074.1959039751603</v>
      </c>
      <c r="CX106" s="59">
        <f t="shared" si="68"/>
        <v>1367.5292373084935</v>
      </c>
      <c r="CY106" s="59">
        <f ca="1">AVERAGE(OFFSET($CX$3,0,0,'Données projet'!$E$13+1,1))-AVERAGE(OFFSET($H$3,0,0,'Données projet'!$E$13+1,1))</f>
        <v>304.15237106473313</v>
      </c>
      <c r="CZ106" s="59">
        <f t="shared" si="96"/>
        <v>120.85458928724336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>
        <f>EXP(-LN(2)/35)*DF105+(1-EXP(-LN(2)/35))/(LN(2)/35)*DB106*DC106*VLOOKUP('Données projet'!$B$13,Paramètres!$A$1:$I$89,3,0)*0.475*44/12</f>
        <v>0</v>
      </c>
      <c r="DG106" s="21">
        <f>EXP(-LN(2)/25)*DG105+(1-EXP(-LN(2)/25))/(LN(2)/25)*Calculateur!DB106*Calculateur!DD106*VLOOKUP('Données projet'!$B$13,Paramètres!$A$1:$I$89,3,0)*0.475*44/12</f>
        <v>0</v>
      </c>
      <c r="DH106" s="21">
        <f>EXP(-LN(2)/2)*DH105+(1-EXP(-LN(2)/2))/(LN(2)/2)*DB106*DE106*VLOOKUP('Données projet'!$B$13,Paramètres!$A$1:$I$89,3,0)*0.475*44/12</f>
        <v>0</v>
      </c>
      <c r="DI106" s="22">
        <f t="shared" si="69"/>
        <v>0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10.769230769230768</v>
      </c>
      <c r="DO106" s="12">
        <f>IF('Données projet'!$A$166&gt;35,DO105+DN106-DW105,IF(A106&lt;'Données projet'!$A$166,$DL$205^A106,IF(A106='Données projet'!$A$166,'Données projet'!$B$166,DO105+DN106-DW105)))</f>
        <v>380.76923076923072</v>
      </c>
      <c r="DP106" s="17">
        <f>DO106*VLOOKUP('Données projet'!$B$14,Paramètres!$A$1:$I$89,3,0)*VLOOKUP('Données projet'!$B$14,Paramètres!$A$1:$I$89,5,0)</f>
        <v>183.14999999999998</v>
      </c>
      <c r="DQ106" s="13">
        <f t="shared" si="97"/>
        <v>46.022293954989202</v>
      </c>
      <c r="DR106" s="20">
        <f t="shared" si="70"/>
        <v>399.14174530493943</v>
      </c>
      <c r="DS106" s="59">
        <f t="shared" si="71"/>
        <v>692.47507863827275</v>
      </c>
      <c r="DT106" s="59">
        <f ca="1">AVERAGE(OFFSET($DS$3,0,0,'Données projet'!$E$14+1,1))-AVERAGE(OFFSET($H$3,0,0,'Données projet'!$E$14+1,1))</f>
        <v>91.053246648097399</v>
      </c>
      <c r="DU106" s="59">
        <f t="shared" si="98"/>
        <v>64.716270355703955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>
        <f>EXP(-LN(2)/35)*EA105+(1-EXP(-LN(2)/35))/(LN(2)/35)*DW106*DX106*VLOOKUP('Données projet'!$B$14,Paramètres!$A$1:$I$89,3,0)*0.475*44/12</f>
        <v>0</v>
      </c>
      <c r="EB106" s="21">
        <f>EXP(-LN(2)/25)*EB105+(1-EXP(-LN(2)/25))/(LN(2)/25)*Calculateur!DW106*Calculateur!DY106*VLOOKUP('Données projet'!$B$14,Paramètres!$A$1:$I$89,3,0)*0.475*44/12</f>
        <v>0</v>
      </c>
      <c r="EC106" s="21">
        <f>EXP(-LN(2)/2)*EC105+(1-EXP(-LN(2)/2))/(LN(2)/2)*DW106*DZ106*VLOOKUP('Données projet'!$B$14,Paramètres!$A$1:$I$89,3,0)*0.475*44/12</f>
        <v>0</v>
      </c>
      <c r="ED106" s="22">
        <f t="shared" si="72"/>
        <v>0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553.99999999999955</v>
      </c>
      <c r="EK106" s="17">
        <f>EJ106*VLOOKUP('Données projet'!$B$15,Paramètres!$A$1:$I$89,3,0)*VLOOKUP('Données projet'!$B$15,Paramètres!$A$1:$I$89,5,0)</f>
        <v>331.29199999999975</v>
      </c>
      <c r="EL106" s="13">
        <f t="shared" si="99"/>
        <v>77.698110787752</v>
      </c>
      <c r="EM106" s="20">
        <f t="shared" si="73"/>
        <v>712.32444295533423</v>
      </c>
      <c r="EN106" s="59">
        <f t="shared" si="74"/>
        <v>1005.6577762886675</v>
      </c>
      <c r="EO106" s="59">
        <f ca="1">AVERAGE(OFFSET($EN$3,0,0,'Données projet'!$E$15+1,1))-AVERAGE(OFFSET($H$3,0,0,'Données projet'!$E$15+1,1))</f>
        <v>316.58509520829671</v>
      </c>
      <c r="EP106" s="59">
        <f t="shared" si="100"/>
        <v>240.71332110643596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>
        <f>EXP(-LN(2)/35)*EV105+(1-EXP(-LN(2)/35))/(LN(2)/35)*ER106*ES106*VLOOKUP('Données projet'!$B$15,Paramètres!$A$1:$I$89,3,0)*0.475*44/12</f>
        <v>0.59708730916392172</v>
      </c>
      <c r="EW106" s="21">
        <f>EXP(-LN(2)/25)*EW105+(1-EXP(-LN(2)/25))/(LN(2)/25)*Calculateur!ER106*Calculateur!ET106*VLOOKUP('Données projet'!$B$15,Paramètres!$A$1:$I$89,3,0)*0.475*44/12</f>
        <v>2.0173092482048305</v>
      </c>
      <c r="EX106" s="21">
        <f>EXP(-LN(2)/2)*EX105+(1-EXP(-LN(2)/2))/(LN(2)/2)*ER106*EU106*VLOOKUP('Données projet'!$B$15,Paramètres!$A$1:$I$89,3,0)*0.475*44/12</f>
        <v>2.2575052949359419E-10</v>
      </c>
      <c r="EY106" s="22">
        <f t="shared" si="75"/>
        <v>2.6143965575945027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497</v>
      </c>
      <c r="FF106" s="17">
        <f>FE106*VLOOKUP('Données projet'!$B$16,Paramètres!$A$1:$I$89,3,0)*VLOOKUP('Données projet'!$B$16,Paramètres!$A$1:$I$89,5,0)</f>
        <v>297.20600000000002</v>
      </c>
      <c r="FG106" s="13">
        <f t="shared" si="101"/>
        <v>70.590415164571112</v>
      </c>
      <c r="FH106" s="20">
        <f t="shared" si="76"/>
        <v>640.57875641162809</v>
      </c>
      <c r="FI106" s="59">
        <f t="shared" si="77"/>
        <v>933.91208974496135</v>
      </c>
      <c r="FJ106" s="59">
        <f ca="1">AVERAGE(OFFSET($FI$3,0,0,'Données projet'!$E$16+1,1))-AVERAGE(OFFSET($H$3,0,0,'Données projet'!$E$16+1,1))</f>
        <v>270.30888762640245</v>
      </c>
      <c r="FK106" s="59">
        <f t="shared" si="102"/>
        <v>202.23783851977691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>
        <f>EXP(-LN(2)/35)*FQ105+(1-EXP(-LN(2)/35))/(LN(2)/35)*FM106*FN106*VLOOKUP('Données projet'!$B$16,Paramètres!$A$1:$I$89,3,0)*0.475*44/12</f>
        <v>0.50458082464556731</v>
      </c>
      <c r="FR106" s="21">
        <f>EXP(-LN(2)/25)*FR105+(1-EXP(-LN(2)/25))/(LN(2)/25)*Calculateur!FM106*Calculateur!FO106*VLOOKUP('Données projet'!$B$16,Paramètres!$A$1:$I$89,3,0)*0.475*44/12</f>
        <v>1.6245321063145235</v>
      </c>
      <c r="FS106" s="21">
        <f>EXP(-LN(2)/2)*FS105+(1-EXP(-LN(2)/2))/(LN(2)/2)*FM106*FP106*VLOOKUP('Données projet'!$B$16,Paramètres!$A$1:$I$89,3,0)*0.475*44/12</f>
        <v>1.9028446598264081E-10</v>
      </c>
      <c r="FT106" s="22">
        <f t="shared" si="78"/>
        <v>2.1291129311503756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-5.1159076974727213E-13</v>
      </c>
      <c r="GA106" s="17">
        <f>FZ106*VLOOKUP('Données projet'!$B$17,Paramètres!$A$1:$I$89,3,0)*VLOOKUP('Données projet'!$B$17,Paramètres!$A$1:$I$89,5,0)</f>
        <v>-4.0702161641092972E-13</v>
      </c>
      <c r="GB106" s="13" t="e">
        <f t="shared" si="103"/>
        <v>#NUM!</v>
      </c>
      <c r="GC106" s="20" t="e">
        <f t="shared" si="79"/>
        <v>#NUM!</v>
      </c>
      <c r="GD106" s="59" t="e">
        <f t="shared" si="80"/>
        <v>#NUM!</v>
      </c>
      <c r="GE106" s="59">
        <f ca="1">AVERAGE(OFFSET($GD$3,0,0,'Données projet'!$E$17+1,1))-AVERAGE(OFFSET($H$3,0,0,'Données projet'!$E$17+1,1))</f>
        <v>260.20517190557814</v>
      </c>
      <c r="GF106" s="59">
        <f t="shared" si="104"/>
        <v>307.22009971147133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>
        <f>EXP(-LN(2)/35)*GL105+(1-EXP(-LN(2)/35))/(LN(2)/35)*GH106*GI106*VLOOKUP('Données projet'!$B$17,Paramètres!$A$1:$I$89,3,0)*0.475*44/12</f>
        <v>0.76869354131391165</v>
      </c>
      <c r="GM106" s="21">
        <f>EXP(-LN(2)/25)*GM105+(1-EXP(-LN(2)/25))/(LN(2)/25)*Calculateur!GH106*Calculateur!GJ106*VLOOKUP('Données projet'!$B$17,Paramètres!$A$1:$I$89,3,0)*0.475*44/12</f>
        <v>2.7111987831578608</v>
      </c>
      <c r="GN106" s="21">
        <f>EXP(-LN(2)/2)*GN105+(1-EXP(-LN(2)/2))/(LN(2)/2)*GH106*GK106*VLOOKUP('Données projet'!$B$17,Paramètres!$A$1:$I$89,3,0)*0.475*44/12</f>
        <v>2.4735584350565284E-10</v>
      </c>
      <c r="GO106" s="21">
        <f t="shared" si="81"/>
        <v>3.4798923247191285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5.6843418860808015E-14</v>
      </c>
      <c r="GV106" s="17">
        <f>GU106*VLOOKUP('Données projet'!$B$18,Paramètres!$A$1:$I$89,3,0)*VLOOKUP('Données projet'!$B$18,Paramètres!$A$1:$I$89,5,0)</f>
        <v>4.5224624045658861E-14</v>
      </c>
      <c r="GW106" s="13">
        <f t="shared" si="105"/>
        <v>7.4514601661523691E-13</v>
      </c>
      <c r="GX106" s="20">
        <f t="shared" si="82"/>
        <v>1.3765621991510601E-12</v>
      </c>
      <c r="GY106" s="59">
        <f t="shared" si="83"/>
        <v>293.33333333333468</v>
      </c>
      <c r="GZ106" s="59">
        <f ca="1">AVERAGE(OFFSET($GY$3,0,0,'Données projet'!$E$18+1,1))-AVERAGE(OFFSET($H$3,0,0,'Données projet'!$E$18+1,1))</f>
        <v>199.58763537752952</v>
      </c>
      <c r="HA106" s="59">
        <f t="shared" si="106"/>
        <v>242.62852778451929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>
        <f>EXP(-LN(2)/35)*HG105+(1-EXP(-LN(2)/35))/(LN(2)/35)*HC106*HD106*VLOOKUP('Données projet'!$B$18,Paramètres!$A$1:$I$89,3,0)*0.475*44/12</f>
        <v>0</v>
      </c>
      <c r="HH106" s="21">
        <f>EXP(-LN(2)/25)*HH105+(1-EXP(-LN(2)/25))/(LN(2)/25)*Calculateur!HC106*Calculateur!HE106*VLOOKUP('Données projet'!$B$18,Paramètres!$A$1:$I$89,3,0)*0.475*44/12</f>
        <v>1.3586614548545586</v>
      </c>
      <c r="HI106" s="21">
        <f>EXP(-LN(2)/2)*HI105+(1-EXP(-LN(2)/2))/(LN(2)/2)*HC106*HF106*VLOOKUP('Données projet'!$B$18,Paramètres!$A$1:$I$89,3,0)*0.475*44/12</f>
        <v>1.1073383089360176E-10</v>
      </c>
      <c r="HJ106" s="22">
        <f t="shared" si="84"/>
        <v>1.3586614549652924</v>
      </c>
    </row>
    <row r="107" spans="1:218" x14ac:dyDescent="0.2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92.476800000000154</v>
      </c>
      <c r="D107" s="11">
        <f t="shared" si="86"/>
        <v>25.161622425346469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908.08606784478104</v>
      </c>
      <c r="H107" s="67">
        <f t="shared" si="56"/>
        <v>498.22025239081199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-2.2737367544323206E-13</v>
      </c>
      <c r="O107" s="13">
        <f>N107*VLOOKUP('Données projet'!$B$9,Paramètres!$A$1:$I$89,3,0)*VLOOKUP('Données projet'!$B$9,Paramètres!$A$1:$I$89,5,0)</f>
        <v>-1.2710188457276673E-13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255.5374979188561</v>
      </c>
      <c r="T107" s="59">
        <f t="shared" si="88"/>
        <v>343.10418468620901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0.71367552123901212</v>
      </c>
      <c r="AA107" s="21">
        <f>EXP(-LN(2)/25)*AA106+(1-EXP(-LN(2)/25))/(LN(2)/25)*Calculateur!V107*Calculateur!X107*VLOOKUP('Données projet'!$B$9,Paramètres!$A$1:$I$89,3,0)*0.475*44/12</f>
        <v>2.051120386105286</v>
      </c>
      <c r="AB107" s="21">
        <f>EXP(-LN(2)/2)*AB106+(1-EXP(-LN(2)/2))/(LN(2)/2)*V107*Y107*VLOOKUP('Données projet'!$B$9,Paramètres!$A$1:$I$89,3,0)*0.475*44/12</f>
        <v>1.2315664785667221E-11</v>
      </c>
      <c r="AC107" s="22">
        <f t="shared" si="57"/>
        <v>2.7647959073566137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1.1368683772161603E-13</v>
      </c>
      <c r="AJ107" s="13">
        <f>AI107*VLOOKUP('Données projet'!$B$10,Paramètres!$A$1:$I$89,3,0)*VLOOKUP('Données projet'!$B$10,Paramètres!$A$1:$I$89,5,0)</f>
        <v>6.3550942286383367E-14</v>
      </c>
      <c r="AK107" s="13">
        <f t="shared" si="89"/>
        <v>1.0064464192543978E-12</v>
      </c>
      <c r="AL107" s="20">
        <f t="shared" si="58"/>
        <v>1.8635787380168604E-12</v>
      </c>
      <c r="AM107" s="59">
        <f t="shared" si="59"/>
        <v>293.33333333333519</v>
      </c>
      <c r="AN107" s="59">
        <f ca="1">AVERAGE(OFFSET($AM$3,0,0,'Données projet'!$E$10+1,1))-AVERAGE(OFFSET($H$3,0,0,'Données projet'!$E$10+1,1))</f>
        <v>224.7049802939942</v>
      </c>
      <c r="AO107" s="59">
        <f t="shared" si="90"/>
        <v>203.48513862195352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0.51530860583429672</v>
      </c>
      <c r="AV107" s="21">
        <f>EXP(-LN(2)/25)*AV106+(1-EXP(-LN(2)/25))/(LN(2)/25)*Calculateur!AQ107*Calculateur!AS107*VLOOKUP('Données projet'!$B$10,Paramètres!$A$1:$I$89,3,0)*0.475*44/12</f>
        <v>2.5091795900058025</v>
      </c>
      <c r="AW107" s="21">
        <f>EXP(-LN(2)/2)*AW106+(1-EXP(-LN(2)/2))/(LN(2)/2)*AQ107*AT107*VLOOKUP('Données projet'!$B$10,Paramètres!$A$1:$I$89,3,0)*0.475*44/12</f>
        <v>6.5197037409874644E-11</v>
      </c>
      <c r="AX107" s="21">
        <f t="shared" si="60"/>
        <v>3.0244881959052963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>
        <f>BD107*VLOOKUP('Données projet'!$B$11,Paramètres!$A$1:$I$89,3,0)*VLOOKUP('Données projet'!$B$11,Paramètres!$A$1:$I$89,5,0)</f>
        <v>0</v>
      </c>
      <c r="BF107" s="13" t="e">
        <f t="shared" si="91"/>
        <v>#NUM!</v>
      </c>
      <c r="BG107" s="20" t="e">
        <f t="shared" si="61"/>
        <v>#NUM!</v>
      </c>
      <c r="BH107" s="59" t="e">
        <f t="shared" si="62"/>
        <v>#NUM!</v>
      </c>
      <c r="BI107" s="59">
        <f ca="1">AVERAGE(OFFSET($BH$3,0,0,'Données projet'!$E$11+1,1))-AVERAGE(OFFSET($H$3,0,0,'Données projet'!$E$11+1,1))</f>
        <v>210.04871822652808</v>
      </c>
      <c r="BJ107" s="59">
        <f t="shared" si="92"/>
        <v>250.17540614049324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1.6862350483110182</v>
      </c>
      <c r="BQ107" s="21">
        <f>EXP(-LN(2)/25)*BQ106+(1-EXP(-LN(2)/25))/(LN(2)/25)*Calculateur!BL107*Calculateur!BN107*VLOOKUP('Données projet'!$B$11,Paramètres!$A$1:$I$89,3,0)*0.475*44/12</f>
        <v>3.5766426801971321</v>
      </c>
      <c r="BR107" s="21">
        <f>EXP(-LN(2)/2)*BR106+(1-EXP(-LN(2)/2))/(LN(2)/2)*BL107*BO107*VLOOKUP('Données projet'!$B$11,Paramètres!$A$1:$I$89,3,0)*0.475*44/12</f>
        <v>1.568251808737965E-10</v>
      </c>
      <c r="BS107" s="22">
        <f t="shared" si="63"/>
        <v>5.2628777286649751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2.2737367544323206E-13</v>
      </c>
      <c r="BZ107" s="13">
        <f>BY107*VLOOKUP('Données projet'!$B$12,Paramètres!$A$1:$I$89,3,0)*VLOOKUP('Données projet'!$B$12,Paramètres!$A$1:$I$89,5,0)</f>
        <v>1.2414602679200471E-13</v>
      </c>
      <c r="CA107" s="13">
        <f t="shared" si="93"/>
        <v>1.8186582995804361E-12</v>
      </c>
      <c r="CB107" s="20">
        <f t="shared" si="64"/>
        <v>3.3837175350986671E-12</v>
      </c>
      <c r="CC107" s="59">
        <f t="shared" si="65"/>
        <v>293.33333333333672</v>
      </c>
      <c r="CD107" s="59">
        <f ca="1">AVERAGE(OFFSET($CC$3,0,0,'Données projet'!$E$12+1,1))-AVERAGE(OFFSET($H$3,0,0,'Données projet'!$E$12+1,1))</f>
        <v>168.72306536277267</v>
      </c>
      <c r="CE107" s="59">
        <f t="shared" si="94"/>
        <v>203.35476578922339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0.70259793679625759</v>
      </c>
      <c r="CL107" s="21">
        <f>EXP(-LN(2)/25)*CL106+(1-EXP(-LN(2)/25))/(LN(2)/25)*Calculateur!CG107*Calculateur!CI107*VLOOKUP('Données projet'!$B$12,Paramètres!$A$1:$I$89,3,0)*0.475*44/12</f>
        <v>2.9539023072286379</v>
      </c>
      <c r="CM107" s="21">
        <f>EXP(-LN(2)/2)*CM106+(1-EXP(-LN(2)/2))/(LN(2)/2)*CG107*CJ107*VLOOKUP('Données projet'!$B$12,Paramètres!$A$1:$I$89,3,0)*0.475*44/12</f>
        <v>1.4569265929523147E-10</v>
      </c>
      <c r="CN107" s="22">
        <f t="shared" si="66"/>
        <v>3.6565002441705885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34.000000000000014</v>
      </c>
      <c r="CT107" s="12">
        <f>IF('Données projet'!$A$140&gt;35,CT106+CS107-DB106,IF(A107&lt;'Données projet'!$A$140,$CQ$205^A107,IF(A107='Données projet'!$A$140,'Données projet'!$B$140,CT106+CS107-DB106)))</f>
        <v>1082.1538461538453</v>
      </c>
      <c r="CU107" s="17">
        <f>CT107*VLOOKUP('Données projet'!$B$13,Paramètres!$A$1:$I$89,3,0)*VLOOKUP('Données projet'!$B$13,Paramètres!$A$1:$I$89,5,0)</f>
        <v>520.51599999999962</v>
      </c>
      <c r="CV107" s="13">
        <f t="shared" si="95"/>
        <v>115.82257638035857</v>
      </c>
      <c r="CW107" s="20">
        <f t="shared" si="67"/>
        <v>1108.2896871957905</v>
      </c>
      <c r="CX107" s="59">
        <f t="shared" si="68"/>
        <v>1401.6230205291238</v>
      </c>
      <c r="CY107" s="59">
        <f ca="1">AVERAGE(OFFSET($CX$3,0,0,'Données projet'!$E$13+1,1))-AVERAGE(OFFSET($H$3,0,0,'Données projet'!$E$13+1,1))</f>
        <v>304.15237106473313</v>
      </c>
      <c r="CZ107" s="59">
        <f t="shared" si="96"/>
        <v>120.85458928724336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>
        <f>EXP(-LN(2)/35)*DF106+(1-EXP(-LN(2)/35))/(LN(2)/35)*DB107*DC107*VLOOKUP('Données projet'!$B$13,Paramètres!$A$1:$I$89,3,0)*0.475*44/12</f>
        <v>0</v>
      </c>
      <c r="DG107" s="21">
        <f>EXP(-LN(2)/25)*DG106+(1-EXP(-LN(2)/25))/(LN(2)/25)*Calculateur!DB107*Calculateur!DD107*VLOOKUP('Données projet'!$B$13,Paramètres!$A$1:$I$89,3,0)*0.475*44/12</f>
        <v>0</v>
      </c>
      <c r="DH107" s="21">
        <f>EXP(-LN(2)/2)*DH106+(1-EXP(-LN(2)/2))/(LN(2)/2)*DB107*DE107*VLOOKUP('Données projet'!$B$13,Paramètres!$A$1:$I$89,3,0)*0.475*44/12</f>
        <v>0</v>
      </c>
      <c r="DI107" s="22">
        <f t="shared" si="69"/>
        <v>0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10.769230769230768</v>
      </c>
      <c r="DO107" s="12">
        <f>IF('Données projet'!$A$166&gt;35,DO106+DN107-DW106,IF(A107&lt;'Données projet'!$A$166,$DL$205^A107,IF(A107='Données projet'!$A$166,'Données projet'!$B$166,DO106+DN107-DW106)))</f>
        <v>391.53846153846149</v>
      </c>
      <c r="DP107" s="17">
        <f>DO107*VLOOKUP('Données projet'!$B$14,Paramètres!$A$1:$I$89,3,0)*VLOOKUP('Données projet'!$B$14,Paramètres!$A$1:$I$89,5,0)</f>
        <v>188.32999999999996</v>
      </c>
      <c r="DQ107" s="13">
        <f t="shared" si="97"/>
        <v>47.170550071503335</v>
      </c>
      <c r="DR107" s="20">
        <f t="shared" si="70"/>
        <v>410.16345804120152</v>
      </c>
      <c r="DS107" s="59">
        <f t="shared" si="71"/>
        <v>703.49679137453484</v>
      </c>
      <c r="DT107" s="59">
        <f ca="1">AVERAGE(OFFSET($DS$3,0,0,'Données projet'!$E$14+1,1))-AVERAGE(OFFSET($H$3,0,0,'Données projet'!$E$14+1,1))</f>
        <v>91.053246648097399</v>
      </c>
      <c r="DU107" s="59">
        <f t="shared" si="98"/>
        <v>64.716270355703955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>
        <f>EXP(-LN(2)/35)*EA106+(1-EXP(-LN(2)/35))/(LN(2)/35)*DW107*DX107*VLOOKUP('Données projet'!$B$14,Paramètres!$A$1:$I$89,3,0)*0.475*44/12</f>
        <v>0</v>
      </c>
      <c r="EB107" s="21">
        <f>EXP(-LN(2)/25)*EB106+(1-EXP(-LN(2)/25))/(LN(2)/25)*Calculateur!DW107*Calculateur!DY107*VLOOKUP('Données projet'!$B$14,Paramètres!$A$1:$I$89,3,0)*0.475*44/12</f>
        <v>0</v>
      </c>
      <c r="EC107" s="21">
        <f>EXP(-LN(2)/2)*EC106+(1-EXP(-LN(2)/2))/(LN(2)/2)*DW107*DZ107*VLOOKUP('Données projet'!$B$14,Paramètres!$A$1:$I$89,3,0)*0.475*44/12</f>
        <v>0</v>
      </c>
      <c r="ED107" s="22">
        <f t="shared" si="72"/>
        <v>0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553.99999999999955</v>
      </c>
      <c r="EK107" s="17">
        <f>EJ107*VLOOKUP('Données projet'!$B$15,Paramètres!$A$1:$I$89,3,0)*VLOOKUP('Données projet'!$B$15,Paramètres!$A$1:$I$89,5,0)</f>
        <v>331.29199999999975</v>
      </c>
      <c r="EL107" s="13">
        <f t="shared" si="99"/>
        <v>77.698110787752</v>
      </c>
      <c r="EM107" s="20">
        <f t="shared" si="73"/>
        <v>712.32444295533423</v>
      </c>
      <c r="EN107" s="59">
        <f t="shared" si="74"/>
        <v>1005.6577762886675</v>
      </c>
      <c r="EO107" s="59">
        <f ca="1">AVERAGE(OFFSET($EN$3,0,0,'Données projet'!$E$15+1,1))-AVERAGE(OFFSET($H$3,0,0,'Données projet'!$E$15+1,1))</f>
        <v>316.58509520829671</v>
      </c>
      <c r="EP107" s="59">
        <f t="shared" si="100"/>
        <v>240.71332110643596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>
        <f>EXP(-LN(2)/35)*EV106+(1-EXP(-LN(2)/35))/(LN(2)/35)*ER107*ES107*VLOOKUP('Données projet'!$B$15,Paramètres!$A$1:$I$89,3,0)*0.475*44/12</f>
        <v>0.58537879121851533</v>
      </c>
      <c r="EW107" s="21">
        <f>EXP(-LN(2)/25)*EW106+(1-EXP(-LN(2)/25))/(LN(2)/25)*Calculateur!ER107*Calculateur!ET107*VLOOKUP('Données projet'!$B$15,Paramètres!$A$1:$I$89,3,0)*0.475*44/12</f>
        <v>1.9621458207269866</v>
      </c>
      <c r="EX107" s="21">
        <f>EXP(-LN(2)/2)*EX106+(1-EXP(-LN(2)/2))/(LN(2)/2)*ER107*EU107*VLOOKUP('Données projet'!$B$15,Paramètres!$A$1:$I$89,3,0)*0.475*44/12</f>
        <v>1.5962973026137417E-10</v>
      </c>
      <c r="EY107" s="22">
        <f t="shared" si="75"/>
        <v>2.5475246121051316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497</v>
      </c>
      <c r="FF107" s="17">
        <f>FE107*VLOOKUP('Données projet'!$B$16,Paramètres!$A$1:$I$89,3,0)*VLOOKUP('Données projet'!$B$16,Paramètres!$A$1:$I$89,5,0)</f>
        <v>297.20600000000002</v>
      </c>
      <c r="FG107" s="13">
        <f t="shared" si="101"/>
        <v>70.590415164571112</v>
      </c>
      <c r="FH107" s="20">
        <f t="shared" si="76"/>
        <v>640.57875641162809</v>
      </c>
      <c r="FI107" s="59">
        <f t="shared" si="77"/>
        <v>933.91208974496135</v>
      </c>
      <c r="FJ107" s="59">
        <f ca="1">AVERAGE(OFFSET($FI$3,0,0,'Données projet'!$E$16+1,1))-AVERAGE(OFFSET($H$3,0,0,'Données projet'!$E$16+1,1))</f>
        <v>270.30888762640245</v>
      </c>
      <c r="FK107" s="59">
        <f t="shared" si="102"/>
        <v>202.23783851977691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>
        <f>EXP(-LN(2)/35)*FQ106+(1-EXP(-LN(2)/35))/(LN(2)/35)*FM107*FN107*VLOOKUP('Données projet'!$B$16,Paramètres!$A$1:$I$89,3,0)*0.475*44/12</f>
        <v>0.49468630243818162</v>
      </c>
      <c r="FR107" s="21">
        <f>EXP(-LN(2)/25)*FR106+(1-EXP(-LN(2)/25))/(LN(2)/25)*Calculateur!FM107*Calculateur!FO107*VLOOKUP('Données projet'!$B$16,Paramètres!$A$1:$I$89,3,0)*0.475*44/12</f>
        <v>1.5801091904369222</v>
      </c>
      <c r="FS107" s="21">
        <f>EXP(-LN(2)/2)*FS106+(1-EXP(-LN(2)/2))/(LN(2)/2)*FM107*FP107*VLOOKUP('Données projet'!$B$16,Paramètres!$A$1:$I$89,3,0)*0.475*44/12</f>
        <v>1.3455143625078624E-10</v>
      </c>
      <c r="FT107" s="22">
        <f t="shared" si="78"/>
        <v>2.0747954930096553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-5.1159076974727213E-13</v>
      </c>
      <c r="GA107" s="17">
        <f>FZ107*VLOOKUP('Données projet'!$B$17,Paramètres!$A$1:$I$89,3,0)*VLOOKUP('Données projet'!$B$17,Paramètres!$A$1:$I$89,5,0)</f>
        <v>-4.0702161641092972E-13</v>
      </c>
      <c r="GB107" s="13" t="e">
        <f t="shared" si="103"/>
        <v>#NUM!</v>
      </c>
      <c r="GC107" s="20" t="e">
        <f t="shared" si="79"/>
        <v>#NUM!</v>
      </c>
      <c r="GD107" s="59" t="e">
        <f t="shared" si="80"/>
        <v>#NUM!</v>
      </c>
      <c r="GE107" s="59">
        <f ca="1">AVERAGE(OFFSET($GD$3,0,0,'Données projet'!$E$17+1,1))-AVERAGE(OFFSET($H$3,0,0,'Données projet'!$E$17+1,1))</f>
        <v>260.20517190557814</v>
      </c>
      <c r="GF107" s="59">
        <f t="shared" si="104"/>
        <v>307.22009971147133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>
        <f>EXP(-LN(2)/35)*GL106+(1-EXP(-LN(2)/35))/(LN(2)/35)*GH107*GI107*VLOOKUP('Données projet'!$B$17,Paramètres!$A$1:$I$89,3,0)*0.475*44/12</f>
        <v>0.75361992982551029</v>
      </c>
      <c r="GM107" s="21">
        <f>EXP(-LN(2)/25)*GM106+(1-EXP(-LN(2)/25))/(LN(2)/25)*Calculateur!GH107*Calculateur!GJ107*VLOOKUP('Données projet'!$B$17,Paramètres!$A$1:$I$89,3,0)*0.475*44/12</f>
        <v>2.6370609098566615</v>
      </c>
      <c r="GN107" s="21">
        <f>EXP(-LN(2)/2)*GN106+(1-EXP(-LN(2)/2))/(LN(2)/2)*GH107*GK107*VLOOKUP('Données projet'!$B$17,Paramètres!$A$1:$I$89,3,0)*0.475*44/12</f>
        <v>1.7490699430896556E-10</v>
      </c>
      <c r="GO107" s="21">
        <f t="shared" si="81"/>
        <v>3.3906808398570791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5.6843418860808015E-14</v>
      </c>
      <c r="GV107" s="17">
        <f>GU107*VLOOKUP('Données projet'!$B$18,Paramètres!$A$1:$I$89,3,0)*VLOOKUP('Données projet'!$B$18,Paramètres!$A$1:$I$89,5,0)</f>
        <v>4.5224624045658861E-14</v>
      </c>
      <c r="GW107" s="13">
        <f t="shared" si="105"/>
        <v>7.4514601661523691E-13</v>
      </c>
      <c r="GX107" s="20">
        <f t="shared" si="82"/>
        <v>1.3765621991510601E-12</v>
      </c>
      <c r="GY107" s="59">
        <f t="shared" si="83"/>
        <v>293.33333333333468</v>
      </c>
      <c r="GZ107" s="59">
        <f ca="1">AVERAGE(OFFSET($GY$3,0,0,'Données projet'!$E$18+1,1))-AVERAGE(OFFSET($H$3,0,0,'Données projet'!$E$18+1,1))</f>
        <v>199.58763537752952</v>
      </c>
      <c r="HA107" s="59">
        <f t="shared" si="106"/>
        <v>242.62852778451929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>
        <f>EXP(-LN(2)/35)*HG106+(1-EXP(-LN(2)/35))/(LN(2)/35)*HC107*HD107*VLOOKUP('Données projet'!$B$18,Paramètres!$A$1:$I$89,3,0)*0.475*44/12</f>
        <v>0</v>
      </c>
      <c r="HH107" s="21">
        <f>EXP(-LN(2)/25)*HH106+(1-EXP(-LN(2)/25))/(LN(2)/25)*Calculateur!HC107*Calculateur!HE107*VLOOKUP('Données projet'!$B$18,Paramètres!$A$1:$I$89,3,0)*0.475*44/12</f>
        <v>1.32150878592266</v>
      </c>
      <c r="HI107" s="21">
        <f>EXP(-LN(2)/2)*HI106+(1-EXP(-LN(2)/2))/(LN(2)/2)*HC107*HF107*VLOOKUP('Données projet'!$B$18,Paramètres!$A$1:$I$89,3,0)*0.475*44/12</f>
        <v>7.8300642731630214E-11</v>
      </c>
      <c r="HJ107" s="22">
        <f t="shared" si="84"/>
        <v>1.3215087860009607</v>
      </c>
    </row>
    <row r="108" spans="1:218" x14ac:dyDescent="0.2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93.366000000000156</v>
      </c>
      <c r="D108" s="11">
        <f t="shared" si="86"/>
        <v>25.375280233490724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916.59935618835073</v>
      </c>
      <c r="H108" s="67">
        <f t="shared" si="56"/>
        <v>500.14106307332992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-2.2737367544323206E-13</v>
      </c>
      <c r="O108" s="13">
        <f>N108*VLOOKUP('Données projet'!$B$9,Paramètres!$A$1:$I$89,3,0)*VLOOKUP('Données projet'!$B$9,Paramètres!$A$1:$I$89,5,0)</f>
        <v>-1.2710188457276673E-13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255.5374979188561</v>
      </c>
      <c r="T108" s="59">
        <f t="shared" si="88"/>
        <v>343.10418468620901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0.6996807795666008</v>
      </c>
      <c r="AA108" s="21">
        <f>EXP(-LN(2)/25)*AA107+(1-EXP(-LN(2)/25))/(LN(2)/25)*Calculateur!V108*Calculateur!X108*VLOOKUP('Données projet'!$B$9,Paramètres!$A$1:$I$89,3,0)*0.475*44/12</f>
        <v>1.9950323912835037</v>
      </c>
      <c r="AB108" s="21">
        <f>EXP(-LN(2)/2)*AB107+(1-EXP(-LN(2)/2))/(LN(2)/2)*V108*Y108*VLOOKUP('Données projet'!$B$9,Paramètres!$A$1:$I$89,3,0)*0.475*44/12</f>
        <v>8.7084900847656602E-12</v>
      </c>
      <c r="AC108" s="22">
        <f t="shared" si="57"/>
        <v>2.694713170858813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1.1368683772161603E-13</v>
      </c>
      <c r="AJ108" s="13">
        <f>AI108*VLOOKUP('Données projet'!$B$10,Paramètres!$A$1:$I$89,3,0)*VLOOKUP('Données projet'!$B$10,Paramètres!$A$1:$I$89,5,0)</f>
        <v>6.3550942286383367E-14</v>
      </c>
      <c r="AK108" s="13">
        <f t="shared" si="89"/>
        <v>1.0064464192543978E-12</v>
      </c>
      <c r="AL108" s="20">
        <f t="shared" si="58"/>
        <v>1.8635787380168604E-12</v>
      </c>
      <c r="AM108" s="59">
        <f t="shared" si="59"/>
        <v>293.33333333333519</v>
      </c>
      <c r="AN108" s="59">
        <f ca="1">AVERAGE(OFFSET($AM$3,0,0,'Données projet'!$E$10+1,1))-AVERAGE(OFFSET($H$3,0,0,'Données projet'!$E$10+1,1))</f>
        <v>224.7049802939942</v>
      </c>
      <c r="AO108" s="59">
        <f t="shared" si="90"/>
        <v>203.48513862195352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0.50520371838110045</v>
      </c>
      <c r="AV108" s="21">
        <f>EXP(-LN(2)/25)*AV107+(1-EXP(-LN(2)/25))/(LN(2)/25)*Calculateur!AQ108*Calculateur!AS108*VLOOKUP('Données projet'!$B$10,Paramètres!$A$1:$I$89,3,0)*0.475*44/12</f>
        <v>2.4405659421650738</v>
      </c>
      <c r="AW108" s="21">
        <f>EXP(-LN(2)/2)*AW107+(1-EXP(-LN(2)/2))/(LN(2)/2)*AQ108*AT108*VLOOKUP('Données projet'!$B$10,Paramètres!$A$1:$I$89,3,0)*0.475*44/12</f>
        <v>4.6101267265795383E-11</v>
      </c>
      <c r="AX108" s="21">
        <f t="shared" si="60"/>
        <v>2.9457696605922759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>
        <f>BD108*VLOOKUP('Données projet'!$B$11,Paramètres!$A$1:$I$89,3,0)*VLOOKUP('Données projet'!$B$11,Paramètres!$A$1:$I$89,5,0)</f>
        <v>0</v>
      </c>
      <c r="BF108" s="13" t="e">
        <f t="shared" si="91"/>
        <v>#NUM!</v>
      </c>
      <c r="BG108" s="20" t="e">
        <f t="shared" si="61"/>
        <v>#NUM!</v>
      </c>
      <c r="BH108" s="59" t="e">
        <f t="shared" si="62"/>
        <v>#NUM!</v>
      </c>
      <c r="BI108" s="59">
        <f ca="1">AVERAGE(OFFSET($BH$3,0,0,'Données projet'!$E$11+1,1))-AVERAGE(OFFSET($H$3,0,0,'Données projet'!$E$11+1,1))</f>
        <v>210.04871822652808</v>
      </c>
      <c r="BJ108" s="59">
        <f t="shared" si="92"/>
        <v>250.17540614049324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1.6531690075154626</v>
      </c>
      <c r="BQ108" s="21">
        <f>EXP(-LN(2)/25)*BQ107+(1-EXP(-LN(2)/25))/(LN(2)/25)*Calculateur!BL108*Calculateur!BN108*VLOOKUP('Données projet'!$B$11,Paramètres!$A$1:$I$89,3,0)*0.475*44/12</f>
        <v>3.4788391980196773</v>
      </c>
      <c r="BR108" s="21">
        <f>EXP(-LN(2)/2)*BR107+(1-EXP(-LN(2)/2))/(LN(2)/2)*BL108*BO108*VLOOKUP('Données projet'!$B$11,Paramètres!$A$1:$I$89,3,0)*0.475*44/12</f>
        <v>1.1089214885666836E-10</v>
      </c>
      <c r="BS108" s="22">
        <f t="shared" si="63"/>
        <v>5.1320082056460317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2.2737367544323206E-13</v>
      </c>
      <c r="BZ108" s="13">
        <f>BY108*VLOOKUP('Données projet'!$B$12,Paramètres!$A$1:$I$89,3,0)*VLOOKUP('Données projet'!$B$12,Paramètres!$A$1:$I$89,5,0)</f>
        <v>1.2414602679200471E-13</v>
      </c>
      <c r="CA108" s="13">
        <f t="shared" si="93"/>
        <v>1.8186582995804361E-12</v>
      </c>
      <c r="CB108" s="20">
        <f t="shared" si="64"/>
        <v>3.3837175350986671E-12</v>
      </c>
      <c r="CC108" s="59">
        <f t="shared" si="65"/>
        <v>293.33333333333672</v>
      </c>
      <c r="CD108" s="59">
        <f ca="1">AVERAGE(OFFSET($CC$3,0,0,'Données projet'!$E$12+1,1))-AVERAGE(OFFSET($H$3,0,0,'Données projet'!$E$12+1,1))</f>
        <v>168.72306536277267</v>
      </c>
      <c r="CE108" s="59">
        <f t="shared" si="94"/>
        <v>203.35476578922339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0.68882041979810937</v>
      </c>
      <c r="CL108" s="21">
        <f>EXP(-LN(2)/25)*CL107+(1-EXP(-LN(2)/25))/(LN(2)/25)*Calculateur!CG108*Calculateur!CI108*VLOOKUP('Données projet'!$B$12,Paramètres!$A$1:$I$89,3,0)*0.475*44/12</f>
        <v>2.8731276932984997</v>
      </c>
      <c r="CM108" s="21">
        <f>EXP(-LN(2)/2)*CM107+(1-EXP(-LN(2)/2))/(LN(2)/2)*CG108*CJ108*VLOOKUP('Données projet'!$B$12,Paramètres!$A$1:$I$89,3,0)*0.475*44/12</f>
        <v>1.0302026735675946E-10</v>
      </c>
      <c r="CN108" s="22">
        <f t="shared" si="66"/>
        <v>3.5619481131996293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34.000000000000014</v>
      </c>
      <c r="CT108" s="12">
        <f>IF('Données projet'!$A$140&gt;35,CT107+CS108-DB107,IF(A108&lt;'Données projet'!$A$140,$CQ$205^A108,IF(A108='Données projet'!$A$140,'Données projet'!$B$140,CT107+CS108-DB107)))</f>
        <v>1116.1538461538453</v>
      </c>
      <c r="CU108" s="17">
        <f>CT108*VLOOKUP('Données projet'!$B$13,Paramètres!$A$1:$I$89,3,0)*VLOOKUP('Données projet'!$B$13,Paramètres!$A$1:$I$89,5,0)</f>
        <v>536.86999999999955</v>
      </c>
      <c r="CV108" s="13">
        <f t="shared" si="95"/>
        <v>119.03219271253907</v>
      </c>
      <c r="CW108" s="20">
        <f t="shared" si="67"/>
        <v>1142.3629856410046</v>
      </c>
      <c r="CX108" s="59">
        <f t="shared" si="68"/>
        <v>1435.6963189743378</v>
      </c>
      <c r="CY108" s="59">
        <f ca="1">AVERAGE(OFFSET($CX$3,0,0,'Données projet'!$E$13+1,1))-AVERAGE(OFFSET($H$3,0,0,'Données projet'!$E$13+1,1))</f>
        <v>304.15237106473313</v>
      </c>
      <c r="CZ108" s="59">
        <f t="shared" si="96"/>
        <v>120.85458928724336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>
        <f>EXP(-LN(2)/35)*DF107+(1-EXP(-LN(2)/35))/(LN(2)/35)*DB108*DC108*VLOOKUP('Données projet'!$B$13,Paramètres!$A$1:$I$89,3,0)*0.475*44/12</f>
        <v>0</v>
      </c>
      <c r="DG108" s="21">
        <f>EXP(-LN(2)/25)*DG107+(1-EXP(-LN(2)/25))/(LN(2)/25)*Calculateur!DB108*Calculateur!DD108*VLOOKUP('Données projet'!$B$13,Paramètres!$A$1:$I$89,3,0)*0.475*44/12</f>
        <v>0</v>
      </c>
      <c r="DH108" s="21">
        <f>EXP(-LN(2)/2)*DH107+(1-EXP(-LN(2)/2))/(LN(2)/2)*DB108*DE108*VLOOKUP('Données projet'!$B$13,Paramètres!$A$1:$I$89,3,0)*0.475*44/12</f>
        <v>0</v>
      </c>
      <c r="DI108" s="22">
        <f t="shared" si="69"/>
        <v>0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10.769230769230768</v>
      </c>
      <c r="DO108" s="12">
        <f>IF('Données projet'!$A$166&gt;35,DO107+DN108-DW107,IF(A108&lt;'Données projet'!$A$166,$DL$205^A108,IF(A108='Données projet'!$A$166,'Données projet'!$B$166,DO107+DN108-DW107)))</f>
        <v>402.30769230769226</v>
      </c>
      <c r="DP108" s="17">
        <f>DO108*VLOOKUP('Données projet'!$B$14,Paramètres!$A$1:$I$89,3,0)*VLOOKUP('Données projet'!$B$14,Paramètres!$A$1:$I$89,5,0)</f>
        <v>193.51</v>
      </c>
      <c r="DQ108" s="13">
        <f t="shared" si="97"/>
        <v>48.315135353205569</v>
      </c>
      <c r="DR108" s="20">
        <f t="shared" si="70"/>
        <v>421.17877740683298</v>
      </c>
      <c r="DS108" s="59">
        <f t="shared" si="71"/>
        <v>714.51211074016624</v>
      </c>
      <c r="DT108" s="59">
        <f ca="1">AVERAGE(OFFSET($DS$3,0,0,'Données projet'!$E$14+1,1))-AVERAGE(OFFSET($H$3,0,0,'Données projet'!$E$14+1,1))</f>
        <v>91.053246648097399</v>
      </c>
      <c r="DU108" s="59">
        <f t="shared" si="98"/>
        <v>64.716270355703955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>
        <f>EXP(-LN(2)/35)*EA107+(1-EXP(-LN(2)/35))/(LN(2)/35)*DW108*DX108*VLOOKUP('Données projet'!$B$14,Paramètres!$A$1:$I$89,3,0)*0.475*44/12</f>
        <v>0</v>
      </c>
      <c r="EB108" s="21">
        <f>EXP(-LN(2)/25)*EB107+(1-EXP(-LN(2)/25))/(LN(2)/25)*Calculateur!DW108*Calculateur!DY108*VLOOKUP('Données projet'!$B$14,Paramètres!$A$1:$I$89,3,0)*0.475*44/12</f>
        <v>0</v>
      </c>
      <c r="EC108" s="21">
        <f>EXP(-LN(2)/2)*EC107+(1-EXP(-LN(2)/2))/(LN(2)/2)*DW108*DZ108*VLOOKUP('Données projet'!$B$14,Paramètres!$A$1:$I$89,3,0)*0.475*44/12</f>
        <v>0</v>
      </c>
      <c r="ED108" s="22">
        <f t="shared" si="72"/>
        <v>0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553.99999999999955</v>
      </c>
      <c r="EK108" s="17">
        <f>EJ108*VLOOKUP('Données projet'!$B$15,Paramètres!$A$1:$I$89,3,0)*VLOOKUP('Données projet'!$B$15,Paramètres!$A$1:$I$89,5,0)</f>
        <v>331.29199999999975</v>
      </c>
      <c r="EL108" s="13">
        <f t="shared" si="99"/>
        <v>77.698110787752</v>
      </c>
      <c r="EM108" s="20">
        <f t="shared" si="73"/>
        <v>712.32444295533423</v>
      </c>
      <c r="EN108" s="59">
        <f t="shared" si="74"/>
        <v>1005.6577762886675</v>
      </c>
      <c r="EO108" s="59">
        <f ca="1">AVERAGE(OFFSET($EN$3,0,0,'Données projet'!$E$15+1,1))-AVERAGE(OFFSET($H$3,0,0,'Données projet'!$E$15+1,1))</f>
        <v>316.58509520829671</v>
      </c>
      <c r="EP108" s="59">
        <f t="shared" si="100"/>
        <v>240.71332110643596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>
        <f>EXP(-LN(2)/35)*EV107+(1-EXP(-LN(2)/35))/(LN(2)/35)*ER108*ES108*VLOOKUP('Données projet'!$B$15,Paramètres!$A$1:$I$89,3,0)*0.475*44/12</f>
        <v>0.5738998701685275</v>
      </c>
      <c r="EW108" s="21">
        <f>EXP(-LN(2)/25)*EW107+(1-EXP(-LN(2)/25))/(LN(2)/25)*Calculateur!ER108*Calculateur!ET108*VLOOKUP('Données projet'!$B$15,Paramètres!$A$1:$I$89,3,0)*0.475*44/12</f>
        <v>1.9084908400744429</v>
      </c>
      <c r="EX108" s="21">
        <f>EXP(-LN(2)/2)*EX107+(1-EXP(-LN(2)/2))/(LN(2)/2)*ER108*EU108*VLOOKUP('Données projet'!$B$15,Paramètres!$A$1:$I$89,3,0)*0.475*44/12</f>
        <v>1.1287526474679711E-10</v>
      </c>
      <c r="EY108" s="22">
        <f t="shared" si="75"/>
        <v>2.4823907103558458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497</v>
      </c>
      <c r="FF108" s="17">
        <f>FE108*VLOOKUP('Données projet'!$B$16,Paramètres!$A$1:$I$89,3,0)*VLOOKUP('Données projet'!$B$16,Paramètres!$A$1:$I$89,5,0)</f>
        <v>297.20600000000002</v>
      </c>
      <c r="FG108" s="13">
        <f t="shared" si="101"/>
        <v>70.590415164571112</v>
      </c>
      <c r="FH108" s="20">
        <f t="shared" si="76"/>
        <v>640.57875641162809</v>
      </c>
      <c r="FI108" s="59">
        <f t="shared" si="77"/>
        <v>933.91208974496135</v>
      </c>
      <c r="FJ108" s="59">
        <f ca="1">AVERAGE(OFFSET($FI$3,0,0,'Données projet'!$E$16+1,1))-AVERAGE(OFFSET($H$3,0,0,'Données projet'!$E$16+1,1))</f>
        <v>270.30888762640245</v>
      </c>
      <c r="FK108" s="59">
        <f t="shared" si="102"/>
        <v>202.23783851977691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>
        <f>EXP(-LN(2)/35)*FQ107+(1-EXP(-LN(2)/35))/(LN(2)/35)*FM108*FN108*VLOOKUP('Données projet'!$B$16,Paramètres!$A$1:$I$89,3,0)*0.475*44/12</f>
        <v>0.48498580577622014</v>
      </c>
      <c r="FR108" s="21">
        <f>EXP(-LN(2)/25)*FR107+(1-EXP(-LN(2)/25))/(LN(2)/25)*Calculateur!FM108*Calculateur!FO108*VLOOKUP('Données projet'!$B$16,Paramètres!$A$1:$I$89,3,0)*0.475*44/12</f>
        <v>1.5369010215300936</v>
      </c>
      <c r="FS108" s="21">
        <f>EXP(-LN(2)/2)*FS107+(1-EXP(-LN(2)/2))/(LN(2)/2)*FM108*FP108*VLOOKUP('Données projet'!$B$16,Paramètres!$A$1:$I$89,3,0)*0.475*44/12</f>
        <v>9.5142232991320404E-11</v>
      </c>
      <c r="FT108" s="22">
        <f t="shared" si="78"/>
        <v>2.0218868274014556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-5.1159076974727213E-13</v>
      </c>
      <c r="GA108" s="17">
        <f>FZ108*VLOOKUP('Données projet'!$B$17,Paramètres!$A$1:$I$89,3,0)*VLOOKUP('Données projet'!$B$17,Paramètres!$A$1:$I$89,5,0)</f>
        <v>-4.0702161641092972E-13</v>
      </c>
      <c r="GB108" s="13" t="e">
        <f t="shared" si="103"/>
        <v>#NUM!</v>
      </c>
      <c r="GC108" s="20" t="e">
        <f t="shared" si="79"/>
        <v>#NUM!</v>
      </c>
      <c r="GD108" s="59" t="e">
        <f t="shared" si="80"/>
        <v>#NUM!</v>
      </c>
      <c r="GE108" s="59">
        <f ca="1">AVERAGE(OFFSET($GD$3,0,0,'Données projet'!$E$17+1,1))-AVERAGE(OFFSET($H$3,0,0,'Données projet'!$E$17+1,1))</f>
        <v>260.20517190557814</v>
      </c>
      <c r="GF108" s="59">
        <f t="shared" si="104"/>
        <v>307.22009971147133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>
        <f>EXP(-LN(2)/35)*GL107+(1-EXP(-LN(2)/35))/(LN(2)/35)*GH108*GI108*VLOOKUP('Données projet'!$B$17,Paramètres!$A$1:$I$89,3,0)*0.475*44/12</f>
        <v>0.73884190266440131</v>
      </c>
      <c r="GM108" s="21">
        <f>EXP(-LN(2)/25)*GM107+(1-EXP(-LN(2)/25))/(LN(2)/25)*Calculateur!GH108*Calculateur!GJ108*VLOOKUP('Données projet'!$B$17,Paramètres!$A$1:$I$89,3,0)*0.475*44/12</f>
        <v>2.564950340599625</v>
      </c>
      <c r="GN108" s="21">
        <f>EXP(-LN(2)/2)*GN107+(1-EXP(-LN(2)/2))/(LN(2)/2)*GH108*GK108*VLOOKUP('Données projet'!$B$17,Paramètres!$A$1:$I$89,3,0)*0.475*44/12</f>
        <v>1.2367792175282642E-10</v>
      </c>
      <c r="GO108" s="21">
        <f t="shared" si="81"/>
        <v>3.3037922433877043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5.6843418860808015E-14</v>
      </c>
      <c r="GV108" s="17">
        <f>GU108*VLOOKUP('Données projet'!$B$18,Paramètres!$A$1:$I$89,3,0)*VLOOKUP('Données projet'!$B$18,Paramètres!$A$1:$I$89,5,0)</f>
        <v>4.5224624045658861E-14</v>
      </c>
      <c r="GW108" s="13">
        <f t="shared" si="105"/>
        <v>7.4514601661523691E-13</v>
      </c>
      <c r="GX108" s="20">
        <f t="shared" si="82"/>
        <v>1.3765621991510601E-12</v>
      </c>
      <c r="GY108" s="59">
        <f t="shared" si="83"/>
        <v>293.33333333333468</v>
      </c>
      <c r="GZ108" s="59">
        <f ca="1">AVERAGE(OFFSET($GY$3,0,0,'Données projet'!$E$18+1,1))-AVERAGE(OFFSET($H$3,0,0,'Données projet'!$E$18+1,1))</f>
        <v>199.58763537752952</v>
      </c>
      <c r="HA108" s="59">
        <f t="shared" si="106"/>
        <v>242.62852778451929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>
        <f>EXP(-LN(2)/35)*HG107+(1-EXP(-LN(2)/35))/(LN(2)/35)*HC108*HD108*VLOOKUP('Données projet'!$B$18,Paramètres!$A$1:$I$89,3,0)*0.475*44/12</f>
        <v>0</v>
      </c>
      <c r="HH108" s="21">
        <f>EXP(-LN(2)/25)*HH107+(1-EXP(-LN(2)/25))/(LN(2)/25)*Calculateur!HC108*Calculateur!HE108*VLOOKUP('Données projet'!$B$18,Paramètres!$A$1:$I$89,3,0)*0.475*44/12</f>
        <v>1.2853720586764781</v>
      </c>
      <c r="HI108" s="21">
        <f>EXP(-LN(2)/2)*HI107+(1-EXP(-LN(2)/2))/(LN(2)/2)*HC108*HF108*VLOOKUP('Données projet'!$B$18,Paramètres!$A$1:$I$89,3,0)*0.475*44/12</f>
        <v>5.5366915446800879E-11</v>
      </c>
      <c r="HJ108" s="22">
        <f t="shared" si="84"/>
        <v>1.2853720587318449</v>
      </c>
    </row>
    <row r="109" spans="1:218" x14ac:dyDescent="0.2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94.255200000000158</v>
      </c>
      <c r="D109" s="11">
        <f t="shared" si="86"/>
        <v>25.588701314145272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925.11081716182434</v>
      </c>
      <c r="H109" s="67">
        <f t="shared" si="56"/>
        <v>502.06146145546995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-2.2737367544323206E-13</v>
      </c>
      <c r="O109" s="13">
        <f>N109*VLOOKUP('Données projet'!$B$9,Paramètres!$A$1:$I$89,3,0)*VLOOKUP('Données projet'!$B$9,Paramètres!$A$1:$I$89,5,0)</f>
        <v>-1.2710188457276673E-13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255.5374979188561</v>
      </c>
      <c r="T109" s="59">
        <f t="shared" si="88"/>
        <v>343.10418468620901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0.6859604662424359</v>
      </c>
      <c r="AA109" s="21">
        <f>EXP(-LN(2)/25)*AA108+(1-EXP(-LN(2)/25))/(LN(2)/25)*Calculateur!V109*Calculateur!X109*VLOOKUP('Données projet'!$B$9,Paramètres!$A$1:$I$89,3,0)*0.475*44/12</f>
        <v>1.9404781256296626</v>
      </c>
      <c r="AB109" s="21">
        <f>EXP(-LN(2)/2)*AB108+(1-EXP(-LN(2)/2))/(LN(2)/2)*V109*Y109*VLOOKUP('Données projet'!$B$9,Paramètres!$A$1:$I$89,3,0)*0.475*44/12</f>
        <v>6.1578323928336105E-12</v>
      </c>
      <c r="AC109" s="22">
        <f t="shared" si="57"/>
        <v>2.626438591878256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1.1368683772161603E-13</v>
      </c>
      <c r="AJ109" s="13">
        <f>AI109*VLOOKUP('Données projet'!$B$10,Paramètres!$A$1:$I$89,3,0)*VLOOKUP('Données projet'!$B$10,Paramètres!$A$1:$I$89,5,0)</f>
        <v>6.3550942286383367E-14</v>
      </c>
      <c r="AK109" s="13">
        <f t="shared" si="89"/>
        <v>1.0064464192543978E-12</v>
      </c>
      <c r="AL109" s="20">
        <f t="shared" si="58"/>
        <v>1.8635787380168604E-12</v>
      </c>
      <c r="AM109" s="59">
        <f t="shared" si="59"/>
        <v>293.33333333333519</v>
      </c>
      <c r="AN109" s="59">
        <f ca="1">AVERAGE(OFFSET($AM$3,0,0,'Données projet'!$E$10+1,1))-AVERAGE(OFFSET($H$3,0,0,'Données projet'!$E$10+1,1))</f>
        <v>224.7049802939942</v>
      </c>
      <c r="AO109" s="59">
        <f t="shared" si="90"/>
        <v>203.48513862195352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0.49529698160748858</v>
      </c>
      <c r="AV109" s="21">
        <f>EXP(-LN(2)/25)*AV108+(1-EXP(-LN(2)/25))/(LN(2)/25)*Calculateur!AQ109*Calculateur!AS109*VLOOKUP('Données projet'!$B$10,Paramètres!$A$1:$I$89,3,0)*0.475*44/12</f>
        <v>2.373828538132785</v>
      </c>
      <c r="AW109" s="21">
        <f>EXP(-LN(2)/2)*AW108+(1-EXP(-LN(2)/2))/(LN(2)/2)*AQ109*AT109*VLOOKUP('Données projet'!$B$10,Paramètres!$A$1:$I$89,3,0)*0.475*44/12</f>
        <v>3.2598518704937322E-11</v>
      </c>
      <c r="AX109" s="21">
        <f t="shared" si="60"/>
        <v>2.8691255197728718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>
        <f>BD109*VLOOKUP('Données projet'!$B$11,Paramètres!$A$1:$I$89,3,0)*VLOOKUP('Données projet'!$B$11,Paramètres!$A$1:$I$89,5,0)</f>
        <v>0</v>
      </c>
      <c r="BF109" s="13" t="e">
        <f t="shared" si="91"/>
        <v>#NUM!</v>
      </c>
      <c r="BG109" s="20" t="e">
        <f t="shared" si="61"/>
        <v>#NUM!</v>
      </c>
      <c r="BH109" s="59" t="e">
        <f t="shared" si="62"/>
        <v>#NUM!</v>
      </c>
      <c r="BI109" s="59">
        <f ca="1">AVERAGE(OFFSET($BH$3,0,0,'Données projet'!$E$11+1,1))-AVERAGE(OFFSET($H$3,0,0,'Données projet'!$E$11+1,1))</f>
        <v>210.04871822652808</v>
      </c>
      <c r="BJ109" s="59">
        <f t="shared" si="92"/>
        <v>250.17540614049324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1.6207513716116142</v>
      </c>
      <c r="BQ109" s="21">
        <f>EXP(-LN(2)/25)*BQ108+(1-EXP(-LN(2)/25))/(LN(2)/25)*Calculateur!BL109*Calculateur!BN109*VLOOKUP('Données projet'!$B$11,Paramètres!$A$1:$I$89,3,0)*0.475*44/12</f>
        <v>3.383710157205627</v>
      </c>
      <c r="BR109" s="21">
        <f>EXP(-LN(2)/2)*BR108+(1-EXP(-LN(2)/2))/(LN(2)/2)*BL109*BO109*VLOOKUP('Données projet'!$B$11,Paramètres!$A$1:$I$89,3,0)*0.475*44/12</f>
        <v>7.8412590436898252E-11</v>
      </c>
      <c r="BS109" s="22">
        <f t="shared" si="63"/>
        <v>5.0044615288956544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2.2737367544323206E-13</v>
      </c>
      <c r="BZ109" s="13">
        <f>BY109*VLOOKUP('Données projet'!$B$12,Paramètres!$A$1:$I$89,3,0)*VLOOKUP('Données projet'!$B$12,Paramètres!$A$1:$I$89,5,0)</f>
        <v>1.2414602679200471E-13</v>
      </c>
      <c r="CA109" s="13">
        <f t="shared" si="93"/>
        <v>1.8186582995804361E-12</v>
      </c>
      <c r="CB109" s="20">
        <f t="shared" si="64"/>
        <v>3.3837175350986671E-12</v>
      </c>
      <c r="CC109" s="59">
        <f t="shared" si="65"/>
        <v>293.33333333333672</v>
      </c>
      <c r="CD109" s="59">
        <f ca="1">AVERAGE(OFFSET($CC$3,0,0,'Données projet'!$E$12+1,1))-AVERAGE(OFFSET($H$3,0,0,'Données projet'!$E$12+1,1))</f>
        <v>168.72306536277267</v>
      </c>
      <c r="CE109" s="59">
        <f t="shared" si="94"/>
        <v>203.35476578922339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0.67531307150483921</v>
      </c>
      <c r="CL109" s="21">
        <f>EXP(-LN(2)/25)*CL108+(1-EXP(-LN(2)/25))/(LN(2)/25)*Calculateur!CG109*Calculateur!CI109*VLOOKUP('Données projet'!$B$12,Paramètres!$A$1:$I$89,3,0)*0.475*44/12</f>
        <v>2.7945618654340336</v>
      </c>
      <c r="CM109" s="21">
        <f>EXP(-LN(2)/2)*CM108+(1-EXP(-LN(2)/2))/(LN(2)/2)*CG109*CJ109*VLOOKUP('Données projet'!$B$12,Paramètres!$A$1:$I$89,3,0)*0.475*44/12</f>
        <v>7.2846329647615734E-11</v>
      </c>
      <c r="CN109" s="22">
        <f t="shared" si="66"/>
        <v>3.4698749370117192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34.000000000000014</v>
      </c>
      <c r="CT109" s="12">
        <f>IF('Données projet'!$A$140&gt;35,CT108+CS109-DB108,IF(A109&lt;'Données projet'!$A$140,$CQ$205^A109,IF(A109='Données projet'!$A$140,'Données projet'!$B$140,CT108+CS109-DB108)))</f>
        <v>1150.1538461538453</v>
      </c>
      <c r="CU109" s="17">
        <f>CT109*VLOOKUP('Données projet'!$B$13,Paramètres!$A$1:$I$89,3,0)*VLOOKUP('Données projet'!$B$13,Paramètres!$A$1:$I$89,5,0)</f>
        <v>553.22399999999959</v>
      </c>
      <c r="CV109" s="13">
        <f t="shared" si="95"/>
        <v>122.23044685055707</v>
      </c>
      <c r="CW109" s="20">
        <f t="shared" si="67"/>
        <v>1176.4164949313861</v>
      </c>
      <c r="CX109" s="59">
        <f t="shared" si="68"/>
        <v>1469.7498282647193</v>
      </c>
      <c r="CY109" s="59">
        <f ca="1">AVERAGE(OFFSET($CX$3,0,0,'Données projet'!$E$13+1,1))-AVERAGE(OFFSET($H$3,0,0,'Données projet'!$E$13+1,1))</f>
        <v>304.15237106473313</v>
      </c>
      <c r="CZ109" s="59">
        <f t="shared" si="96"/>
        <v>120.85458928724336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>
        <f>EXP(-LN(2)/35)*DF108+(1-EXP(-LN(2)/35))/(LN(2)/35)*DB109*DC109*VLOOKUP('Données projet'!$B$13,Paramètres!$A$1:$I$89,3,0)*0.475*44/12</f>
        <v>0</v>
      </c>
      <c r="DG109" s="21">
        <f>EXP(-LN(2)/25)*DG108+(1-EXP(-LN(2)/25))/(LN(2)/25)*Calculateur!DB109*Calculateur!DD109*VLOOKUP('Données projet'!$B$13,Paramètres!$A$1:$I$89,3,0)*0.475*44/12</f>
        <v>0</v>
      </c>
      <c r="DH109" s="21">
        <f>EXP(-LN(2)/2)*DH108+(1-EXP(-LN(2)/2))/(LN(2)/2)*DB109*DE109*VLOOKUP('Données projet'!$B$13,Paramètres!$A$1:$I$89,3,0)*0.475*44/12</f>
        <v>0</v>
      </c>
      <c r="DI109" s="22">
        <f t="shared" si="69"/>
        <v>0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10.769230769230768</v>
      </c>
      <c r="DO109" s="12">
        <f>IF('Données projet'!$A$166&gt;35,DO108+DN109-DW108,IF(A109&lt;'Données projet'!$A$166,$DL$205^A109,IF(A109='Données projet'!$A$166,'Données projet'!$B$166,DO108+DN109-DW108)))</f>
        <v>413.07692307692304</v>
      </c>
      <c r="DP109" s="17">
        <f>DO109*VLOOKUP('Données projet'!$B$14,Paramètres!$A$1:$I$89,3,0)*VLOOKUP('Données projet'!$B$14,Paramètres!$A$1:$I$89,5,0)</f>
        <v>198.69</v>
      </c>
      <c r="DQ109" s="13">
        <f t="shared" si="97"/>
        <v>49.456159356966097</v>
      </c>
      <c r="DR109" s="20">
        <f t="shared" si="70"/>
        <v>432.18789421338261</v>
      </c>
      <c r="DS109" s="59">
        <f t="shared" si="71"/>
        <v>725.52122754671586</v>
      </c>
      <c r="DT109" s="59">
        <f ca="1">AVERAGE(OFFSET($DS$3,0,0,'Données projet'!$E$14+1,1))-AVERAGE(OFFSET($H$3,0,0,'Données projet'!$E$14+1,1))</f>
        <v>91.053246648097399</v>
      </c>
      <c r="DU109" s="59">
        <f t="shared" si="98"/>
        <v>64.716270355703955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>
        <f>EXP(-LN(2)/35)*EA108+(1-EXP(-LN(2)/35))/(LN(2)/35)*DW109*DX109*VLOOKUP('Données projet'!$B$14,Paramètres!$A$1:$I$89,3,0)*0.475*44/12</f>
        <v>0</v>
      </c>
      <c r="EB109" s="21">
        <f>EXP(-LN(2)/25)*EB108+(1-EXP(-LN(2)/25))/(LN(2)/25)*Calculateur!DW109*Calculateur!DY109*VLOOKUP('Données projet'!$B$14,Paramètres!$A$1:$I$89,3,0)*0.475*44/12</f>
        <v>0</v>
      </c>
      <c r="EC109" s="21">
        <f>EXP(-LN(2)/2)*EC108+(1-EXP(-LN(2)/2))/(LN(2)/2)*DW109*DZ109*VLOOKUP('Données projet'!$B$14,Paramètres!$A$1:$I$89,3,0)*0.475*44/12</f>
        <v>0</v>
      </c>
      <c r="ED109" s="22">
        <f t="shared" si="72"/>
        <v>0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553.99999999999955</v>
      </c>
      <c r="EK109" s="17">
        <f>EJ109*VLOOKUP('Données projet'!$B$15,Paramètres!$A$1:$I$89,3,0)*VLOOKUP('Données projet'!$B$15,Paramètres!$A$1:$I$89,5,0)</f>
        <v>331.29199999999975</v>
      </c>
      <c r="EL109" s="13">
        <f t="shared" si="99"/>
        <v>77.698110787752</v>
      </c>
      <c r="EM109" s="20">
        <f t="shared" si="73"/>
        <v>712.32444295533423</v>
      </c>
      <c r="EN109" s="59">
        <f t="shared" si="74"/>
        <v>1005.6577762886675</v>
      </c>
      <c r="EO109" s="59">
        <f ca="1">AVERAGE(OFFSET($EN$3,0,0,'Données projet'!$E$15+1,1))-AVERAGE(OFFSET($H$3,0,0,'Données projet'!$E$15+1,1))</f>
        <v>316.58509520829671</v>
      </c>
      <c r="EP109" s="59">
        <f t="shared" si="100"/>
        <v>240.71332110643596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>
        <f>EXP(-LN(2)/35)*EV108+(1-EXP(-LN(2)/35))/(LN(2)/35)*ER109*ES109*VLOOKUP('Données projet'!$B$15,Paramètres!$A$1:$I$89,3,0)*0.475*44/12</f>
        <v>0.5626460437588795</v>
      </c>
      <c r="EW109" s="21">
        <f>EXP(-LN(2)/25)*EW108+(1-EXP(-LN(2)/25))/(LN(2)/25)*Calculateur!ER109*Calculateur!ET109*VLOOKUP('Données projet'!$B$15,Paramètres!$A$1:$I$89,3,0)*0.475*44/12</f>
        <v>1.8563030576894359</v>
      </c>
      <c r="EX109" s="21">
        <f>EXP(-LN(2)/2)*EX108+(1-EXP(-LN(2)/2))/(LN(2)/2)*ER109*EU109*VLOOKUP('Données projet'!$B$15,Paramètres!$A$1:$I$89,3,0)*0.475*44/12</f>
        <v>7.9814865130687096E-11</v>
      </c>
      <c r="EY109" s="22">
        <f t="shared" si="75"/>
        <v>2.4189491015281304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497</v>
      </c>
      <c r="FF109" s="17">
        <f>FE109*VLOOKUP('Données projet'!$B$16,Paramètres!$A$1:$I$89,3,0)*VLOOKUP('Données projet'!$B$16,Paramètres!$A$1:$I$89,5,0)</f>
        <v>297.20600000000002</v>
      </c>
      <c r="FG109" s="13">
        <f t="shared" si="101"/>
        <v>70.590415164571112</v>
      </c>
      <c r="FH109" s="20">
        <f t="shared" si="76"/>
        <v>640.57875641162809</v>
      </c>
      <c r="FI109" s="59">
        <f t="shared" si="77"/>
        <v>933.91208974496135</v>
      </c>
      <c r="FJ109" s="59">
        <f ca="1">AVERAGE(OFFSET($FI$3,0,0,'Données projet'!$E$16+1,1))-AVERAGE(OFFSET($H$3,0,0,'Données projet'!$E$16+1,1))</f>
        <v>270.30888762640245</v>
      </c>
      <c r="FK109" s="59">
        <f t="shared" si="102"/>
        <v>202.23783851977691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>
        <f>EXP(-LN(2)/35)*FQ108+(1-EXP(-LN(2)/35))/(LN(2)/35)*FM109*FN109*VLOOKUP('Données projet'!$B$16,Paramètres!$A$1:$I$89,3,0)*0.475*44/12</f>
        <v>0.47547552993708098</v>
      </c>
      <c r="FR109" s="21">
        <f>EXP(-LN(2)/25)*FR108+(1-EXP(-LN(2)/25))/(LN(2)/25)*Calculateur!FM109*Calculateur!FO109*VLOOKUP('Données projet'!$B$16,Paramètres!$A$1:$I$89,3,0)*0.475*44/12</f>
        <v>1.494874382274241</v>
      </c>
      <c r="FS109" s="21">
        <f>EXP(-LN(2)/2)*FS108+(1-EXP(-LN(2)/2))/(LN(2)/2)*FM109*FP109*VLOOKUP('Données projet'!$B$16,Paramètres!$A$1:$I$89,3,0)*0.475*44/12</f>
        <v>6.7275718125393119E-11</v>
      </c>
      <c r="FT109" s="22">
        <f t="shared" si="78"/>
        <v>1.9703499122785977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-5.1159076974727213E-13</v>
      </c>
      <c r="GA109" s="17">
        <f>FZ109*VLOOKUP('Données projet'!$B$17,Paramètres!$A$1:$I$89,3,0)*VLOOKUP('Données projet'!$B$17,Paramètres!$A$1:$I$89,5,0)</f>
        <v>-4.0702161641092972E-13</v>
      </c>
      <c r="GB109" s="13" t="e">
        <f t="shared" si="103"/>
        <v>#NUM!</v>
      </c>
      <c r="GC109" s="20" t="e">
        <f t="shared" si="79"/>
        <v>#NUM!</v>
      </c>
      <c r="GD109" s="59" t="e">
        <f t="shared" si="80"/>
        <v>#NUM!</v>
      </c>
      <c r="GE109" s="59">
        <f ca="1">AVERAGE(OFFSET($GD$3,0,0,'Données projet'!$E$17+1,1))-AVERAGE(OFFSET($H$3,0,0,'Données projet'!$E$17+1,1))</f>
        <v>260.20517190557814</v>
      </c>
      <c r="GF109" s="59">
        <f t="shared" si="104"/>
        <v>307.22009971147133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>
        <f>EXP(-LN(2)/35)*GL108+(1-EXP(-LN(2)/35))/(LN(2)/35)*GH109*GI109*VLOOKUP('Données projet'!$B$17,Paramètres!$A$1:$I$89,3,0)*0.475*44/12</f>
        <v>0.72435366360221509</v>
      </c>
      <c r="GM109" s="21">
        <f>EXP(-LN(2)/25)*GM108+(1-EXP(-LN(2)/25))/(LN(2)/25)*Calculateur!GH109*Calculateur!GJ109*VLOOKUP('Données projet'!$B$17,Paramètres!$A$1:$I$89,3,0)*0.475*44/12</f>
        <v>2.4948116386510519</v>
      </c>
      <c r="GN109" s="21">
        <f>EXP(-LN(2)/2)*GN108+(1-EXP(-LN(2)/2))/(LN(2)/2)*GH109*GK109*VLOOKUP('Données projet'!$B$17,Paramètres!$A$1:$I$89,3,0)*0.475*44/12</f>
        <v>8.7453497154482779E-11</v>
      </c>
      <c r="GO109" s="21">
        <f t="shared" si="81"/>
        <v>3.2191653023407207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5.6843418860808015E-14</v>
      </c>
      <c r="GV109" s="17">
        <f>GU109*VLOOKUP('Données projet'!$B$18,Paramètres!$A$1:$I$89,3,0)*VLOOKUP('Données projet'!$B$18,Paramètres!$A$1:$I$89,5,0)</f>
        <v>4.5224624045658861E-14</v>
      </c>
      <c r="GW109" s="13">
        <f t="shared" si="105"/>
        <v>7.4514601661523691E-13</v>
      </c>
      <c r="GX109" s="20">
        <f t="shared" si="82"/>
        <v>1.3765621991510601E-12</v>
      </c>
      <c r="GY109" s="59">
        <f t="shared" si="83"/>
        <v>293.33333333333468</v>
      </c>
      <c r="GZ109" s="59">
        <f ca="1">AVERAGE(OFFSET($GY$3,0,0,'Données projet'!$E$18+1,1))-AVERAGE(OFFSET($H$3,0,0,'Données projet'!$E$18+1,1))</f>
        <v>199.58763537752952</v>
      </c>
      <c r="HA109" s="59">
        <f t="shared" si="106"/>
        <v>242.62852778451929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>
        <f>EXP(-LN(2)/35)*HG108+(1-EXP(-LN(2)/35))/(LN(2)/35)*HC109*HD109*VLOOKUP('Données projet'!$B$18,Paramètres!$A$1:$I$89,3,0)*0.475*44/12</f>
        <v>0</v>
      </c>
      <c r="HH109" s="21">
        <f>EXP(-LN(2)/25)*HH108+(1-EXP(-LN(2)/25))/(LN(2)/25)*Calculateur!HC109*Calculateur!HE109*VLOOKUP('Données projet'!$B$18,Paramètres!$A$1:$I$89,3,0)*0.475*44/12</f>
        <v>1.2502234921371911</v>
      </c>
      <c r="HI109" s="21">
        <f>EXP(-LN(2)/2)*HI108+(1-EXP(-LN(2)/2))/(LN(2)/2)*HC109*HF109*VLOOKUP('Données projet'!$B$18,Paramètres!$A$1:$I$89,3,0)*0.475*44/12</f>
        <v>3.9150321365815107E-11</v>
      </c>
      <c r="HJ109" s="22">
        <f t="shared" si="84"/>
        <v>1.2502234921763413</v>
      </c>
    </row>
    <row r="110" spans="1:218" x14ac:dyDescent="0.2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95.144400000000161</v>
      </c>
      <c r="D110" s="11">
        <f t="shared" si="86"/>
        <v>25.801888159247749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933.62047000121208</v>
      </c>
      <c r="H110" s="67">
        <f t="shared" si="56"/>
        <v>503.98145187735673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-2.2737367544323206E-13</v>
      </c>
      <c r="O110" s="13">
        <f>N110*VLOOKUP('Données projet'!$B$9,Paramètres!$A$1:$I$89,3,0)*VLOOKUP('Données projet'!$B$9,Paramètres!$A$1:$I$89,5,0)</f>
        <v>-1.2710188457276673E-13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255.5374979188561</v>
      </c>
      <c r="T110" s="59">
        <f t="shared" si="88"/>
        <v>343.10418468620901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0.67250919989399305</v>
      </c>
      <c r="AA110" s="21">
        <f>EXP(-LN(2)/25)*AA109+(1-EXP(-LN(2)/25))/(LN(2)/25)*Calculateur!V110*Calculateur!X110*VLOOKUP('Données projet'!$B$9,Paramètres!$A$1:$I$89,3,0)*0.475*44/12</f>
        <v>1.88741564923901</v>
      </c>
      <c r="AB110" s="21">
        <f>EXP(-LN(2)/2)*AB109+(1-EXP(-LN(2)/2))/(LN(2)/2)*V110*Y110*VLOOKUP('Données projet'!$B$9,Paramètres!$A$1:$I$89,3,0)*0.475*44/12</f>
        <v>4.3542450423828301E-12</v>
      </c>
      <c r="AC110" s="22">
        <f t="shared" si="57"/>
        <v>2.5599248491373574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1.1368683772161603E-13</v>
      </c>
      <c r="AJ110" s="13">
        <f>AI110*VLOOKUP('Données projet'!$B$10,Paramètres!$A$1:$I$89,3,0)*VLOOKUP('Données projet'!$B$10,Paramètres!$A$1:$I$89,5,0)</f>
        <v>6.3550942286383367E-14</v>
      </c>
      <c r="AK110" s="13">
        <f t="shared" si="89"/>
        <v>1.0064464192543978E-12</v>
      </c>
      <c r="AL110" s="20">
        <f t="shared" si="58"/>
        <v>1.8635787380168604E-12</v>
      </c>
      <c r="AM110" s="59">
        <f t="shared" si="59"/>
        <v>293.33333333333519</v>
      </c>
      <c r="AN110" s="59">
        <f ca="1">AVERAGE(OFFSET($AM$3,0,0,'Données projet'!$E$10+1,1))-AVERAGE(OFFSET($H$3,0,0,'Données projet'!$E$10+1,1))</f>
        <v>224.7049802939942</v>
      </c>
      <c r="AO110" s="59">
        <f t="shared" si="90"/>
        <v>203.48513862195352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0.48558450989949448</v>
      </c>
      <c r="AV110" s="21">
        <f>EXP(-LN(2)/25)*AV109+(1-EXP(-LN(2)/25))/(LN(2)/25)*Calculateur!AQ110*Calculateur!AS110*VLOOKUP('Données projet'!$B$10,Paramètres!$A$1:$I$89,3,0)*0.475*44/12</f>
        <v>2.3089160719233268</v>
      </c>
      <c r="AW110" s="21">
        <f>EXP(-LN(2)/2)*AW109+(1-EXP(-LN(2)/2))/(LN(2)/2)*AQ110*AT110*VLOOKUP('Données projet'!$B$10,Paramètres!$A$1:$I$89,3,0)*0.475*44/12</f>
        <v>2.3050633632897691E-11</v>
      </c>
      <c r="AX110" s="21">
        <f t="shared" si="60"/>
        <v>2.7945005818458717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>
        <f>BD110*VLOOKUP('Données projet'!$B$11,Paramètres!$A$1:$I$89,3,0)*VLOOKUP('Données projet'!$B$11,Paramètres!$A$1:$I$89,5,0)</f>
        <v>0</v>
      </c>
      <c r="BF110" s="13" t="e">
        <f t="shared" si="91"/>
        <v>#NUM!</v>
      </c>
      <c r="BG110" s="20" t="e">
        <f t="shared" si="61"/>
        <v>#NUM!</v>
      </c>
      <c r="BH110" s="59" t="e">
        <f t="shared" si="62"/>
        <v>#NUM!</v>
      </c>
      <c r="BI110" s="59">
        <f ca="1">AVERAGE(OFFSET($BH$3,0,0,'Données projet'!$E$11+1,1))-AVERAGE(OFFSET($H$3,0,0,'Données projet'!$E$11+1,1))</f>
        <v>210.04871822652808</v>
      </c>
      <c r="BJ110" s="59">
        <f t="shared" si="92"/>
        <v>250.17540614049324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1.5889694257750349</v>
      </c>
      <c r="BQ110" s="21">
        <f>EXP(-LN(2)/25)*BQ109+(1-EXP(-LN(2)/25))/(LN(2)/25)*Calculateur!BL110*Calculateur!BN110*VLOOKUP('Données projet'!$B$11,Paramètres!$A$1:$I$89,3,0)*0.475*44/12</f>
        <v>3.2911824250152555</v>
      </c>
      <c r="BR110" s="21">
        <f>EXP(-LN(2)/2)*BR109+(1-EXP(-LN(2)/2))/(LN(2)/2)*BL110*BO110*VLOOKUP('Données projet'!$B$11,Paramètres!$A$1:$I$89,3,0)*0.475*44/12</f>
        <v>5.5446074428334182E-11</v>
      </c>
      <c r="BS110" s="22">
        <f t="shared" si="63"/>
        <v>4.8801518508457367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2.2737367544323206E-13</v>
      </c>
      <c r="BZ110" s="13">
        <f>BY110*VLOOKUP('Données projet'!$B$12,Paramètres!$A$1:$I$89,3,0)*VLOOKUP('Données projet'!$B$12,Paramètres!$A$1:$I$89,5,0)</f>
        <v>1.2414602679200471E-13</v>
      </c>
      <c r="CA110" s="13">
        <f t="shared" si="93"/>
        <v>1.8186582995804361E-12</v>
      </c>
      <c r="CB110" s="20">
        <f t="shared" si="64"/>
        <v>3.3837175350986671E-12</v>
      </c>
      <c r="CC110" s="59">
        <f t="shared" si="65"/>
        <v>293.33333333333672</v>
      </c>
      <c r="CD110" s="59">
        <f ca="1">AVERAGE(OFFSET($CC$3,0,0,'Données projet'!$E$12+1,1))-AVERAGE(OFFSET($H$3,0,0,'Données projet'!$E$12+1,1))</f>
        <v>168.72306536277267</v>
      </c>
      <c r="CE110" s="59">
        <f t="shared" si="94"/>
        <v>203.35476578922339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0.66207059407293112</v>
      </c>
      <c r="CL110" s="21">
        <f>EXP(-LN(2)/25)*CL109+(1-EXP(-LN(2)/25))/(LN(2)/25)*Calculateur!CG110*Calculateur!CI110*VLOOKUP('Données projet'!$B$12,Paramètres!$A$1:$I$89,3,0)*0.475*44/12</f>
        <v>2.7181444242641186</v>
      </c>
      <c r="CM110" s="21">
        <f>EXP(-LN(2)/2)*CM109+(1-EXP(-LN(2)/2))/(LN(2)/2)*CG110*CJ110*VLOOKUP('Données projet'!$B$12,Paramètres!$A$1:$I$89,3,0)*0.475*44/12</f>
        <v>5.151013367837973E-11</v>
      </c>
      <c r="CN110" s="22">
        <f t="shared" si="66"/>
        <v>3.3802150183885602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34.000000000000014</v>
      </c>
      <c r="CT110" s="12">
        <f>IF('Données projet'!$A$140&gt;35,CT109+CS110-DB109,IF(A110&lt;'Données projet'!$A$140,$CQ$205^A110,IF(A110='Données projet'!$A$140,'Données projet'!$B$140,CT109+CS110-DB109)))</f>
        <v>1184.1538461538453</v>
      </c>
      <c r="CU110" s="17">
        <f>CT110*VLOOKUP('Données projet'!$B$13,Paramètres!$A$1:$I$89,3,0)*VLOOKUP('Données projet'!$B$13,Paramètres!$A$1:$I$89,5,0)</f>
        <v>569.57799999999963</v>
      </c>
      <c r="CV110" s="13">
        <f t="shared" si="95"/>
        <v>125.41771323791652</v>
      </c>
      <c r="CW110" s="20">
        <f t="shared" si="67"/>
        <v>1210.4508672227037</v>
      </c>
      <c r="CX110" s="59">
        <f t="shared" si="68"/>
        <v>1503.7842005560369</v>
      </c>
      <c r="CY110" s="59">
        <f ca="1">AVERAGE(OFFSET($CX$3,0,0,'Données projet'!$E$13+1,1))-AVERAGE(OFFSET($H$3,0,0,'Données projet'!$E$13+1,1))</f>
        <v>304.15237106473313</v>
      </c>
      <c r="CZ110" s="59">
        <f t="shared" si="96"/>
        <v>120.85458928724336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>
        <f>EXP(-LN(2)/35)*DF109+(1-EXP(-LN(2)/35))/(LN(2)/35)*DB110*DC110*VLOOKUP('Données projet'!$B$13,Paramètres!$A$1:$I$89,3,0)*0.475*44/12</f>
        <v>0</v>
      </c>
      <c r="DG110" s="21">
        <f>EXP(-LN(2)/25)*DG109+(1-EXP(-LN(2)/25))/(LN(2)/25)*Calculateur!DB110*Calculateur!DD110*VLOOKUP('Données projet'!$B$13,Paramètres!$A$1:$I$89,3,0)*0.475*44/12</f>
        <v>0</v>
      </c>
      <c r="DH110" s="21">
        <f>EXP(-LN(2)/2)*DH109+(1-EXP(-LN(2)/2))/(LN(2)/2)*DB110*DE110*VLOOKUP('Données projet'!$B$13,Paramètres!$A$1:$I$89,3,0)*0.475*44/12</f>
        <v>0</v>
      </c>
      <c r="DI110" s="22">
        <f t="shared" si="69"/>
        <v>0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10.769230769230768</v>
      </c>
      <c r="DO110" s="12">
        <f>IF('Données projet'!$A$166&gt;35,DO109+DN110-DW109,IF(A110&lt;'Données projet'!$A$166,$DL$205^A110,IF(A110='Données projet'!$A$166,'Données projet'!$B$166,DO109+DN110-DW109)))</f>
        <v>423.84615384615381</v>
      </c>
      <c r="DP110" s="17">
        <f>DO110*VLOOKUP('Données projet'!$B$14,Paramètres!$A$1:$I$89,3,0)*VLOOKUP('Données projet'!$B$14,Paramètres!$A$1:$I$89,5,0)</f>
        <v>203.87</v>
      </c>
      <c r="DQ110" s="13">
        <f t="shared" si="97"/>
        <v>50.593725601825966</v>
      </c>
      <c r="DR110" s="20">
        <f t="shared" si="70"/>
        <v>443.19098875651349</v>
      </c>
      <c r="DS110" s="59">
        <f t="shared" si="71"/>
        <v>736.52432208984681</v>
      </c>
      <c r="DT110" s="59">
        <f ca="1">AVERAGE(OFFSET($DS$3,0,0,'Données projet'!$E$14+1,1))-AVERAGE(OFFSET($H$3,0,0,'Données projet'!$E$14+1,1))</f>
        <v>91.053246648097399</v>
      </c>
      <c r="DU110" s="59">
        <f t="shared" si="98"/>
        <v>64.716270355703955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>
        <f>EXP(-LN(2)/35)*EA109+(1-EXP(-LN(2)/35))/(LN(2)/35)*DW110*DX110*VLOOKUP('Données projet'!$B$14,Paramètres!$A$1:$I$89,3,0)*0.475*44/12</f>
        <v>0</v>
      </c>
      <c r="EB110" s="21">
        <f>EXP(-LN(2)/25)*EB109+(1-EXP(-LN(2)/25))/(LN(2)/25)*Calculateur!DW110*Calculateur!DY110*VLOOKUP('Données projet'!$B$14,Paramètres!$A$1:$I$89,3,0)*0.475*44/12</f>
        <v>0</v>
      </c>
      <c r="EC110" s="21">
        <f>EXP(-LN(2)/2)*EC109+(1-EXP(-LN(2)/2))/(LN(2)/2)*DW110*DZ110*VLOOKUP('Données projet'!$B$14,Paramètres!$A$1:$I$89,3,0)*0.475*44/12</f>
        <v>0</v>
      </c>
      <c r="ED110" s="22">
        <f t="shared" si="72"/>
        <v>0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553.99999999999955</v>
      </c>
      <c r="EK110" s="17">
        <f>EJ110*VLOOKUP('Données projet'!$B$15,Paramètres!$A$1:$I$89,3,0)*VLOOKUP('Données projet'!$B$15,Paramètres!$A$1:$I$89,5,0)</f>
        <v>331.29199999999975</v>
      </c>
      <c r="EL110" s="13">
        <f t="shared" si="99"/>
        <v>77.698110787752</v>
      </c>
      <c r="EM110" s="20">
        <f t="shared" si="73"/>
        <v>712.32444295533423</v>
      </c>
      <c r="EN110" s="59">
        <f t="shared" si="74"/>
        <v>1005.6577762886675</v>
      </c>
      <c r="EO110" s="59">
        <f ca="1">AVERAGE(OFFSET($EN$3,0,0,'Données projet'!$E$15+1,1))-AVERAGE(OFFSET($H$3,0,0,'Données projet'!$E$15+1,1))</f>
        <v>316.58509520829671</v>
      </c>
      <c r="EP110" s="59">
        <f t="shared" si="100"/>
        <v>240.71332110643596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>
        <f>EXP(-LN(2)/35)*EV109+(1-EXP(-LN(2)/35))/(LN(2)/35)*ER110*ES110*VLOOKUP('Données projet'!$B$15,Paramètres!$A$1:$I$89,3,0)*0.475*44/12</f>
        <v>0.55161289802096836</v>
      </c>
      <c r="EW110" s="21">
        <f>EXP(-LN(2)/25)*EW109+(1-EXP(-LN(2)/25))/(LN(2)/25)*Calculateur!ER110*Calculateur!ET110*VLOOKUP('Données projet'!$B$15,Paramètres!$A$1:$I$89,3,0)*0.475*44/12</f>
        <v>1.8055423529581831</v>
      </c>
      <c r="EX110" s="21">
        <f>EXP(-LN(2)/2)*EX109+(1-EXP(-LN(2)/2))/(LN(2)/2)*ER110*EU110*VLOOKUP('Données projet'!$B$15,Paramètres!$A$1:$I$89,3,0)*0.475*44/12</f>
        <v>5.6437632373398567E-11</v>
      </c>
      <c r="EY110" s="22">
        <f t="shared" si="75"/>
        <v>2.3571552510355889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497</v>
      </c>
      <c r="FF110" s="17">
        <f>FE110*VLOOKUP('Données projet'!$B$16,Paramètres!$A$1:$I$89,3,0)*VLOOKUP('Données projet'!$B$16,Paramètres!$A$1:$I$89,5,0)</f>
        <v>297.20600000000002</v>
      </c>
      <c r="FG110" s="13">
        <f t="shared" si="101"/>
        <v>70.590415164571112</v>
      </c>
      <c r="FH110" s="20">
        <f t="shared" si="76"/>
        <v>640.57875641162809</v>
      </c>
      <c r="FI110" s="59">
        <f t="shared" si="77"/>
        <v>933.91208974496135</v>
      </c>
      <c r="FJ110" s="59">
        <f ca="1">AVERAGE(OFFSET($FI$3,0,0,'Données projet'!$E$16+1,1))-AVERAGE(OFFSET($H$3,0,0,'Données projet'!$E$16+1,1))</f>
        <v>270.30888762640245</v>
      </c>
      <c r="FK110" s="59">
        <f t="shared" si="102"/>
        <v>202.23783851977691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>
        <f>EXP(-LN(2)/35)*FQ109+(1-EXP(-LN(2)/35))/(LN(2)/35)*FM110*FN110*VLOOKUP('Données projet'!$B$16,Paramètres!$A$1:$I$89,3,0)*0.475*44/12</f>
        <v>0.46615174480645183</v>
      </c>
      <c r="FR110" s="21">
        <f>EXP(-LN(2)/25)*FR109+(1-EXP(-LN(2)/25))/(LN(2)/25)*Calculateur!FM110*Calculateur!FO110*VLOOKUP('Données projet'!$B$16,Paramètres!$A$1:$I$89,3,0)*0.475*44/12</f>
        <v>1.4539969636789247</v>
      </c>
      <c r="FS110" s="21">
        <f>EXP(-LN(2)/2)*FS109+(1-EXP(-LN(2)/2))/(LN(2)/2)*FM110*FP110*VLOOKUP('Données projet'!$B$16,Paramètres!$A$1:$I$89,3,0)*0.475*44/12</f>
        <v>4.7571116495660202E-11</v>
      </c>
      <c r="FT110" s="22">
        <f t="shared" si="78"/>
        <v>1.9201487085329476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-5.1159076974727213E-13</v>
      </c>
      <c r="GA110" s="17">
        <f>FZ110*VLOOKUP('Données projet'!$B$17,Paramètres!$A$1:$I$89,3,0)*VLOOKUP('Données projet'!$B$17,Paramètres!$A$1:$I$89,5,0)</f>
        <v>-4.0702161641092972E-13</v>
      </c>
      <c r="GB110" s="13" t="e">
        <f t="shared" si="103"/>
        <v>#NUM!</v>
      </c>
      <c r="GC110" s="20" t="e">
        <f t="shared" si="79"/>
        <v>#NUM!</v>
      </c>
      <c r="GD110" s="59" t="e">
        <f t="shared" si="80"/>
        <v>#NUM!</v>
      </c>
      <c r="GE110" s="59">
        <f ca="1">AVERAGE(OFFSET($GD$3,0,0,'Données projet'!$E$17+1,1))-AVERAGE(OFFSET($H$3,0,0,'Données projet'!$E$17+1,1))</f>
        <v>260.20517190557814</v>
      </c>
      <c r="GF110" s="59">
        <f t="shared" si="104"/>
        <v>307.22009971147133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>
        <f>EXP(-LN(2)/35)*GL109+(1-EXP(-LN(2)/35))/(LN(2)/35)*GH110*GI110*VLOOKUP('Données projet'!$B$17,Paramètres!$A$1:$I$89,3,0)*0.475*44/12</f>
        <v>0.71014953007108517</v>
      </c>
      <c r="GM110" s="21">
        <f>EXP(-LN(2)/25)*GM109+(1-EXP(-LN(2)/25))/(LN(2)/25)*Calculateur!GH110*Calculateur!GJ110*VLOOKUP('Données projet'!$B$17,Paramètres!$A$1:$I$89,3,0)*0.475*44/12</f>
        <v>2.4265908831956966</v>
      </c>
      <c r="GN110" s="21">
        <f>EXP(-LN(2)/2)*GN109+(1-EXP(-LN(2)/2))/(LN(2)/2)*GH110*GK110*VLOOKUP('Données projet'!$B$17,Paramètres!$A$1:$I$89,3,0)*0.475*44/12</f>
        <v>6.1838960876413211E-11</v>
      </c>
      <c r="GO110" s="21">
        <f t="shared" si="81"/>
        <v>3.1367404133286207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5.6843418860808015E-14</v>
      </c>
      <c r="GV110" s="17">
        <f>GU110*VLOOKUP('Données projet'!$B$18,Paramètres!$A$1:$I$89,3,0)*VLOOKUP('Données projet'!$B$18,Paramètres!$A$1:$I$89,5,0)</f>
        <v>4.5224624045658861E-14</v>
      </c>
      <c r="GW110" s="13">
        <f t="shared" si="105"/>
        <v>7.4514601661523691E-13</v>
      </c>
      <c r="GX110" s="20">
        <f t="shared" si="82"/>
        <v>1.3765621991510601E-12</v>
      </c>
      <c r="GY110" s="59">
        <f t="shared" si="83"/>
        <v>293.33333333333468</v>
      </c>
      <c r="GZ110" s="59">
        <f ca="1">AVERAGE(OFFSET($GY$3,0,0,'Données projet'!$E$18+1,1))-AVERAGE(OFFSET($H$3,0,0,'Données projet'!$E$18+1,1))</f>
        <v>199.58763537752952</v>
      </c>
      <c r="HA110" s="59">
        <f t="shared" si="106"/>
        <v>242.62852778451929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>
        <f>EXP(-LN(2)/35)*HG109+(1-EXP(-LN(2)/35))/(LN(2)/35)*HC110*HD110*VLOOKUP('Données projet'!$B$18,Paramètres!$A$1:$I$89,3,0)*0.475*44/12</f>
        <v>0</v>
      </c>
      <c r="HH110" s="21">
        <f>EXP(-LN(2)/25)*HH109+(1-EXP(-LN(2)/25))/(LN(2)/25)*Calculateur!HC110*Calculateur!HE110*VLOOKUP('Données projet'!$B$18,Paramètres!$A$1:$I$89,3,0)*0.475*44/12</f>
        <v>1.2160360649983035</v>
      </c>
      <c r="HI110" s="21">
        <f>EXP(-LN(2)/2)*HI109+(1-EXP(-LN(2)/2))/(LN(2)/2)*HC110*HF110*VLOOKUP('Données projet'!$B$18,Paramètres!$A$1:$I$89,3,0)*0.475*44/12</f>
        <v>2.7683457723400439E-11</v>
      </c>
      <c r="HJ110" s="22">
        <f t="shared" si="84"/>
        <v>1.2160360650259869</v>
      </c>
    </row>
    <row r="111" spans="1:218" x14ac:dyDescent="0.2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96.033600000000163</v>
      </c>
      <c r="D111" s="11">
        <f t="shared" si="86"/>
        <v>26.014843211471252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942.12833356223564</v>
      </c>
      <c r="H111" s="67">
        <f t="shared" si="56"/>
        <v>505.90103859331265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-2.2737367544323206E-13</v>
      </c>
      <c r="O111" s="13">
        <f>N111*VLOOKUP('Données projet'!$B$9,Paramètres!$A$1:$I$89,3,0)*VLOOKUP('Données projet'!$B$9,Paramètres!$A$1:$I$89,5,0)</f>
        <v>-1.2710188457276673E-13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255.5374979188561</v>
      </c>
      <c r="T111" s="59">
        <f t="shared" si="88"/>
        <v>343.10418468620901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0.65932170467418083</v>
      </c>
      <c r="AA111" s="21">
        <f>EXP(-LN(2)/25)*AA110+(1-EXP(-LN(2)/25))/(LN(2)/25)*Calculateur!V111*Calculateur!X111*VLOOKUP('Données projet'!$B$9,Paramètres!$A$1:$I$89,3,0)*0.475*44/12</f>
        <v>1.8358041690556939</v>
      </c>
      <c r="AB111" s="21">
        <f>EXP(-LN(2)/2)*AB110+(1-EXP(-LN(2)/2))/(LN(2)/2)*V111*Y111*VLOOKUP('Données projet'!$B$9,Paramètres!$A$1:$I$89,3,0)*0.475*44/12</f>
        <v>3.0789161964168052E-12</v>
      </c>
      <c r="AC111" s="22">
        <f t="shared" si="57"/>
        <v>2.4951258737329538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1.1368683772161603E-13</v>
      </c>
      <c r="AJ111" s="13">
        <f>AI111*VLOOKUP('Données projet'!$B$10,Paramètres!$A$1:$I$89,3,0)*VLOOKUP('Données projet'!$B$10,Paramètres!$A$1:$I$89,5,0)</f>
        <v>6.3550942286383367E-14</v>
      </c>
      <c r="AK111" s="13">
        <f t="shared" si="89"/>
        <v>1.0064464192543978E-12</v>
      </c>
      <c r="AL111" s="20">
        <f t="shared" si="58"/>
        <v>1.8635787380168604E-12</v>
      </c>
      <c r="AM111" s="59">
        <f t="shared" si="59"/>
        <v>293.33333333333519</v>
      </c>
      <c r="AN111" s="59">
        <f ca="1">AVERAGE(OFFSET($AM$3,0,0,'Données projet'!$E$10+1,1))-AVERAGE(OFFSET($H$3,0,0,'Données projet'!$E$10+1,1))</f>
        <v>224.7049802939942</v>
      </c>
      <c r="AO111" s="59">
        <f t="shared" si="90"/>
        <v>203.48513862195352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0.47606249383767135</v>
      </c>
      <c r="AV111" s="21">
        <f>EXP(-LN(2)/25)*AV110+(1-EXP(-LN(2)/25))/(LN(2)/25)*Calculateur!AQ111*Calculateur!AS111*VLOOKUP('Données projet'!$B$10,Paramètres!$A$1:$I$89,3,0)*0.475*44/12</f>
        <v>2.2457786405159643</v>
      </c>
      <c r="AW111" s="21">
        <f>EXP(-LN(2)/2)*AW110+(1-EXP(-LN(2)/2))/(LN(2)/2)*AQ111*AT111*VLOOKUP('Données projet'!$B$10,Paramètres!$A$1:$I$89,3,0)*0.475*44/12</f>
        <v>1.6299259352468661E-11</v>
      </c>
      <c r="AX111" s="21">
        <f t="shared" si="60"/>
        <v>2.7218411343699351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>
        <f>BD111*VLOOKUP('Données projet'!$B$11,Paramètres!$A$1:$I$89,3,0)*VLOOKUP('Données projet'!$B$11,Paramètres!$A$1:$I$89,5,0)</f>
        <v>0</v>
      </c>
      <c r="BF111" s="13" t="e">
        <f t="shared" si="91"/>
        <v>#NUM!</v>
      </c>
      <c r="BG111" s="20" t="e">
        <f t="shared" si="61"/>
        <v>#NUM!</v>
      </c>
      <c r="BH111" s="59" t="e">
        <f t="shared" si="62"/>
        <v>#NUM!</v>
      </c>
      <c r="BI111" s="59">
        <f ca="1">AVERAGE(OFFSET($BH$3,0,0,'Données projet'!$E$11+1,1))-AVERAGE(OFFSET($H$3,0,0,'Données projet'!$E$11+1,1))</f>
        <v>210.04871822652808</v>
      </c>
      <c r="BJ111" s="59">
        <f t="shared" si="92"/>
        <v>250.17540614049324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1.5578107045112379</v>
      </c>
      <c r="BQ111" s="21">
        <f>EXP(-LN(2)/25)*BQ110+(1-EXP(-LN(2)/25))/(LN(2)/25)*Calculateur!BL111*Calculateur!BN111*VLOOKUP('Données projet'!$B$11,Paramètres!$A$1:$I$89,3,0)*0.475*44/12</f>
        <v>3.2011848685274518</v>
      </c>
      <c r="BR111" s="21">
        <f>EXP(-LN(2)/2)*BR110+(1-EXP(-LN(2)/2))/(LN(2)/2)*BL111*BO111*VLOOKUP('Données projet'!$B$11,Paramètres!$A$1:$I$89,3,0)*0.475*44/12</f>
        <v>3.9206295218449126E-11</v>
      </c>
      <c r="BS111" s="22">
        <f t="shared" si="63"/>
        <v>4.7589955730778959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2.2737367544323206E-13</v>
      </c>
      <c r="BZ111" s="13">
        <f>BY111*VLOOKUP('Données projet'!$B$12,Paramètres!$A$1:$I$89,3,0)*VLOOKUP('Données projet'!$B$12,Paramètres!$A$1:$I$89,5,0)</f>
        <v>1.2414602679200471E-13</v>
      </c>
      <c r="CA111" s="13">
        <f t="shared" si="93"/>
        <v>1.8186582995804361E-12</v>
      </c>
      <c r="CB111" s="20">
        <f t="shared" si="64"/>
        <v>3.3837175350986671E-12</v>
      </c>
      <c r="CC111" s="59">
        <f t="shared" si="65"/>
        <v>293.33333333333672</v>
      </c>
      <c r="CD111" s="59">
        <f ca="1">AVERAGE(OFFSET($CC$3,0,0,'Données projet'!$E$12+1,1))-AVERAGE(OFFSET($H$3,0,0,'Données projet'!$E$12+1,1))</f>
        <v>168.72306536277267</v>
      </c>
      <c r="CE111" s="59">
        <f t="shared" si="94"/>
        <v>203.35476578922339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0.64908779354634905</v>
      </c>
      <c r="CL111" s="21">
        <f>EXP(-LN(2)/25)*CL110+(1-EXP(-LN(2)/25))/(LN(2)/25)*Calculateur!CG111*Calculateur!CI111*VLOOKUP('Données projet'!$B$12,Paramètres!$A$1:$I$89,3,0)*0.475*44/12</f>
        <v>2.6438166220416135</v>
      </c>
      <c r="CM111" s="21">
        <f>EXP(-LN(2)/2)*CM110+(1-EXP(-LN(2)/2))/(LN(2)/2)*CG111*CJ111*VLOOKUP('Données projet'!$B$12,Paramètres!$A$1:$I$89,3,0)*0.475*44/12</f>
        <v>3.6423164823807867E-11</v>
      </c>
      <c r="CN111" s="22">
        <f t="shared" si="66"/>
        <v>3.2929044156243856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34.000000000000014</v>
      </c>
      <c r="CT111" s="12">
        <f>IF('Données projet'!$A$140&gt;35,CT110+CS111-DB110,IF(A111&lt;'Données projet'!$A$140,$CQ$205^A111,IF(A111='Données projet'!$A$140,'Données projet'!$B$140,CT110+CS111-DB110)))</f>
        <v>1218.1538461538453</v>
      </c>
      <c r="CU111" s="17">
        <f>CT111*VLOOKUP('Données projet'!$B$13,Paramètres!$A$1:$I$89,3,0)*VLOOKUP('Données projet'!$B$13,Paramètres!$A$1:$I$89,5,0)</f>
        <v>585.93199999999956</v>
      </c>
      <c r="CV111" s="13">
        <f t="shared" si="95"/>
        <v>128.59434359280618</v>
      </c>
      <c r="CW111" s="20">
        <f t="shared" si="67"/>
        <v>1244.4667150908033</v>
      </c>
      <c r="CX111" s="59">
        <f t="shared" si="68"/>
        <v>1537.8000484241365</v>
      </c>
      <c r="CY111" s="59">
        <f ca="1">AVERAGE(OFFSET($CX$3,0,0,'Données projet'!$E$13+1,1))-AVERAGE(OFFSET($H$3,0,0,'Données projet'!$E$13+1,1))</f>
        <v>304.15237106473313</v>
      </c>
      <c r="CZ111" s="59">
        <f t="shared" si="96"/>
        <v>120.85458928724336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>
        <f>EXP(-LN(2)/35)*DF110+(1-EXP(-LN(2)/35))/(LN(2)/35)*DB111*DC111*VLOOKUP('Données projet'!$B$13,Paramètres!$A$1:$I$89,3,0)*0.475*44/12</f>
        <v>0</v>
      </c>
      <c r="DG111" s="21">
        <f>EXP(-LN(2)/25)*DG110+(1-EXP(-LN(2)/25))/(LN(2)/25)*Calculateur!DB111*Calculateur!DD111*VLOOKUP('Données projet'!$B$13,Paramètres!$A$1:$I$89,3,0)*0.475*44/12</f>
        <v>0</v>
      </c>
      <c r="DH111" s="21">
        <f>EXP(-LN(2)/2)*DH110+(1-EXP(-LN(2)/2))/(LN(2)/2)*DB111*DE111*VLOOKUP('Données projet'!$B$13,Paramètres!$A$1:$I$89,3,0)*0.475*44/12</f>
        <v>0</v>
      </c>
      <c r="DI111" s="22">
        <f t="shared" si="69"/>
        <v>0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10.769230769230768</v>
      </c>
      <c r="DO111" s="12">
        <f>IF('Données projet'!$A$166&gt;35,DO110+DN111-DW110,IF(A111&lt;'Données projet'!$A$166,$DL$205^A111,IF(A111='Données projet'!$A$166,'Données projet'!$B$166,DO110+DN111-DW110)))</f>
        <v>434.61538461538458</v>
      </c>
      <c r="DP111" s="17">
        <f>DO111*VLOOKUP('Données projet'!$B$14,Paramètres!$A$1:$I$89,3,0)*VLOOKUP('Données projet'!$B$14,Paramètres!$A$1:$I$89,5,0)</f>
        <v>209.04999999999998</v>
      </c>
      <c r="DQ111" s="13">
        <f t="shared" si="97"/>
        <v>51.727932046588947</v>
      </c>
      <c r="DR111" s="20">
        <f t="shared" si="70"/>
        <v>454.18823164780906</v>
      </c>
      <c r="DS111" s="59">
        <f t="shared" si="71"/>
        <v>747.52156498114232</v>
      </c>
      <c r="DT111" s="59">
        <f ca="1">AVERAGE(OFFSET($DS$3,0,0,'Données projet'!$E$14+1,1))-AVERAGE(OFFSET($H$3,0,0,'Données projet'!$E$14+1,1))</f>
        <v>91.053246648097399</v>
      </c>
      <c r="DU111" s="59">
        <f t="shared" si="98"/>
        <v>64.716270355703955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>
        <f>EXP(-LN(2)/35)*EA110+(1-EXP(-LN(2)/35))/(LN(2)/35)*DW111*DX111*VLOOKUP('Données projet'!$B$14,Paramètres!$A$1:$I$89,3,0)*0.475*44/12</f>
        <v>0</v>
      </c>
      <c r="EB111" s="21">
        <f>EXP(-LN(2)/25)*EB110+(1-EXP(-LN(2)/25))/(LN(2)/25)*Calculateur!DW111*Calculateur!DY111*VLOOKUP('Données projet'!$B$14,Paramètres!$A$1:$I$89,3,0)*0.475*44/12</f>
        <v>0</v>
      </c>
      <c r="EC111" s="21">
        <f>EXP(-LN(2)/2)*EC110+(1-EXP(-LN(2)/2))/(LN(2)/2)*DW111*DZ111*VLOOKUP('Données projet'!$B$14,Paramètres!$A$1:$I$89,3,0)*0.475*44/12</f>
        <v>0</v>
      </c>
      <c r="ED111" s="22">
        <f t="shared" si="72"/>
        <v>0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553.99999999999955</v>
      </c>
      <c r="EK111" s="17">
        <f>EJ111*VLOOKUP('Données projet'!$B$15,Paramètres!$A$1:$I$89,3,0)*VLOOKUP('Données projet'!$B$15,Paramètres!$A$1:$I$89,5,0)</f>
        <v>331.29199999999975</v>
      </c>
      <c r="EL111" s="13">
        <f t="shared" si="99"/>
        <v>77.698110787752</v>
      </c>
      <c r="EM111" s="20">
        <f t="shared" si="73"/>
        <v>712.32444295533423</v>
      </c>
      <c r="EN111" s="59">
        <f t="shared" si="74"/>
        <v>1005.6577762886675</v>
      </c>
      <c r="EO111" s="59">
        <f ca="1">AVERAGE(OFFSET($EN$3,0,0,'Données projet'!$E$15+1,1))-AVERAGE(OFFSET($H$3,0,0,'Données projet'!$E$15+1,1))</f>
        <v>316.58509520829671</v>
      </c>
      <c r="EP111" s="59">
        <f t="shared" si="100"/>
        <v>240.71332110643596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>
        <f>EXP(-LN(2)/35)*EV110+(1-EXP(-LN(2)/35))/(LN(2)/35)*ER111*ES111*VLOOKUP('Données projet'!$B$15,Paramètres!$A$1:$I$89,3,0)*0.475*44/12</f>
        <v>0.54079610554142321</v>
      </c>
      <c r="EW111" s="21">
        <f>EXP(-LN(2)/25)*EW110+(1-EXP(-LN(2)/25))/(LN(2)/25)*Calculateur!ER111*Calculateur!ET111*VLOOKUP('Données projet'!$B$15,Paramètres!$A$1:$I$89,3,0)*0.475*44/12</f>
        <v>1.7561697023671958</v>
      </c>
      <c r="EX111" s="21">
        <f>EXP(-LN(2)/2)*EX110+(1-EXP(-LN(2)/2))/(LN(2)/2)*ER111*EU111*VLOOKUP('Données projet'!$B$15,Paramètres!$A$1:$I$89,3,0)*0.475*44/12</f>
        <v>3.9907432565343555E-11</v>
      </c>
      <c r="EY111" s="22">
        <f t="shared" si="75"/>
        <v>2.2969658079485269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497</v>
      </c>
      <c r="FF111" s="17">
        <f>FE111*VLOOKUP('Données projet'!$B$16,Paramètres!$A$1:$I$89,3,0)*VLOOKUP('Données projet'!$B$16,Paramètres!$A$1:$I$89,5,0)</f>
        <v>297.20600000000002</v>
      </c>
      <c r="FG111" s="13">
        <f t="shared" si="101"/>
        <v>70.590415164571112</v>
      </c>
      <c r="FH111" s="20">
        <f t="shared" si="76"/>
        <v>640.57875641162809</v>
      </c>
      <c r="FI111" s="59">
        <f t="shared" si="77"/>
        <v>933.91208974496135</v>
      </c>
      <c r="FJ111" s="59">
        <f ca="1">AVERAGE(OFFSET($FI$3,0,0,'Données projet'!$E$16+1,1))-AVERAGE(OFFSET($H$3,0,0,'Données projet'!$E$16+1,1))</f>
        <v>270.30888762640245</v>
      </c>
      <c r="FK111" s="59">
        <f t="shared" si="102"/>
        <v>202.23783851977691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>
        <f>EXP(-LN(2)/35)*FQ110+(1-EXP(-LN(2)/35))/(LN(2)/35)*FM111*FN111*VLOOKUP('Données projet'!$B$16,Paramètres!$A$1:$I$89,3,0)*0.475*44/12</f>
        <v>0.45701079341528694</v>
      </c>
      <c r="FR111" s="21">
        <f>EXP(-LN(2)/25)*FR110+(1-EXP(-LN(2)/25))/(LN(2)/25)*Calculateur!FM111*Calculateur!FO111*VLOOKUP('Données projet'!$B$16,Paramètres!$A$1:$I$89,3,0)*0.475*44/12</f>
        <v>1.4142373402447475</v>
      </c>
      <c r="FS111" s="21">
        <f>EXP(-LN(2)/2)*FS110+(1-EXP(-LN(2)/2))/(LN(2)/2)*FM111*FP111*VLOOKUP('Données projet'!$B$16,Paramètres!$A$1:$I$89,3,0)*0.475*44/12</f>
        <v>3.363785906269656E-11</v>
      </c>
      <c r="FT111" s="22">
        <f t="shared" si="78"/>
        <v>1.8712481336936722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-5.1159076974727213E-13</v>
      </c>
      <c r="GA111" s="17">
        <f>FZ111*VLOOKUP('Données projet'!$B$17,Paramètres!$A$1:$I$89,3,0)*VLOOKUP('Données projet'!$B$17,Paramètres!$A$1:$I$89,5,0)</f>
        <v>-4.0702161641092972E-13</v>
      </c>
      <c r="GB111" s="13" t="e">
        <f t="shared" si="103"/>
        <v>#NUM!</v>
      </c>
      <c r="GC111" s="20" t="e">
        <f t="shared" si="79"/>
        <v>#NUM!</v>
      </c>
      <c r="GD111" s="59" t="e">
        <f t="shared" si="80"/>
        <v>#NUM!</v>
      </c>
      <c r="GE111" s="59">
        <f ca="1">AVERAGE(OFFSET($GD$3,0,0,'Données projet'!$E$17+1,1))-AVERAGE(OFFSET($H$3,0,0,'Données projet'!$E$17+1,1))</f>
        <v>260.20517190557814</v>
      </c>
      <c r="GF111" s="59">
        <f t="shared" si="104"/>
        <v>307.22009971147133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>
        <f>EXP(-LN(2)/35)*GL110+(1-EXP(-LN(2)/35))/(LN(2)/35)*GH111*GI111*VLOOKUP('Données projet'!$B$17,Paramètres!$A$1:$I$89,3,0)*0.475*44/12</f>
        <v>0.6962239309348347</v>
      </c>
      <c r="GM111" s="21">
        <f>EXP(-LN(2)/25)*GM110+(1-EXP(-LN(2)/25))/(LN(2)/25)*Calculateur!GH111*Calculateur!GJ111*VLOOKUP('Données projet'!$B$17,Paramètres!$A$1:$I$89,3,0)*0.475*44/12</f>
        <v>2.3602356278858418</v>
      </c>
      <c r="GN111" s="21">
        <f>EXP(-LN(2)/2)*GN110+(1-EXP(-LN(2)/2))/(LN(2)/2)*GH111*GK111*VLOOKUP('Données projet'!$B$17,Paramètres!$A$1:$I$89,3,0)*0.475*44/12</f>
        <v>4.372674857724139E-11</v>
      </c>
      <c r="GO111" s="21">
        <f t="shared" si="81"/>
        <v>3.0564595588644035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5.6843418860808015E-14</v>
      </c>
      <c r="GV111" s="17">
        <f>GU111*VLOOKUP('Données projet'!$B$18,Paramètres!$A$1:$I$89,3,0)*VLOOKUP('Données projet'!$B$18,Paramètres!$A$1:$I$89,5,0)</f>
        <v>4.5224624045658861E-14</v>
      </c>
      <c r="GW111" s="13">
        <f t="shared" si="105"/>
        <v>7.4514601661523691E-13</v>
      </c>
      <c r="GX111" s="20">
        <f t="shared" si="82"/>
        <v>1.3765621991510601E-12</v>
      </c>
      <c r="GY111" s="59">
        <f t="shared" si="83"/>
        <v>293.33333333333468</v>
      </c>
      <c r="GZ111" s="59">
        <f ca="1">AVERAGE(OFFSET($GY$3,0,0,'Données projet'!$E$18+1,1))-AVERAGE(OFFSET($H$3,0,0,'Données projet'!$E$18+1,1))</f>
        <v>199.58763537752952</v>
      </c>
      <c r="HA111" s="59">
        <f t="shared" si="106"/>
        <v>242.62852778451929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>
        <f>EXP(-LN(2)/35)*HG110+(1-EXP(-LN(2)/35))/(LN(2)/35)*HC111*HD111*VLOOKUP('Données projet'!$B$18,Paramètres!$A$1:$I$89,3,0)*0.475*44/12</f>
        <v>0</v>
      </c>
      <c r="HH111" s="21">
        <f>EXP(-LN(2)/25)*HH110+(1-EXP(-LN(2)/25))/(LN(2)/25)*Calculateur!HC111*Calculateur!HE111*VLOOKUP('Données projet'!$B$18,Paramètres!$A$1:$I$89,3,0)*0.475*44/12</f>
        <v>1.1827834948523674</v>
      </c>
      <c r="HI111" s="21">
        <f>EXP(-LN(2)/2)*HI110+(1-EXP(-LN(2)/2))/(LN(2)/2)*HC111*HF111*VLOOKUP('Données projet'!$B$18,Paramètres!$A$1:$I$89,3,0)*0.475*44/12</f>
        <v>1.9575160682907553E-11</v>
      </c>
      <c r="HJ111" s="22">
        <f t="shared" si="84"/>
        <v>1.1827834948719427</v>
      </c>
    </row>
    <row r="112" spans="1:218" x14ac:dyDescent="0.2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96.922800000000166</v>
      </c>
      <c r="D112" s="11">
        <f t="shared" si="86"/>
        <v>26.227568865645399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950.6344263312991</v>
      </c>
      <c r="H112" s="67">
        <f t="shared" si="56"/>
        <v>507.82022577433264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-2.2737367544323206E-13</v>
      </c>
      <c r="O112" s="13">
        <f>N112*VLOOKUP('Données projet'!$B$9,Paramètres!$A$1:$I$89,3,0)*VLOOKUP('Données projet'!$B$9,Paramètres!$A$1:$I$89,5,0)</f>
        <v>-1.2710188457276673E-13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255.5374979188561</v>
      </c>
      <c r="T112" s="59">
        <f t="shared" si="88"/>
        <v>343.10418468620901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0.64639280819205136</v>
      </c>
      <c r="AA112" s="21">
        <f>EXP(-LN(2)/25)*AA111+(1-EXP(-LN(2)/25))/(LN(2)/25)*Calculateur!V112*Calculateur!X112*VLOOKUP('Données projet'!$B$9,Paramètres!$A$1:$I$89,3,0)*0.475*44/12</f>
        <v>1.7856040075121205</v>
      </c>
      <c r="AB112" s="21">
        <f>EXP(-LN(2)/2)*AB111+(1-EXP(-LN(2)/2))/(LN(2)/2)*V112*Y112*VLOOKUP('Données projet'!$B$9,Paramètres!$A$1:$I$89,3,0)*0.475*44/12</f>
        <v>2.1771225211914151E-12</v>
      </c>
      <c r="AC112" s="22">
        <f t="shared" si="57"/>
        <v>2.4319968157063485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1.1368683772161603E-13</v>
      </c>
      <c r="AJ112" s="13">
        <f>AI112*VLOOKUP('Données projet'!$B$10,Paramètres!$A$1:$I$89,3,0)*VLOOKUP('Données projet'!$B$10,Paramètres!$A$1:$I$89,5,0)</f>
        <v>6.3550942286383367E-14</v>
      </c>
      <c r="AK112" s="13">
        <f t="shared" si="89"/>
        <v>1.0064464192543978E-12</v>
      </c>
      <c r="AL112" s="20">
        <f t="shared" si="58"/>
        <v>1.8635787380168604E-12</v>
      </c>
      <c r="AM112" s="59">
        <f t="shared" si="59"/>
        <v>293.33333333333519</v>
      </c>
      <c r="AN112" s="59">
        <f ca="1">AVERAGE(OFFSET($AM$3,0,0,'Données projet'!$E$10+1,1))-AVERAGE(OFFSET($H$3,0,0,'Données projet'!$E$10+1,1))</f>
        <v>224.7049802939942</v>
      </c>
      <c r="AO112" s="59">
        <f t="shared" si="90"/>
        <v>203.48513862195352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0.46672719870296425</v>
      </c>
      <c r="AV112" s="21">
        <f>EXP(-LN(2)/25)*AV111+(1-EXP(-LN(2)/25))/(LN(2)/25)*Calculateur!AQ112*Calculateur!AS112*VLOOKUP('Données projet'!$B$10,Paramètres!$A$1:$I$89,3,0)*0.475*44/12</f>
        <v>2.1843677054906894</v>
      </c>
      <c r="AW112" s="21">
        <f>EXP(-LN(2)/2)*AW111+(1-EXP(-LN(2)/2))/(LN(2)/2)*AQ112*AT112*VLOOKUP('Données projet'!$B$10,Paramètres!$A$1:$I$89,3,0)*0.475*44/12</f>
        <v>1.1525316816448846E-11</v>
      </c>
      <c r="AX112" s="21">
        <f t="shared" si="60"/>
        <v>2.6510949042051792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>
        <f>BD112*VLOOKUP('Données projet'!$B$11,Paramètres!$A$1:$I$89,3,0)*VLOOKUP('Données projet'!$B$11,Paramètres!$A$1:$I$89,5,0)</f>
        <v>0</v>
      </c>
      <c r="BF112" s="13" t="e">
        <f t="shared" si="91"/>
        <v>#NUM!</v>
      </c>
      <c r="BG112" s="20" t="e">
        <f t="shared" si="61"/>
        <v>#NUM!</v>
      </c>
      <c r="BH112" s="59" t="e">
        <f t="shared" si="62"/>
        <v>#NUM!</v>
      </c>
      <c r="BI112" s="59">
        <f ca="1">AVERAGE(OFFSET($BH$3,0,0,'Données projet'!$E$11+1,1))-AVERAGE(OFFSET($H$3,0,0,'Données projet'!$E$11+1,1))</f>
        <v>210.04871822652808</v>
      </c>
      <c r="BJ112" s="59">
        <f t="shared" si="92"/>
        <v>250.17540614049324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1.5272629867664806</v>
      </c>
      <c r="BQ112" s="21">
        <f>EXP(-LN(2)/25)*BQ111+(1-EXP(-LN(2)/25))/(LN(2)/25)*Calculateur!BL112*Calculateur!BN112*VLOOKUP('Données projet'!$B$11,Paramètres!$A$1:$I$89,3,0)*0.475*44/12</f>
        <v>3.1136482999545727</v>
      </c>
      <c r="BR112" s="21">
        <f>EXP(-LN(2)/2)*BR111+(1-EXP(-LN(2)/2))/(LN(2)/2)*BL112*BO112*VLOOKUP('Données projet'!$B$11,Paramètres!$A$1:$I$89,3,0)*0.475*44/12</f>
        <v>2.7723037214167091E-11</v>
      </c>
      <c r="BS112" s="22">
        <f t="shared" si="63"/>
        <v>4.6409112867487758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2.2737367544323206E-13</v>
      </c>
      <c r="BZ112" s="13">
        <f>BY112*VLOOKUP('Données projet'!$B$12,Paramètres!$A$1:$I$89,3,0)*VLOOKUP('Données projet'!$B$12,Paramètres!$A$1:$I$89,5,0)</f>
        <v>1.2414602679200471E-13</v>
      </c>
      <c r="CA112" s="13">
        <f t="shared" si="93"/>
        <v>1.8186582995804361E-12</v>
      </c>
      <c r="CB112" s="20">
        <f t="shared" si="64"/>
        <v>3.3837175350986671E-12</v>
      </c>
      <c r="CC112" s="59">
        <f t="shared" si="65"/>
        <v>293.33333333333672</v>
      </c>
      <c r="CD112" s="59">
        <f ca="1">AVERAGE(OFFSET($CC$3,0,0,'Données projet'!$E$12+1,1))-AVERAGE(OFFSET($H$3,0,0,'Données projet'!$E$12+1,1))</f>
        <v>168.72306536277267</v>
      </c>
      <c r="CE112" s="59">
        <f t="shared" si="94"/>
        <v>203.35476578922339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0.63635957781936692</v>
      </c>
      <c r="CL112" s="21">
        <f>EXP(-LN(2)/25)*CL111+(1-EXP(-LN(2)/25))/(LN(2)/25)*Calculateur!CG112*Calculateur!CI112*VLOOKUP('Données projet'!$B$12,Paramètres!$A$1:$I$89,3,0)*0.475*44/12</f>
        <v>2.5715213174796121</v>
      </c>
      <c r="CM112" s="21">
        <f>EXP(-LN(2)/2)*CM111+(1-EXP(-LN(2)/2))/(LN(2)/2)*CG112*CJ112*VLOOKUP('Données projet'!$B$12,Paramètres!$A$1:$I$89,3,0)*0.475*44/12</f>
        <v>2.5755066839189865E-11</v>
      </c>
      <c r="CN112" s="22">
        <f t="shared" si="66"/>
        <v>3.2078808953247342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34.000000000000014</v>
      </c>
      <c r="CT112" s="12">
        <f>IF('Données projet'!$A$140&gt;35,CT111+CS112-DB111,IF(A112&lt;'Données projet'!$A$140,$CQ$205^A112,IF(A112='Données projet'!$A$140,'Données projet'!$B$140,CT111+CS112-DB111)))</f>
        <v>1252.1538461538453</v>
      </c>
      <c r="CU112" s="17">
        <f>CT112*VLOOKUP('Données projet'!$B$13,Paramètres!$A$1:$I$89,3,0)*VLOOKUP('Données projet'!$B$13,Paramètres!$A$1:$I$89,5,0)</f>
        <v>602.2859999999996</v>
      </c>
      <c r="CV112" s="13">
        <f t="shared" si="95"/>
        <v>131.76066888262602</v>
      </c>
      <c r="CW112" s="20">
        <f t="shared" si="67"/>
        <v>1278.4646149705729</v>
      </c>
      <c r="CX112" s="59">
        <f t="shared" si="68"/>
        <v>1571.7979483039062</v>
      </c>
      <c r="CY112" s="59">
        <f ca="1">AVERAGE(OFFSET($CX$3,0,0,'Données projet'!$E$13+1,1))-AVERAGE(OFFSET($H$3,0,0,'Données projet'!$E$13+1,1))</f>
        <v>304.15237106473313</v>
      </c>
      <c r="CZ112" s="59">
        <f t="shared" si="96"/>
        <v>120.85458928724336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>
        <f>EXP(-LN(2)/35)*DF111+(1-EXP(-LN(2)/35))/(LN(2)/35)*DB112*DC112*VLOOKUP('Données projet'!$B$13,Paramètres!$A$1:$I$89,3,0)*0.475*44/12</f>
        <v>0</v>
      </c>
      <c r="DG112" s="21">
        <f>EXP(-LN(2)/25)*DG111+(1-EXP(-LN(2)/25))/(LN(2)/25)*Calculateur!DB112*Calculateur!DD112*VLOOKUP('Données projet'!$B$13,Paramètres!$A$1:$I$89,3,0)*0.475*44/12</f>
        <v>0</v>
      </c>
      <c r="DH112" s="21">
        <f>EXP(-LN(2)/2)*DH111+(1-EXP(-LN(2)/2))/(LN(2)/2)*DB112*DE112*VLOOKUP('Données projet'!$B$13,Paramètres!$A$1:$I$89,3,0)*0.475*44/12</f>
        <v>0</v>
      </c>
      <c r="DI112" s="22">
        <f t="shared" si="69"/>
        <v>0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10.769230769230768</v>
      </c>
      <c r="DO112" s="12">
        <f>IF('Données projet'!$A$166&gt;35,DO111+DN112-DW111,IF(A112&lt;'Données projet'!$A$166,$DL$205^A112,IF(A112='Données projet'!$A$166,'Données projet'!$B$166,DO111+DN112-DW111)))</f>
        <v>445.38461538461536</v>
      </c>
      <c r="DP112" s="17">
        <f>DO112*VLOOKUP('Données projet'!$B$14,Paramètres!$A$1:$I$89,3,0)*VLOOKUP('Données projet'!$B$14,Paramètres!$A$1:$I$89,5,0)</f>
        <v>214.23</v>
      </c>
      <c r="DQ112" s="13">
        <f t="shared" si="97"/>
        <v>52.858871518744429</v>
      </c>
      <c r="DR112" s="20">
        <f t="shared" si="70"/>
        <v>465.17978456181322</v>
      </c>
      <c r="DS112" s="59">
        <f t="shared" si="71"/>
        <v>758.51311789514648</v>
      </c>
      <c r="DT112" s="59">
        <f ca="1">AVERAGE(OFFSET($DS$3,0,0,'Données projet'!$E$14+1,1))-AVERAGE(OFFSET($H$3,0,0,'Données projet'!$E$14+1,1))</f>
        <v>91.053246648097399</v>
      </c>
      <c r="DU112" s="59">
        <f t="shared" si="98"/>
        <v>64.716270355703955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>
        <f>EXP(-LN(2)/35)*EA111+(1-EXP(-LN(2)/35))/(LN(2)/35)*DW112*DX112*VLOOKUP('Données projet'!$B$14,Paramètres!$A$1:$I$89,3,0)*0.475*44/12</f>
        <v>0</v>
      </c>
      <c r="EB112" s="21">
        <f>EXP(-LN(2)/25)*EB111+(1-EXP(-LN(2)/25))/(LN(2)/25)*Calculateur!DW112*Calculateur!DY112*VLOOKUP('Données projet'!$B$14,Paramètres!$A$1:$I$89,3,0)*0.475*44/12</f>
        <v>0</v>
      </c>
      <c r="EC112" s="21">
        <f>EXP(-LN(2)/2)*EC111+(1-EXP(-LN(2)/2))/(LN(2)/2)*DW112*DZ112*VLOOKUP('Données projet'!$B$14,Paramètres!$A$1:$I$89,3,0)*0.475*44/12</f>
        <v>0</v>
      </c>
      <c r="ED112" s="22">
        <f t="shared" si="72"/>
        <v>0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553.99999999999955</v>
      </c>
      <c r="EK112" s="17">
        <f>EJ112*VLOOKUP('Données projet'!$B$15,Paramètres!$A$1:$I$89,3,0)*VLOOKUP('Données projet'!$B$15,Paramètres!$A$1:$I$89,5,0)</f>
        <v>331.29199999999975</v>
      </c>
      <c r="EL112" s="13">
        <f t="shared" si="99"/>
        <v>77.698110787752</v>
      </c>
      <c r="EM112" s="20">
        <f t="shared" si="73"/>
        <v>712.32444295533423</v>
      </c>
      <c r="EN112" s="59">
        <f t="shared" si="74"/>
        <v>1005.6577762886675</v>
      </c>
      <c r="EO112" s="59">
        <f ca="1">AVERAGE(OFFSET($EN$3,0,0,'Données projet'!$E$15+1,1))-AVERAGE(OFFSET($H$3,0,0,'Données projet'!$E$15+1,1))</f>
        <v>316.58509520829671</v>
      </c>
      <c r="EP112" s="59">
        <f t="shared" si="100"/>
        <v>240.71332110643596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>
        <f>EXP(-LN(2)/35)*EV111+(1-EXP(-LN(2)/35))/(LN(2)/35)*ER112*ES112*VLOOKUP('Données projet'!$B$15,Paramètres!$A$1:$I$89,3,0)*0.475*44/12</f>
        <v>0.53019142376480999</v>
      </c>
      <c r="EW112" s="21">
        <f>EXP(-LN(2)/25)*EW111+(1-EXP(-LN(2)/25))/(LN(2)/25)*Calculateur!ER112*Calculateur!ET112*VLOOKUP('Données projet'!$B$15,Paramètres!$A$1:$I$89,3,0)*0.475*44/12</f>
        <v>1.7081471495030141</v>
      </c>
      <c r="EX112" s="21">
        <f>EXP(-LN(2)/2)*EX111+(1-EXP(-LN(2)/2))/(LN(2)/2)*ER112*EU112*VLOOKUP('Données projet'!$B$15,Paramètres!$A$1:$I$89,3,0)*0.475*44/12</f>
        <v>2.8218816186699287E-11</v>
      </c>
      <c r="EY112" s="22">
        <f t="shared" si="75"/>
        <v>2.2383385732960428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497</v>
      </c>
      <c r="FF112" s="17">
        <f>FE112*VLOOKUP('Données projet'!$B$16,Paramètres!$A$1:$I$89,3,0)*VLOOKUP('Données projet'!$B$16,Paramètres!$A$1:$I$89,5,0)</f>
        <v>297.20600000000002</v>
      </c>
      <c r="FG112" s="13">
        <f t="shared" si="101"/>
        <v>70.590415164571112</v>
      </c>
      <c r="FH112" s="20">
        <f t="shared" si="76"/>
        <v>640.57875641162809</v>
      </c>
      <c r="FI112" s="59">
        <f t="shared" si="77"/>
        <v>933.91208974496135</v>
      </c>
      <c r="FJ112" s="59">
        <f ca="1">AVERAGE(OFFSET($FI$3,0,0,'Données projet'!$E$16+1,1))-AVERAGE(OFFSET($H$3,0,0,'Données projet'!$E$16+1,1))</f>
        <v>270.30888762640245</v>
      </c>
      <c r="FK112" s="59">
        <f t="shared" si="102"/>
        <v>202.23783851977691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>
        <f>EXP(-LN(2)/35)*FQ111+(1-EXP(-LN(2)/35))/(LN(2)/35)*FM112*FN112*VLOOKUP('Données projet'!$B$16,Paramètres!$A$1:$I$89,3,0)*0.475*44/12</f>
        <v>0.44804909050547298</v>
      </c>
      <c r="FR112" s="21">
        <f>EXP(-LN(2)/25)*FR111+(1-EXP(-LN(2)/25))/(LN(2)/25)*Calculateur!FM112*Calculateur!FO112*VLOOKUP('Données projet'!$B$16,Paramètres!$A$1:$I$89,3,0)*0.475*44/12</f>
        <v>1.3755649458042454</v>
      </c>
      <c r="FS112" s="21">
        <f>EXP(-LN(2)/2)*FS111+(1-EXP(-LN(2)/2))/(LN(2)/2)*FM112*FP112*VLOOKUP('Données projet'!$B$16,Paramètres!$A$1:$I$89,3,0)*0.475*44/12</f>
        <v>2.3785558247830101E-11</v>
      </c>
      <c r="FT112" s="22">
        <f t="shared" si="78"/>
        <v>1.8236140363335041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-5.1159076974727213E-13</v>
      </c>
      <c r="GA112" s="17">
        <f>FZ112*VLOOKUP('Données projet'!$B$17,Paramètres!$A$1:$I$89,3,0)*VLOOKUP('Données projet'!$B$17,Paramètres!$A$1:$I$89,5,0)</f>
        <v>-4.0702161641092972E-13</v>
      </c>
      <c r="GB112" s="13" t="e">
        <f t="shared" si="103"/>
        <v>#NUM!</v>
      </c>
      <c r="GC112" s="20" t="e">
        <f t="shared" si="79"/>
        <v>#NUM!</v>
      </c>
      <c r="GD112" s="59" t="e">
        <f t="shared" si="80"/>
        <v>#NUM!</v>
      </c>
      <c r="GE112" s="59">
        <f ca="1">AVERAGE(OFFSET($GD$3,0,0,'Données projet'!$E$17+1,1))-AVERAGE(OFFSET($H$3,0,0,'Données projet'!$E$17+1,1))</f>
        <v>260.20517190557814</v>
      </c>
      <c r="GF112" s="59">
        <f t="shared" si="104"/>
        <v>307.22009971147133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>
        <f>EXP(-LN(2)/35)*GL111+(1-EXP(-LN(2)/35))/(LN(2)/35)*GH112*GI112*VLOOKUP('Données projet'!$B$17,Paramètres!$A$1:$I$89,3,0)*0.475*44/12</f>
        <v>0.68257140430386931</v>
      </c>
      <c r="GM112" s="21">
        <f>EXP(-LN(2)/25)*GM111+(1-EXP(-LN(2)/25))/(LN(2)/25)*Calculateur!GH112*Calculateur!GJ112*VLOOKUP('Données projet'!$B$17,Paramètres!$A$1:$I$89,3,0)*0.475*44/12</f>
        <v>2.2956948605219063</v>
      </c>
      <c r="GN112" s="21">
        <f>EXP(-LN(2)/2)*GN111+(1-EXP(-LN(2)/2))/(LN(2)/2)*GH112*GK112*VLOOKUP('Données projet'!$B$17,Paramètres!$A$1:$I$89,3,0)*0.475*44/12</f>
        <v>3.0919480438206605E-11</v>
      </c>
      <c r="GO112" s="21">
        <f t="shared" si="81"/>
        <v>2.9782662648566949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5.6843418860808015E-14</v>
      </c>
      <c r="GV112" s="17">
        <f>GU112*VLOOKUP('Données projet'!$B$18,Paramètres!$A$1:$I$89,3,0)*VLOOKUP('Données projet'!$B$18,Paramètres!$A$1:$I$89,5,0)</f>
        <v>4.5224624045658861E-14</v>
      </c>
      <c r="GW112" s="13">
        <f t="shared" si="105"/>
        <v>7.4514601661523691E-13</v>
      </c>
      <c r="GX112" s="20">
        <f t="shared" si="82"/>
        <v>1.3765621991510601E-12</v>
      </c>
      <c r="GY112" s="59">
        <f t="shared" si="83"/>
        <v>293.33333333333468</v>
      </c>
      <c r="GZ112" s="59">
        <f ca="1">AVERAGE(OFFSET($GY$3,0,0,'Données projet'!$E$18+1,1))-AVERAGE(OFFSET($H$3,0,0,'Données projet'!$E$18+1,1))</f>
        <v>199.58763537752952</v>
      </c>
      <c r="HA112" s="59">
        <f t="shared" si="106"/>
        <v>242.62852778451929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>
        <f>EXP(-LN(2)/35)*HG111+(1-EXP(-LN(2)/35))/(LN(2)/35)*HC112*HD112*VLOOKUP('Données projet'!$B$18,Paramètres!$A$1:$I$89,3,0)*0.475*44/12</f>
        <v>0</v>
      </c>
      <c r="HH112" s="21">
        <f>EXP(-LN(2)/25)*HH111+(1-EXP(-LN(2)/25))/(LN(2)/25)*Calculateur!HC112*Calculateur!HE112*VLOOKUP('Données projet'!$B$18,Paramètres!$A$1:$I$89,3,0)*0.475*44/12</f>
        <v>1.1504402179857487</v>
      </c>
      <c r="HI112" s="21">
        <f>EXP(-LN(2)/2)*HI111+(1-EXP(-LN(2)/2))/(LN(2)/2)*HC112*HF112*VLOOKUP('Données projet'!$B$18,Paramètres!$A$1:$I$89,3,0)*0.475*44/12</f>
        <v>1.384172886170022E-11</v>
      </c>
      <c r="HJ112" s="22">
        <f t="shared" si="84"/>
        <v>1.1504402179995905</v>
      </c>
    </row>
    <row r="113" spans="1:218" x14ac:dyDescent="0.2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97.812000000000168</v>
      </c>
      <c r="D113" s="11">
        <f t="shared" si="86"/>
        <v>26.440067470123306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959.1387664360409</v>
      </c>
      <c r="H113" s="67">
        <f t="shared" si="56"/>
        <v>509.73901751046503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-2.2737367544323206E-13</v>
      </c>
      <c r="O113" s="13">
        <f>N113*VLOOKUP('Données projet'!$B$9,Paramètres!$A$1:$I$89,3,0)*VLOOKUP('Données projet'!$B$9,Paramètres!$A$1:$I$89,5,0)</f>
        <v>-1.2710188457276673E-13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255.5374979188561</v>
      </c>
      <c r="T113" s="59">
        <f t="shared" si="88"/>
        <v>343.10418468620901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0.63371743948408821</v>
      </c>
      <c r="AA113" s="21">
        <f>EXP(-LN(2)/25)*AA112+(1-EXP(-LN(2)/25))/(LN(2)/25)*Calculateur!V113*Calculateur!X113*VLOOKUP('Données projet'!$B$9,Paramètres!$A$1:$I$89,3,0)*0.475*44/12</f>
        <v>1.7367765720258679</v>
      </c>
      <c r="AB113" s="21">
        <f>EXP(-LN(2)/2)*AB112+(1-EXP(-LN(2)/2))/(LN(2)/2)*V113*Y113*VLOOKUP('Données projet'!$B$9,Paramètres!$A$1:$I$89,3,0)*0.475*44/12</f>
        <v>1.5394580982084026E-12</v>
      </c>
      <c r="AC113" s="22">
        <f t="shared" si="57"/>
        <v>2.3704940115114956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1.1368683772161603E-13</v>
      </c>
      <c r="AJ113" s="13">
        <f>AI113*VLOOKUP('Données projet'!$B$10,Paramètres!$A$1:$I$89,3,0)*VLOOKUP('Données projet'!$B$10,Paramètres!$A$1:$I$89,5,0)</f>
        <v>6.3550942286383367E-14</v>
      </c>
      <c r="AK113" s="13">
        <f t="shared" si="89"/>
        <v>1.0064464192543978E-12</v>
      </c>
      <c r="AL113" s="20">
        <f t="shared" si="58"/>
        <v>1.8635787380168604E-12</v>
      </c>
      <c r="AM113" s="59">
        <f t="shared" si="59"/>
        <v>293.33333333333519</v>
      </c>
      <c r="AN113" s="59">
        <f ca="1">AVERAGE(OFFSET($AM$3,0,0,'Données projet'!$E$10+1,1))-AVERAGE(OFFSET($H$3,0,0,'Données projet'!$E$10+1,1))</f>
        <v>224.7049802939942</v>
      </c>
      <c r="AO113" s="59">
        <f t="shared" si="90"/>
        <v>203.48513862195352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0.45757496301188094</v>
      </c>
      <c r="AV113" s="21">
        <f>EXP(-LN(2)/25)*AV112+(1-EXP(-LN(2)/25))/(LN(2)/25)*Calculateur!AQ113*Calculateur!AS113*VLOOKUP('Données projet'!$B$10,Paramètres!$A$1:$I$89,3,0)*0.475*44/12</f>
        <v>2.1246360557131414</v>
      </c>
      <c r="AW113" s="21">
        <f>EXP(-LN(2)/2)*AW112+(1-EXP(-LN(2)/2))/(LN(2)/2)*AQ113*AT113*VLOOKUP('Données projet'!$B$10,Paramètres!$A$1:$I$89,3,0)*0.475*44/12</f>
        <v>8.1496296762343305E-12</v>
      </c>
      <c r="AX113" s="21">
        <f t="shared" si="60"/>
        <v>2.5822110187331719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>
        <f>BD113*VLOOKUP('Données projet'!$B$11,Paramètres!$A$1:$I$89,3,0)*VLOOKUP('Données projet'!$B$11,Paramètres!$A$1:$I$89,5,0)</f>
        <v>0</v>
      </c>
      <c r="BF113" s="13" t="e">
        <f t="shared" si="91"/>
        <v>#NUM!</v>
      </c>
      <c r="BG113" s="20" t="e">
        <f t="shared" si="61"/>
        <v>#NUM!</v>
      </c>
      <c r="BH113" s="59" t="e">
        <f t="shared" si="62"/>
        <v>#NUM!</v>
      </c>
      <c r="BI113" s="59">
        <f ca="1">AVERAGE(OFFSET($BH$3,0,0,'Données projet'!$E$11+1,1))-AVERAGE(OFFSET($H$3,0,0,'Données projet'!$E$11+1,1))</f>
        <v>210.04871822652808</v>
      </c>
      <c r="BJ113" s="59">
        <f t="shared" si="92"/>
        <v>250.17540614049324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1.4973142911344302</v>
      </c>
      <c r="BQ113" s="21">
        <f>EXP(-LN(2)/25)*BQ112+(1-EXP(-LN(2)/25))/(LN(2)/25)*Calculateur!BL113*Calculateur!BN113*VLOOKUP('Données projet'!$B$11,Paramètres!$A$1:$I$89,3,0)*0.475*44/12</f>
        <v>3.0285054234526672</v>
      </c>
      <c r="BR113" s="21">
        <f>EXP(-LN(2)/2)*BR112+(1-EXP(-LN(2)/2))/(LN(2)/2)*BL113*BO113*VLOOKUP('Données projet'!$B$11,Paramètres!$A$1:$I$89,3,0)*0.475*44/12</f>
        <v>1.9603147609224563E-11</v>
      </c>
      <c r="BS113" s="22">
        <f t="shared" si="63"/>
        <v>4.5258197146067003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2.2737367544323206E-13</v>
      </c>
      <c r="BZ113" s="13">
        <f>BY113*VLOOKUP('Données projet'!$B$12,Paramètres!$A$1:$I$89,3,0)*VLOOKUP('Données projet'!$B$12,Paramètres!$A$1:$I$89,5,0)</f>
        <v>1.2414602679200471E-13</v>
      </c>
      <c r="CA113" s="13">
        <f t="shared" si="93"/>
        <v>1.8186582995804361E-12</v>
      </c>
      <c r="CB113" s="20">
        <f t="shared" si="64"/>
        <v>3.3837175350986671E-12</v>
      </c>
      <c r="CC113" s="59">
        <f t="shared" si="65"/>
        <v>293.33333333333672</v>
      </c>
      <c r="CD113" s="59">
        <f ca="1">AVERAGE(OFFSET($CC$3,0,0,'Données projet'!$E$12+1,1))-AVERAGE(OFFSET($H$3,0,0,'Données projet'!$E$12+1,1))</f>
        <v>168.72306536277267</v>
      </c>
      <c r="CE113" s="59">
        <f t="shared" si="94"/>
        <v>203.35476578922339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0.6238809546393459</v>
      </c>
      <c r="CL113" s="21">
        <f>EXP(-LN(2)/25)*CL112+(1-EXP(-LN(2)/25))/(LN(2)/25)*Calculateur!CG113*Calculateur!CI113*VLOOKUP('Données projet'!$B$12,Paramètres!$A$1:$I$89,3,0)*0.475*44/12</f>
        <v>2.5012029318227031</v>
      </c>
      <c r="CM113" s="21">
        <f>EXP(-LN(2)/2)*CM112+(1-EXP(-LN(2)/2))/(LN(2)/2)*CG113*CJ113*VLOOKUP('Données projet'!$B$12,Paramètres!$A$1:$I$89,3,0)*0.475*44/12</f>
        <v>1.8211582411903934E-11</v>
      </c>
      <c r="CN113" s="22">
        <f t="shared" si="66"/>
        <v>3.1250838864802608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>
        <f>VLOOKUP(A113,'Données projet'!$A$139:$I$159,2,0)</f>
        <v>1286.1538461538462</v>
      </c>
      <c r="CR113" s="12">
        <f>VLOOKUP(A113,'Données projet'!$A$139:$I$159,9,0)</f>
        <v>34.000000000000014</v>
      </c>
      <c r="CS113" s="12">
        <f t="array" ref="CS113">INDEX(CR:CR,MIN(IF(ISNUMBER(CR113:CR309),ROW(CR113:CR309),"")))</f>
        <v>34.000000000000014</v>
      </c>
      <c r="CT113" s="12">
        <f>IF('Données projet'!$A$140&gt;35,CT112+CS113-DB112,IF(A113&lt;'Données projet'!$A$140,$CQ$205^A113,IF(A113='Données projet'!$A$140,'Données projet'!$B$140,CT112+CS113-DB112)))</f>
        <v>1286.1538461538453</v>
      </c>
      <c r="CU113" s="17">
        <f>CT113*VLOOKUP('Données projet'!$B$13,Paramètres!$A$1:$I$89,3,0)*VLOOKUP('Données projet'!$B$13,Paramètres!$A$1:$I$89,5,0)</f>
        <v>618.63999999999965</v>
      </c>
      <c r="CV113" s="13">
        <f t="shared" si="95"/>
        <v>134.91700107802515</v>
      </c>
      <c r="CW113" s="20">
        <f t="shared" si="67"/>
        <v>1312.4451102108931</v>
      </c>
      <c r="CX113" s="59">
        <f t="shared" si="68"/>
        <v>1605.7784435442263</v>
      </c>
      <c r="CY113" s="59">
        <f ca="1">AVERAGE(OFFSET($CX$3,0,0,'Données projet'!$E$13+1,1))-AVERAGE(OFFSET($H$3,0,0,'Données projet'!$E$13+1,1))</f>
        <v>304.15237106473313</v>
      </c>
      <c r="CZ113" s="59">
        <f t="shared" si="96"/>
        <v>120.85458928724336</v>
      </c>
      <c r="DA113" s="15">
        <f>IF(ISNA(VLOOKUP(A113,'Données projet'!$A$139:$I$159,3,0)),0,VLOOKUP(A113,'Données projet'!$A$139:$I$159,3,0))</f>
        <v>8</v>
      </c>
      <c r="DB113" s="15">
        <f>IF(ISNA(VLOOKUP(A113,'Données projet'!$A$139:$I$159,4,0)),0,VLOOKUP(A113,'Données projet'!$A$139:$I$159,4,0))</f>
        <v>8.4615384615384617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>
        <f>EXP(-LN(2)/35)*DF112+(1-EXP(-LN(2)/35))/(LN(2)/35)*DB113*DC113*VLOOKUP('Données projet'!$B$13,Paramètres!$A$1:$I$89,3,0)*0.475*44/12</f>
        <v>0</v>
      </c>
      <c r="DG113" s="21">
        <f>EXP(-LN(2)/25)*DG112+(1-EXP(-LN(2)/25))/(LN(2)/25)*Calculateur!DB113*Calculateur!DD113*VLOOKUP('Données projet'!$B$13,Paramètres!$A$1:$I$89,3,0)*0.475*44/12</f>
        <v>0</v>
      </c>
      <c r="DH113" s="21">
        <f>EXP(-LN(2)/2)*DH112+(1-EXP(-LN(2)/2))/(LN(2)/2)*DB113*DE113*VLOOKUP('Données projet'!$B$13,Paramètres!$A$1:$I$89,3,0)*0.475*44/12</f>
        <v>0</v>
      </c>
      <c r="DI113" s="22">
        <f t="shared" si="69"/>
        <v>0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>
        <f>VLOOKUP(A113,'Données projet'!$A$165:$I$185,2,0)</f>
        <v>456.15384615384613</v>
      </c>
      <c r="DM113" s="12">
        <f>VLOOKUP(A113,'Données projet'!$A$165:$I$185,9,0)</f>
        <v>10.769230769230768</v>
      </c>
      <c r="DN113" s="12">
        <f t="array" ref="DN113">INDEX(DM:DM,MIN(IF(ISNUMBER(DM113:DM309),ROW(DM113:DM309),"")))</f>
        <v>10.769230769230768</v>
      </c>
      <c r="DO113" s="12">
        <f>IF('Données projet'!$A$166&gt;35,DO112+DN113-DW112,IF(A113&lt;'Données projet'!$A$166,$DL$205^A113,IF(A113='Données projet'!$A$166,'Données projet'!$B$166,DO112+DN113-DW112)))</f>
        <v>456.15384615384613</v>
      </c>
      <c r="DP113" s="17">
        <f>DO113*VLOOKUP('Données projet'!$B$14,Paramètres!$A$1:$I$89,3,0)*VLOOKUP('Données projet'!$B$14,Paramètres!$A$1:$I$89,5,0)</f>
        <v>219.40999999999997</v>
      </c>
      <c r="DQ113" s="13">
        <f t="shared" si="97"/>
        <v>53.986632100737189</v>
      </c>
      <c r="DR113" s="20">
        <f t="shared" si="70"/>
        <v>476.16580090878392</v>
      </c>
      <c r="DS113" s="59">
        <f t="shared" si="71"/>
        <v>769.49913424211718</v>
      </c>
      <c r="DT113" s="59">
        <f ca="1">AVERAGE(OFFSET($DS$3,0,0,'Données projet'!$E$14+1,1))-AVERAGE(OFFSET($H$3,0,0,'Données projet'!$E$14+1,1))</f>
        <v>91.053246648097399</v>
      </c>
      <c r="DU113" s="59">
        <f t="shared" si="98"/>
        <v>64.716270355703955</v>
      </c>
      <c r="DV113" s="15">
        <f>IF(ISNA(VLOOKUP(A113,'Données projet'!$A$165:$I$185,3,0)),0,VLOOKUP(A113,'Données projet'!$A$165:$I$185,3,0))</f>
        <v>8</v>
      </c>
      <c r="DW113" s="15">
        <f>IF(ISNA(VLOOKUP(A113,'Données projet'!$A$165:$I$185,4,0)),0,VLOOKUP(A113,'Données projet'!$A$165:$I$185,4,0))</f>
        <v>30.769230769230766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>
        <f>EXP(-LN(2)/35)*EA112+(1-EXP(-LN(2)/35))/(LN(2)/35)*DW113*DX113*VLOOKUP('Données projet'!$B$14,Paramètres!$A$1:$I$89,3,0)*0.475*44/12</f>
        <v>0</v>
      </c>
      <c r="EB113" s="21">
        <f>EXP(-LN(2)/25)*EB112+(1-EXP(-LN(2)/25))/(LN(2)/25)*Calculateur!DW113*Calculateur!DY113*VLOOKUP('Données projet'!$B$14,Paramètres!$A$1:$I$89,3,0)*0.475*44/12</f>
        <v>0</v>
      </c>
      <c r="EC113" s="21">
        <f>EXP(-LN(2)/2)*EC112+(1-EXP(-LN(2)/2))/(LN(2)/2)*DW113*DZ113*VLOOKUP('Données projet'!$B$14,Paramètres!$A$1:$I$89,3,0)*0.475*44/12</f>
        <v>0</v>
      </c>
      <c r="ED113" s="22">
        <f t="shared" si="72"/>
        <v>0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553.99999999999955</v>
      </c>
      <c r="EK113" s="17">
        <f>EJ113*VLOOKUP('Données projet'!$B$15,Paramètres!$A$1:$I$89,3,0)*VLOOKUP('Données projet'!$B$15,Paramètres!$A$1:$I$89,5,0)</f>
        <v>331.29199999999975</v>
      </c>
      <c r="EL113" s="13">
        <f t="shared" si="99"/>
        <v>77.698110787752</v>
      </c>
      <c r="EM113" s="20">
        <f t="shared" si="73"/>
        <v>712.32444295533423</v>
      </c>
      <c r="EN113" s="59">
        <f t="shared" si="74"/>
        <v>1005.6577762886675</v>
      </c>
      <c r="EO113" s="59">
        <f ca="1">AVERAGE(OFFSET($EN$3,0,0,'Données projet'!$E$15+1,1))-AVERAGE(OFFSET($H$3,0,0,'Données projet'!$E$15+1,1))</f>
        <v>316.58509520829671</v>
      </c>
      <c r="EP113" s="59">
        <f t="shared" si="100"/>
        <v>240.71332110643596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>
        <f>EXP(-LN(2)/35)*EV112+(1-EXP(-LN(2)/35))/(LN(2)/35)*ER113*ES113*VLOOKUP('Données projet'!$B$15,Paramètres!$A$1:$I$89,3,0)*0.475*44/12</f>
        <v>0.51979469332961892</v>
      </c>
      <c r="EW113" s="21">
        <f>EXP(-LN(2)/25)*EW112+(1-EXP(-LN(2)/25))/(LN(2)/25)*Calculateur!ER113*Calculateur!ET113*VLOOKUP('Données projet'!$B$15,Paramètres!$A$1:$I$89,3,0)*0.475*44/12</f>
        <v>1.6614377758722996</v>
      </c>
      <c r="EX113" s="21">
        <f>EXP(-LN(2)/2)*EX112+(1-EXP(-LN(2)/2))/(LN(2)/2)*ER113*EU113*VLOOKUP('Données projet'!$B$15,Paramètres!$A$1:$I$89,3,0)*0.475*44/12</f>
        <v>1.995371628267178E-11</v>
      </c>
      <c r="EY113" s="22">
        <f t="shared" si="75"/>
        <v>2.1812324692218725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497</v>
      </c>
      <c r="FF113" s="17">
        <f>FE113*VLOOKUP('Données projet'!$B$16,Paramètres!$A$1:$I$89,3,0)*VLOOKUP('Données projet'!$B$16,Paramètres!$A$1:$I$89,5,0)</f>
        <v>297.20600000000002</v>
      </c>
      <c r="FG113" s="13">
        <f t="shared" si="101"/>
        <v>70.590415164571112</v>
      </c>
      <c r="FH113" s="20">
        <f t="shared" si="76"/>
        <v>640.57875641162809</v>
      </c>
      <c r="FI113" s="59">
        <f t="shared" si="77"/>
        <v>933.91208974496135</v>
      </c>
      <c r="FJ113" s="59">
        <f ca="1">AVERAGE(OFFSET($FI$3,0,0,'Données projet'!$E$16+1,1))-AVERAGE(OFFSET($H$3,0,0,'Données projet'!$E$16+1,1))</f>
        <v>270.30888762640245</v>
      </c>
      <c r="FK113" s="59">
        <f t="shared" si="102"/>
        <v>202.23783851977691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>
        <f>EXP(-LN(2)/35)*FQ112+(1-EXP(-LN(2)/35))/(LN(2)/35)*FM113*FN113*VLOOKUP('Données projet'!$B$16,Paramètres!$A$1:$I$89,3,0)*0.475*44/12</f>
        <v>0.43926312112362143</v>
      </c>
      <c r="FR113" s="21">
        <f>EXP(-LN(2)/25)*FR112+(1-EXP(-LN(2)/25))/(LN(2)/25)*Calculateur!FM113*Calculateur!FO113*VLOOKUP('Données projet'!$B$16,Paramètres!$A$1:$I$89,3,0)*0.475*44/12</f>
        <v>1.3379500500234116</v>
      </c>
      <c r="FS113" s="21">
        <f>EXP(-LN(2)/2)*FS112+(1-EXP(-LN(2)/2))/(LN(2)/2)*FM113*FP113*VLOOKUP('Données projet'!$B$16,Paramètres!$A$1:$I$89,3,0)*0.475*44/12</f>
        <v>1.681892953134828E-11</v>
      </c>
      <c r="FT113" s="22">
        <f t="shared" si="78"/>
        <v>1.7772131711638521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-5.1159076974727213E-13</v>
      </c>
      <c r="GA113" s="17">
        <f>FZ113*VLOOKUP('Données projet'!$B$17,Paramètres!$A$1:$I$89,3,0)*VLOOKUP('Données projet'!$B$17,Paramètres!$A$1:$I$89,5,0)</f>
        <v>-4.0702161641092972E-13</v>
      </c>
      <c r="GB113" s="13" t="e">
        <f t="shared" si="103"/>
        <v>#NUM!</v>
      </c>
      <c r="GC113" s="20" t="e">
        <f t="shared" si="79"/>
        <v>#NUM!</v>
      </c>
      <c r="GD113" s="59" t="e">
        <f t="shared" si="80"/>
        <v>#NUM!</v>
      </c>
      <c r="GE113" s="59">
        <f ca="1">AVERAGE(OFFSET($GD$3,0,0,'Données projet'!$E$17+1,1))-AVERAGE(OFFSET($H$3,0,0,'Données projet'!$E$17+1,1))</f>
        <v>260.20517190557814</v>
      </c>
      <c r="GF113" s="59">
        <f t="shared" si="104"/>
        <v>307.22009971147133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>
        <f>EXP(-LN(2)/35)*GL112+(1-EXP(-LN(2)/35))/(LN(2)/35)*GH113*GI113*VLOOKUP('Données projet'!$B$17,Paramètres!$A$1:$I$89,3,0)*0.475*44/12</f>
        <v>0.66918659539291814</v>
      </c>
      <c r="GM113" s="21">
        <f>EXP(-LN(2)/25)*GM112+(1-EXP(-LN(2)/25))/(LN(2)/25)*Calculateur!GH113*Calculateur!GJ113*VLOOKUP('Données projet'!$B$17,Paramètres!$A$1:$I$89,3,0)*0.475*44/12</f>
        <v>2.2329189638355889</v>
      </c>
      <c r="GN113" s="21">
        <f>EXP(-LN(2)/2)*GN112+(1-EXP(-LN(2)/2))/(LN(2)/2)*GH113*GK113*VLOOKUP('Données projet'!$B$17,Paramètres!$A$1:$I$89,3,0)*0.475*44/12</f>
        <v>2.1863374288620695E-11</v>
      </c>
      <c r="GO113" s="21">
        <f t="shared" si="81"/>
        <v>2.9021055592503702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5.6843418860808015E-14</v>
      </c>
      <c r="GV113" s="17">
        <f>GU113*VLOOKUP('Données projet'!$B$18,Paramètres!$A$1:$I$89,3,0)*VLOOKUP('Données projet'!$B$18,Paramètres!$A$1:$I$89,5,0)</f>
        <v>4.5224624045658861E-14</v>
      </c>
      <c r="GW113" s="13">
        <f t="shared" si="105"/>
        <v>7.4514601661523691E-13</v>
      </c>
      <c r="GX113" s="20">
        <f t="shared" si="82"/>
        <v>1.3765621991510601E-12</v>
      </c>
      <c r="GY113" s="59">
        <f t="shared" si="83"/>
        <v>293.33333333333468</v>
      </c>
      <c r="GZ113" s="59">
        <f ca="1">AVERAGE(OFFSET($GY$3,0,0,'Données projet'!$E$18+1,1))-AVERAGE(OFFSET($H$3,0,0,'Données projet'!$E$18+1,1))</f>
        <v>199.58763537752952</v>
      </c>
      <c r="HA113" s="59">
        <f t="shared" si="106"/>
        <v>242.62852778451929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>
        <f>EXP(-LN(2)/35)*HG112+(1-EXP(-LN(2)/35))/(LN(2)/35)*HC113*HD113*VLOOKUP('Données projet'!$B$18,Paramètres!$A$1:$I$89,3,0)*0.475*44/12</f>
        <v>0</v>
      </c>
      <c r="HH113" s="21">
        <f>EXP(-LN(2)/25)*HH112+(1-EXP(-LN(2)/25))/(LN(2)/25)*Calculateur!HC113*Calculateur!HE113*VLOOKUP('Données projet'!$B$18,Paramètres!$A$1:$I$89,3,0)*0.475*44/12</f>
        <v>1.1189813697259068</v>
      </c>
      <c r="HI113" s="21">
        <f>EXP(-LN(2)/2)*HI112+(1-EXP(-LN(2)/2))/(LN(2)/2)*HC113*HF113*VLOOKUP('Données projet'!$B$18,Paramètres!$A$1:$I$89,3,0)*0.475*44/12</f>
        <v>9.7875803414537767E-12</v>
      </c>
      <c r="HJ113" s="22">
        <f t="shared" si="84"/>
        <v>1.1189813697356943</v>
      </c>
    </row>
    <row r="114" spans="1:218" x14ac:dyDescent="0.2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98.701200000000171</v>
      </c>
      <c r="D114" s="11">
        <f t="shared" si="86"/>
        <v>26.65234132809799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967.64137165549471</v>
      </c>
      <c r="H114" s="67">
        <f t="shared" si="56"/>
        <v>511.6574178131043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-2.2737367544323206E-13</v>
      </c>
      <c r="O114" s="13">
        <f>N114*VLOOKUP('Données projet'!$B$9,Paramètres!$A$1:$I$89,3,0)*VLOOKUP('Données projet'!$B$9,Paramètres!$A$1:$I$89,5,0)</f>
        <v>-1.2710188457276673E-13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255.5374979188561</v>
      </c>
      <c r="T114" s="59">
        <f t="shared" si="88"/>
        <v>343.10418468620901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0.62129062702527671</v>
      </c>
      <c r="AA114" s="21">
        <f>EXP(-LN(2)/25)*AA113+(1-EXP(-LN(2)/25))/(LN(2)/25)*Calculateur!V114*Calculateur!X114*VLOOKUP('Données projet'!$B$9,Paramètres!$A$1:$I$89,3,0)*0.475*44/12</f>
        <v>1.6892843253307102</v>
      </c>
      <c r="AB114" s="21">
        <f>EXP(-LN(2)/2)*AB113+(1-EXP(-LN(2)/2))/(LN(2)/2)*V114*Y114*VLOOKUP('Données projet'!$B$9,Paramètres!$A$1:$I$89,3,0)*0.475*44/12</f>
        <v>1.0885612605957075E-12</v>
      </c>
      <c r="AC114" s="22">
        <f t="shared" si="57"/>
        <v>2.3105749523570753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1.1368683772161603E-13</v>
      </c>
      <c r="AJ114" s="13">
        <f>AI114*VLOOKUP('Données projet'!$B$10,Paramètres!$A$1:$I$89,3,0)*VLOOKUP('Données projet'!$B$10,Paramètres!$A$1:$I$89,5,0)</f>
        <v>6.3550942286383367E-14</v>
      </c>
      <c r="AK114" s="13">
        <f t="shared" si="89"/>
        <v>1.0064464192543978E-12</v>
      </c>
      <c r="AL114" s="20">
        <f t="shared" si="58"/>
        <v>1.8635787380168604E-12</v>
      </c>
      <c r="AM114" s="59">
        <f t="shared" si="59"/>
        <v>293.33333333333519</v>
      </c>
      <c r="AN114" s="59">
        <f ca="1">AVERAGE(OFFSET($AM$3,0,0,'Données projet'!$E$10+1,1))-AVERAGE(OFFSET($H$3,0,0,'Données projet'!$E$10+1,1))</f>
        <v>224.7049802939942</v>
      </c>
      <c r="AO114" s="59">
        <f t="shared" si="90"/>
        <v>203.48513862195352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0.44860219708038723</v>
      </c>
      <c r="AV114" s="21">
        <f>EXP(-LN(2)/25)*AV113+(1-EXP(-LN(2)/25))/(LN(2)/25)*Calculateur!AQ114*Calculateur!AS114*VLOOKUP('Données projet'!$B$10,Paramètres!$A$1:$I$89,3,0)*0.475*44/12</f>
        <v>2.0665377710399113</v>
      </c>
      <c r="AW114" s="21">
        <f>EXP(-LN(2)/2)*AW113+(1-EXP(-LN(2)/2))/(LN(2)/2)*AQ114*AT114*VLOOKUP('Données projet'!$B$10,Paramètres!$A$1:$I$89,3,0)*0.475*44/12</f>
        <v>5.7626584082244229E-12</v>
      </c>
      <c r="AX114" s="21">
        <f t="shared" si="60"/>
        <v>2.5151399681260611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>
        <f>BD114*VLOOKUP('Données projet'!$B$11,Paramètres!$A$1:$I$89,3,0)*VLOOKUP('Données projet'!$B$11,Paramètres!$A$1:$I$89,5,0)</f>
        <v>0</v>
      </c>
      <c r="BF114" s="13" t="e">
        <f t="shared" si="91"/>
        <v>#NUM!</v>
      </c>
      <c r="BG114" s="20" t="e">
        <f t="shared" si="61"/>
        <v>#NUM!</v>
      </c>
      <c r="BH114" s="59" t="e">
        <f t="shared" si="62"/>
        <v>#NUM!</v>
      </c>
      <c r="BI114" s="59">
        <f ca="1">AVERAGE(OFFSET($BH$3,0,0,'Données projet'!$E$11+1,1))-AVERAGE(OFFSET($H$3,0,0,'Données projet'!$E$11+1,1))</f>
        <v>210.04871822652808</v>
      </c>
      <c r="BJ114" s="59">
        <f t="shared" si="92"/>
        <v>250.17540614049324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1.4679528711568235</v>
      </c>
      <c r="BQ114" s="21">
        <f>EXP(-LN(2)/25)*BQ113+(1-EXP(-LN(2)/25))/(LN(2)/25)*Calculateur!BL114*Calculateur!BN114*VLOOKUP('Données projet'!$B$11,Paramètres!$A$1:$I$89,3,0)*0.475*44/12</f>
        <v>2.9456907833861754</v>
      </c>
      <c r="BR114" s="21">
        <f>EXP(-LN(2)/2)*BR113+(1-EXP(-LN(2)/2))/(LN(2)/2)*BL114*BO114*VLOOKUP('Données projet'!$B$11,Paramètres!$A$1:$I$89,3,0)*0.475*44/12</f>
        <v>1.3861518607083546E-11</v>
      </c>
      <c r="BS114" s="22">
        <f t="shared" si="63"/>
        <v>4.4136436545568607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2.2737367544323206E-13</v>
      </c>
      <c r="BZ114" s="13">
        <f>BY114*VLOOKUP('Données projet'!$B$12,Paramètres!$A$1:$I$89,3,0)*VLOOKUP('Données projet'!$B$12,Paramètres!$A$1:$I$89,5,0)</f>
        <v>1.2414602679200471E-13</v>
      </c>
      <c r="CA114" s="13">
        <f t="shared" si="93"/>
        <v>1.8186582995804361E-12</v>
      </c>
      <c r="CB114" s="20">
        <f t="shared" si="64"/>
        <v>3.3837175350986671E-12</v>
      </c>
      <c r="CC114" s="59">
        <f t="shared" si="65"/>
        <v>293.33333333333672</v>
      </c>
      <c r="CD114" s="59">
        <f ca="1">AVERAGE(OFFSET($CC$3,0,0,'Données projet'!$E$12+1,1))-AVERAGE(OFFSET($H$3,0,0,'Données projet'!$E$12+1,1))</f>
        <v>168.72306536277267</v>
      </c>
      <c r="CE114" s="59">
        <f t="shared" si="94"/>
        <v>203.35476578922339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0.61164702964867645</v>
      </c>
      <c r="CL114" s="21">
        <f>EXP(-LN(2)/25)*CL113+(1-EXP(-LN(2)/25))/(LN(2)/25)*Calculateur!CG114*Calculateur!CI114*VLOOKUP('Données projet'!$B$12,Paramètres!$A$1:$I$89,3,0)*0.475*44/12</f>
        <v>2.4328074061194656</v>
      </c>
      <c r="CM114" s="21">
        <f>EXP(-LN(2)/2)*CM113+(1-EXP(-LN(2)/2))/(LN(2)/2)*CG114*CJ114*VLOOKUP('Données projet'!$B$12,Paramètres!$A$1:$I$89,3,0)*0.475*44/12</f>
        <v>1.2877533419594932E-11</v>
      </c>
      <c r="CN114" s="22">
        <f t="shared" si="66"/>
        <v>3.0444544357810197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1277.6923076923067</v>
      </c>
      <c r="CU114" s="17">
        <f>CT114*VLOOKUP('Données projet'!$B$13,Paramètres!$A$1:$I$89,3,0)*VLOOKUP('Données projet'!$B$13,Paramètres!$A$1:$I$89,5,0)</f>
        <v>614.5699999999996</v>
      </c>
      <c r="CV114" s="13">
        <f t="shared" si="95"/>
        <v>134.13240620831178</v>
      </c>
      <c r="CW114" s="20">
        <f t="shared" si="67"/>
        <v>1303.9900241461421</v>
      </c>
      <c r="CX114" s="59">
        <f t="shared" si="68"/>
        <v>1597.3233574794754</v>
      </c>
      <c r="CY114" s="59">
        <f ca="1">AVERAGE(OFFSET($CX$3,0,0,'Données projet'!$E$13+1,1))-AVERAGE(OFFSET($H$3,0,0,'Données projet'!$E$13+1,1))</f>
        <v>304.15237106473313</v>
      </c>
      <c r="CZ114" s="59">
        <f t="shared" si="96"/>
        <v>120.85458928724336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>
        <f>EXP(-LN(2)/35)*DF113+(1-EXP(-LN(2)/35))/(LN(2)/35)*DB114*DC114*VLOOKUP('Données projet'!$B$13,Paramètres!$A$1:$I$89,3,0)*0.475*44/12</f>
        <v>0</v>
      </c>
      <c r="DG114" s="21">
        <f>EXP(-LN(2)/25)*DG113+(1-EXP(-LN(2)/25))/(LN(2)/25)*Calculateur!DB114*Calculateur!DD114*VLOOKUP('Données projet'!$B$13,Paramètres!$A$1:$I$89,3,0)*0.475*44/12</f>
        <v>0</v>
      </c>
      <c r="DH114" s="21">
        <f>EXP(-LN(2)/2)*DH113+(1-EXP(-LN(2)/2))/(LN(2)/2)*DB114*DE114*VLOOKUP('Données projet'!$B$13,Paramètres!$A$1:$I$89,3,0)*0.475*44/12</f>
        <v>0</v>
      </c>
      <c r="DI114" s="22">
        <f t="shared" si="69"/>
        <v>0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425.38461538461536</v>
      </c>
      <c r="DP114" s="17">
        <f>DO114*VLOOKUP('Données projet'!$B$14,Paramètres!$A$1:$I$89,3,0)*VLOOKUP('Données projet'!$B$14,Paramètres!$A$1:$I$89,5,0)</f>
        <v>204.60999999999999</v>
      </c>
      <c r="DQ114" s="13">
        <f t="shared" si="97"/>
        <v>50.755958577224398</v>
      </c>
      <c r="DR114" s="20">
        <f t="shared" si="70"/>
        <v>444.76237785533249</v>
      </c>
      <c r="DS114" s="59">
        <f t="shared" si="71"/>
        <v>738.09571118866575</v>
      </c>
      <c r="DT114" s="59">
        <f ca="1">AVERAGE(OFFSET($DS$3,0,0,'Données projet'!$E$14+1,1))-AVERAGE(OFFSET($H$3,0,0,'Données projet'!$E$14+1,1))</f>
        <v>91.053246648097399</v>
      </c>
      <c r="DU114" s="59">
        <f t="shared" si="98"/>
        <v>64.716270355703955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>
        <f>EXP(-LN(2)/35)*EA113+(1-EXP(-LN(2)/35))/(LN(2)/35)*DW114*DX114*VLOOKUP('Données projet'!$B$14,Paramètres!$A$1:$I$89,3,0)*0.475*44/12</f>
        <v>0</v>
      </c>
      <c r="EB114" s="21">
        <f>EXP(-LN(2)/25)*EB113+(1-EXP(-LN(2)/25))/(LN(2)/25)*Calculateur!DW114*Calculateur!DY114*VLOOKUP('Données projet'!$B$14,Paramètres!$A$1:$I$89,3,0)*0.475*44/12</f>
        <v>0</v>
      </c>
      <c r="EC114" s="21">
        <f>EXP(-LN(2)/2)*EC113+(1-EXP(-LN(2)/2))/(LN(2)/2)*DW114*DZ114*VLOOKUP('Données projet'!$B$14,Paramètres!$A$1:$I$89,3,0)*0.475*44/12</f>
        <v>0</v>
      </c>
      <c r="ED114" s="22">
        <f t="shared" si="72"/>
        <v>0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553.99999999999955</v>
      </c>
      <c r="EK114" s="17">
        <f>EJ114*VLOOKUP('Données projet'!$B$15,Paramètres!$A$1:$I$89,3,0)*VLOOKUP('Données projet'!$B$15,Paramètres!$A$1:$I$89,5,0)</f>
        <v>331.29199999999975</v>
      </c>
      <c r="EL114" s="13">
        <f t="shared" si="99"/>
        <v>77.698110787752</v>
      </c>
      <c r="EM114" s="20">
        <f t="shared" si="73"/>
        <v>712.32444295533423</v>
      </c>
      <c r="EN114" s="59">
        <f t="shared" si="74"/>
        <v>1005.6577762886675</v>
      </c>
      <c r="EO114" s="59">
        <f ca="1">AVERAGE(OFFSET($EN$3,0,0,'Données projet'!$E$15+1,1))-AVERAGE(OFFSET($H$3,0,0,'Données projet'!$E$15+1,1))</f>
        <v>316.58509520829671</v>
      </c>
      <c r="EP114" s="59">
        <f t="shared" si="100"/>
        <v>240.71332110643596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>
        <f>EXP(-LN(2)/35)*EV113+(1-EXP(-LN(2)/35))/(LN(2)/35)*ER114*ES114*VLOOKUP('Données projet'!$B$15,Paramètres!$A$1:$I$89,3,0)*0.475*44/12</f>
        <v>0.50960183643688262</v>
      </c>
      <c r="EW114" s="21">
        <f>EXP(-LN(2)/25)*EW113+(1-EXP(-LN(2)/25))/(LN(2)/25)*Calculateur!ER114*Calculateur!ET114*VLOOKUP('Données projet'!$B$15,Paramètres!$A$1:$I$89,3,0)*0.475*44/12</f>
        <v>1.6160056725198562</v>
      </c>
      <c r="EX114" s="21">
        <f>EXP(-LN(2)/2)*EX113+(1-EXP(-LN(2)/2))/(LN(2)/2)*ER114*EU114*VLOOKUP('Données projet'!$B$15,Paramètres!$A$1:$I$89,3,0)*0.475*44/12</f>
        <v>1.4109408093349647E-11</v>
      </c>
      <c r="EY114" s="22">
        <f t="shared" si="75"/>
        <v>2.1256075089708482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497</v>
      </c>
      <c r="FF114" s="17">
        <f>FE114*VLOOKUP('Données projet'!$B$16,Paramètres!$A$1:$I$89,3,0)*VLOOKUP('Données projet'!$B$16,Paramètres!$A$1:$I$89,5,0)</f>
        <v>297.20600000000002</v>
      </c>
      <c r="FG114" s="13">
        <f t="shared" si="101"/>
        <v>70.590415164571112</v>
      </c>
      <c r="FH114" s="20">
        <f t="shared" si="76"/>
        <v>640.57875641162809</v>
      </c>
      <c r="FI114" s="59">
        <f t="shared" si="77"/>
        <v>933.91208974496135</v>
      </c>
      <c r="FJ114" s="59">
        <f ca="1">AVERAGE(OFFSET($FI$3,0,0,'Données projet'!$E$16+1,1))-AVERAGE(OFFSET($H$3,0,0,'Données projet'!$E$16+1,1))</f>
        <v>270.30888762640245</v>
      </c>
      <c r="FK114" s="59">
        <f t="shared" si="102"/>
        <v>202.23783851977691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>
        <f>EXP(-LN(2)/35)*FQ113+(1-EXP(-LN(2)/35))/(LN(2)/35)*FM114*FN114*VLOOKUP('Données projet'!$B$16,Paramètres!$A$1:$I$89,3,0)*0.475*44/12</f>
        <v>0.43064943924243582</v>
      </c>
      <c r="FR114" s="21">
        <f>EXP(-LN(2)/25)*FR113+(1-EXP(-LN(2)/25))/(LN(2)/25)*Calculateur!FM114*Calculateur!FO114*VLOOKUP('Données projet'!$B$16,Paramètres!$A$1:$I$89,3,0)*0.475*44/12</f>
        <v>1.3013637355457861</v>
      </c>
      <c r="FS114" s="21">
        <f>EXP(-LN(2)/2)*FS113+(1-EXP(-LN(2)/2))/(LN(2)/2)*FM114*FP114*VLOOKUP('Données projet'!$B$16,Paramètres!$A$1:$I$89,3,0)*0.475*44/12</f>
        <v>1.189277912391505E-11</v>
      </c>
      <c r="FT114" s="22">
        <f t="shared" si="78"/>
        <v>1.7320131748001146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-5.1159076974727213E-13</v>
      </c>
      <c r="GA114" s="17">
        <f>FZ114*VLOOKUP('Données projet'!$B$17,Paramètres!$A$1:$I$89,3,0)*VLOOKUP('Données projet'!$B$17,Paramètres!$A$1:$I$89,5,0)</f>
        <v>-4.0702161641092972E-13</v>
      </c>
      <c r="GB114" s="13" t="e">
        <f t="shared" si="103"/>
        <v>#NUM!</v>
      </c>
      <c r="GC114" s="20" t="e">
        <f t="shared" si="79"/>
        <v>#NUM!</v>
      </c>
      <c r="GD114" s="59" t="e">
        <f t="shared" si="80"/>
        <v>#NUM!</v>
      </c>
      <c r="GE114" s="59">
        <f ca="1">AVERAGE(OFFSET($GD$3,0,0,'Données projet'!$E$17+1,1))-AVERAGE(OFFSET($H$3,0,0,'Données projet'!$E$17+1,1))</f>
        <v>260.20517190557814</v>
      </c>
      <c r="GF114" s="59">
        <f t="shared" si="104"/>
        <v>307.22009971147133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>
        <f>EXP(-LN(2)/35)*GL113+(1-EXP(-LN(2)/35))/(LN(2)/35)*GH114*GI114*VLOOKUP('Données projet'!$B$17,Paramètres!$A$1:$I$89,3,0)*0.475*44/12</f>
        <v>0.65606425442078342</v>
      </c>
      <c r="GM114" s="21">
        <f>EXP(-LN(2)/25)*GM113+(1-EXP(-LN(2)/25))/(LN(2)/25)*Calculateur!GH114*Calculateur!GJ114*VLOOKUP('Données projet'!$B$17,Paramètres!$A$1:$I$89,3,0)*0.475*44/12</f>
        <v>2.1718596773453998</v>
      </c>
      <c r="GN114" s="21">
        <f>EXP(-LN(2)/2)*GN113+(1-EXP(-LN(2)/2))/(LN(2)/2)*GH114*GK114*VLOOKUP('Données projet'!$B$17,Paramètres!$A$1:$I$89,3,0)*0.475*44/12</f>
        <v>1.5459740219103303E-11</v>
      </c>
      <c r="GO114" s="21">
        <f t="shared" si="81"/>
        <v>2.8279239317816427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5.6843418860808015E-14</v>
      </c>
      <c r="GV114" s="17">
        <f>GU114*VLOOKUP('Données projet'!$B$18,Paramètres!$A$1:$I$89,3,0)*VLOOKUP('Données projet'!$B$18,Paramètres!$A$1:$I$89,5,0)</f>
        <v>4.5224624045658861E-14</v>
      </c>
      <c r="GW114" s="13">
        <f t="shared" si="105"/>
        <v>7.4514601661523691E-13</v>
      </c>
      <c r="GX114" s="20">
        <f t="shared" si="82"/>
        <v>1.3765621991510601E-12</v>
      </c>
      <c r="GY114" s="59">
        <f t="shared" si="83"/>
        <v>293.33333333333468</v>
      </c>
      <c r="GZ114" s="59">
        <f ca="1">AVERAGE(OFFSET($GY$3,0,0,'Données projet'!$E$18+1,1))-AVERAGE(OFFSET($H$3,0,0,'Données projet'!$E$18+1,1))</f>
        <v>199.58763537752952</v>
      </c>
      <c r="HA114" s="59">
        <f t="shared" si="106"/>
        <v>242.62852778451929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>
        <f>EXP(-LN(2)/35)*HG113+(1-EXP(-LN(2)/35))/(LN(2)/35)*HC114*HD114*VLOOKUP('Données projet'!$B$18,Paramètres!$A$1:$I$89,3,0)*0.475*44/12</f>
        <v>0</v>
      </c>
      <c r="HH114" s="21">
        <f>EXP(-LN(2)/25)*HH113+(1-EXP(-LN(2)/25))/(LN(2)/25)*Calculateur!HC114*Calculateur!HE114*VLOOKUP('Données projet'!$B$18,Paramètres!$A$1:$I$89,3,0)*0.475*44/12</f>
        <v>1.0883827653260791</v>
      </c>
      <c r="HI114" s="21">
        <f>EXP(-LN(2)/2)*HI113+(1-EXP(-LN(2)/2))/(LN(2)/2)*HC114*HF114*VLOOKUP('Données projet'!$B$18,Paramètres!$A$1:$I$89,3,0)*0.475*44/12</f>
        <v>6.9208644308501099E-12</v>
      </c>
      <c r="HJ114" s="22">
        <f t="shared" si="84"/>
        <v>1.088382765333</v>
      </c>
    </row>
    <row r="115" spans="1:218" x14ac:dyDescent="0.2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99.590400000000173</v>
      </c>
      <c r="D115" s="11">
        <f t="shared" si="86"/>
        <v>26.864392698869374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976.14225942987014</v>
      </c>
      <c r="H115" s="67">
        <f t="shared" si="56"/>
        <v>513.57543061719775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-2.2737367544323206E-13</v>
      </c>
      <c r="O115" s="13">
        <f>N115*VLOOKUP('Données projet'!$B$9,Paramètres!$A$1:$I$89,3,0)*VLOOKUP('Données projet'!$B$9,Paramètres!$A$1:$I$89,5,0)</f>
        <v>-1.2710188457276673E-13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255.5374979188561</v>
      </c>
      <c r="T115" s="59">
        <f t="shared" si="88"/>
        <v>343.10418468620901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0.60910749677917531</v>
      </c>
      <c r="AA115" s="21">
        <f>EXP(-LN(2)/25)*AA114+(1-EXP(-LN(2)/25))/(LN(2)/25)*Calculateur!V115*Calculateur!X115*VLOOKUP('Données projet'!$B$9,Paramètres!$A$1:$I$89,3,0)*0.475*44/12</f>
        <v>1.6430907566189401</v>
      </c>
      <c r="AB115" s="21">
        <f>EXP(-LN(2)/2)*AB114+(1-EXP(-LN(2)/2))/(LN(2)/2)*V115*Y115*VLOOKUP('Données projet'!$B$9,Paramètres!$A$1:$I$89,3,0)*0.475*44/12</f>
        <v>7.6972904910420131E-13</v>
      </c>
      <c r="AC115" s="22">
        <f t="shared" si="57"/>
        <v>2.2521982533988849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1.1368683772161603E-13</v>
      </c>
      <c r="AJ115" s="13">
        <f>AI115*VLOOKUP('Données projet'!$B$10,Paramètres!$A$1:$I$89,3,0)*VLOOKUP('Données projet'!$B$10,Paramètres!$A$1:$I$89,5,0)</f>
        <v>6.3550942286383367E-14</v>
      </c>
      <c r="AK115" s="13">
        <f t="shared" si="89"/>
        <v>1.0064464192543978E-12</v>
      </c>
      <c r="AL115" s="20">
        <f t="shared" si="58"/>
        <v>1.8635787380168604E-12</v>
      </c>
      <c r="AM115" s="59">
        <f t="shared" si="59"/>
        <v>293.33333333333519</v>
      </c>
      <c r="AN115" s="59">
        <f ca="1">AVERAGE(OFFSET($AM$3,0,0,'Données projet'!$E$10+1,1))-AVERAGE(OFFSET($H$3,0,0,'Données projet'!$E$10+1,1))</f>
        <v>224.7049802939942</v>
      </c>
      <c r="AO115" s="59">
        <f t="shared" si="90"/>
        <v>203.48513862195352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0.43980538161596328</v>
      </c>
      <c r="AV115" s="21">
        <f>EXP(-LN(2)/25)*AV114+(1-EXP(-LN(2)/25))/(LN(2)/25)*Calculateur!AQ115*Calculateur!AS115*VLOOKUP('Données projet'!$B$10,Paramètres!$A$1:$I$89,3,0)*0.475*44/12</f>
        <v>2.0100281870163266</v>
      </c>
      <c r="AW115" s="21">
        <f>EXP(-LN(2)/2)*AW114+(1-EXP(-LN(2)/2))/(LN(2)/2)*AQ115*AT115*VLOOKUP('Données projet'!$B$10,Paramètres!$A$1:$I$89,3,0)*0.475*44/12</f>
        <v>4.0748148381171652E-12</v>
      </c>
      <c r="AX115" s="21">
        <f t="shared" si="60"/>
        <v>2.4498335686363646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>
        <f>BD115*VLOOKUP('Données projet'!$B$11,Paramètres!$A$1:$I$89,3,0)*VLOOKUP('Données projet'!$B$11,Paramètres!$A$1:$I$89,5,0)</f>
        <v>0</v>
      </c>
      <c r="BF115" s="13" t="e">
        <f t="shared" si="91"/>
        <v>#NUM!</v>
      </c>
      <c r="BG115" s="20" t="e">
        <f t="shared" si="61"/>
        <v>#NUM!</v>
      </c>
      <c r="BH115" s="59" t="e">
        <f t="shared" si="62"/>
        <v>#NUM!</v>
      </c>
      <c r="BI115" s="59">
        <f ca="1">AVERAGE(OFFSET($BH$3,0,0,'Données projet'!$E$11+1,1))-AVERAGE(OFFSET($H$3,0,0,'Données projet'!$E$11+1,1))</f>
        <v>210.04871822652808</v>
      </c>
      <c r="BJ115" s="59">
        <f t="shared" si="92"/>
        <v>250.17540614049324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1.4391672107162798</v>
      </c>
      <c r="BQ115" s="21">
        <f>EXP(-LN(2)/25)*BQ114+(1-EXP(-LN(2)/25))/(LN(2)/25)*Calculateur!BL115*Calculateur!BN115*VLOOKUP('Données projet'!$B$11,Paramètres!$A$1:$I$89,3,0)*0.475*44/12</f>
        <v>2.8651407140073344</v>
      </c>
      <c r="BR115" s="21">
        <f>EXP(-LN(2)/2)*BR114+(1-EXP(-LN(2)/2))/(LN(2)/2)*BL115*BO115*VLOOKUP('Données projet'!$B$11,Paramètres!$A$1:$I$89,3,0)*0.475*44/12</f>
        <v>9.8015738046122815E-12</v>
      </c>
      <c r="BS115" s="22">
        <f t="shared" si="63"/>
        <v>4.3043079247334166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2.2737367544323206E-13</v>
      </c>
      <c r="BZ115" s="13">
        <f>BY115*VLOOKUP('Données projet'!$B$12,Paramètres!$A$1:$I$89,3,0)*VLOOKUP('Données projet'!$B$12,Paramètres!$A$1:$I$89,5,0)</f>
        <v>1.2414602679200471E-13</v>
      </c>
      <c r="CA115" s="13">
        <f t="shared" si="93"/>
        <v>1.8186582995804361E-12</v>
      </c>
      <c r="CB115" s="20">
        <f t="shared" si="64"/>
        <v>3.3837175350986671E-12</v>
      </c>
      <c r="CC115" s="59">
        <f t="shared" si="65"/>
        <v>293.33333333333672</v>
      </c>
      <c r="CD115" s="59">
        <f ca="1">AVERAGE(OFFSET($CC$3,0,0,'Données projet'!$E$12+1,1))-AVERAGE(OFFSET($H$3,0,0,'Données projet'!$E$12+1,1))</f>
        <v>168.72306536277267</v>
      </c>
      <c r="CE115" s="59">
        <f t="shared" si="94"/>
        <v>203.35476578922339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0.5996530044651166</v>
      </c>
      <c r="CL115" s="21">
        <f>EXP(-LN(2)/25)*CL114+(1-EXP(-LN(2)/25))/(LN(2)/25)*Calculateur!CG115*Calculateur!CI115*VLOOKUP('Données projet'!$B$12,Paramètres!$A$1:$I$89,3,0)*0.475*44/12</f>
        <v>2.3662821596633474</v>
      </c>
      <c r="CM115" s="21">
        <f>EXP(-LN(2)/2)*CM114+(1-EXP(-LN(2)/2))/(LN(2)/2)*CG115*CJ115*VLOOKUP('Données projet'!$B$12,Paramètres!$A$1:$I$89,3,0)*0.475*44/12</f>
        <v>9.1057912059519668E-12</v>
      </c>
      <c r="CN115" s="22">
        <f t="shared" si="66"/>
        <v>2.9659351641375697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1277.6923076923067</v>
      </c>
      <c r="CU115" s="17">
        <f>CT115*VLOOKUP('Données projet'!$B$13,Paramètres!$A$1:$I$89,3,0)*VLOOKUP('Données projet'!$B$13,Paramètres!$A$1:$I$89,5,0)</f>
        <v>614.5699999999996</v>
      </c>
      <c r="CV115" s="13">
        <f t="shared" si="95"/>
        <v>134.13240620831178</v>
      </c>
      <c r="CW115" s="20">
        <f t="shared" si="67"/>
        <v>1303.9900241461421</v>
      </c>
      <c r="CX115" s="59">
        <f t="shared" si="68"/>
        <v>1597.3233574794754</v>
      </c>
      <c r="CY115" s="59">
        <f ca="1">AVERAGE(OFFSET($CX$3,0,0,'Données projet'!$E$13+1,1))-AVERAGE(OFFSET($H$3,0,0,'Données projet'!$E$13+1,1))</f>
        <v>304.15237106473313</v>
      </c>
      <c r="CZ115" s="59">
        <f t="shared" si="96"/>
        <v>120.85458928724336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>
        <f>EXP(-LN(2)/35)*DF114+(1-EXP(-LN(2)/35))/(LN(2)/35)*DB115*DC115*VLOOKUP('Données projet'!$B$13,Paramètres!$A$1:$I$89,3,0)*0.475*44/12</f>
        <v>0</v>
      </c>
      <c r="DG115" s="21">
        <f>EXP(-LN(2)/25)*DG114+(1-EXP(-LN(2)/25))/(LN(2)/25)*Calculateur!DB115*Calculateur!DD115*VLOOKUP('Données projet'!$B$13,Paramètres!$A$1:$I$89,3,0)*0.475*44/12</f>
        <v>0</v>
      </c>
      <c r="DH115" s="21">
        <f>EXP(-LN(2)/2)*DH114+(1-EXP(-LN(2)/2))/(LN(2)/2)*DB115*DE115*VLOOKUP('Données projet'!$B$13,Paramètres!$A$1:$I$89,3,0)*0.475*44/12</f>
        <v>0</v>
      </c>
      <c r="DI115" s="22">
        <f t="shared" si="69"/>
        <v>0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425.38461538461536</v>
      </c>
      <c r="DP115" s="17">
        <f>DO115*VLOOKUP('Données projet'!$B$14,Paramètres!$A$1:$I$89,3,0)*VLOOKUP('Données projet'!$B$14,Paramètres!$A$1:$I$89,5,0)</f>
        <v>204.60999999999999</v>
      </c>
      <c r="DQ115" s="13">
        <f t="shared" si="97"/>
        <v>50.755958577224398</v>
      </c>
      <c r="DR115" s="20">
        <f t="shared" si="70"/>
        <v>444.76237785533249</v>
      </c>
      <c r="DS115" s="59">
        <f t="shared" si="71"/>
        <v>738.09571118866575</v>
      </c>
      <c r="DT115" s="59">
        <f ca="1">AVERAGE(OFFSET($DS$3,0,0,'Données projet'!$E$14+1,1))-AVERAGE(OFFSET($H$3,0,0,'Données projet'!$E$14+1,1))</f>
        <v>91.053246648097399</v>
      </c>
      <c r="DU115" s="59">
        <f t="shared" si="98"/>
        <v>64.716270355703955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>
        <f>EXP(-LN(2)/35)*EA114+(1-EXP(-LN(2)/35))/(LN(2)/35)*DW115*DX115*VLOOKUP('Données projet'!$B$14,Paramètres!$A$1:$I$89,3,0)*0.475*44/12</f>
        <v>0</v>
      </c>
      <c r="EB115" s="21">
        <f>EXP(-LN(2)/25)*EB114+(1-EXP(-LN(2)/25))/(LN(2)/25)*Calculateur!DW115*Calculateur!DY115*VLOOKUP('Données projet'!$B$14,Paramètres!$A$1:$I$89,3,0)*0.475*44/12</f>
        <v>0</v>
      </c>
      <c r="EC115" s="21">
        <f>EXP(-LN(2)/2)*EC114+(1-EXP(-LN(2)/2))/(LN(2)/2)*DW115*DZ115*VLOOKUP('Données projet'!$B$14,Paramètres!$A$1:$I$89,3,0)*0.475*44/12</f>
        <v>0</v>
      </c>
      <c r="ED115" s="22">
        <f t="shared" si="72"/>
        <v>0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553.99999999999955</v>
      </c>
      <c r="EK115" s="17">
        <f>EJ115*VLOOKUP('Données projet'!$B$15,Paramètres!$A$1:$I$89,3,0)*VLOOKUP('Données projet'!$B$15,Paramètres!$A$1:$I$89,5,0)</f>
        <v>331.29199999999975</v>
      </c>
      <c r="EL115" s="13">
        <f t="shared" si="99"/>
        <v>77.698110787752</v>
      </c>
      <c r="EM115" s="20">
        <f t="shared" si="73"/>
        <v>712.32444295533423</v>
      </c>
      <c r="EN115" s="59">
        <f t="shared" si="74"/>
        <v>1005.6577762886675</v>
      </c>
      <c r="EO115" s="59">
        <f ca="1">AVERAGE(OFFSET($EN$3,0,0,'Données projet'!$E$15+1,1))-AVERAGE(OFFSET($H$3,0,0,'Données projet'!$E$15+1,1))</f>
        <v>316.58509520829671</v>
      </c>
      <c r="EP115" s="59">
        <f t="shared" si="100"/>
        <v>240.71332110643596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>
        <f>EXP(-LN(2)/35)*EV114+(1-EXP(-LN(2)/35))/(LN(2)/35)*ER115*ES115*VLOOKUP('Données projet'!$B$15,Paramètres!$A$1:$I$89,3,0)*0.475*44/12</f>
        <v>0.49960885525078402</v>
      </c>
      <c r="EW115" s="21">
        <f>EXP(-LN(2)/25)*EW114+(1-EXP(-LN(2)/25))/(LN(2)/25)*Calculateur!ER115*Calculateur!ET115*VLOOKUP('Données projet'!$B$15,Paramètres!$A$1:$I$89,3,0)*0.475*44/12</f>
        <v>1.5718159124227558</v>
      </c>
      <c r="EX115" s="21">
        <f>EXP(-LN(2)/2)*EX114+(1-EXP(-LN(2)/2))/(LN(2)/2)*ER115*EU115*VLOOKUP('Données projet'!$B$15,Paramètres!$A$1:$I$89,3,0)*0.475*44/12</f>
        <v>9.9768581413358919E-12</v>
      </c>
      <c r="EY115" s="22">
        <f t="shared" si="75"/>
        <v>2.0714247676835167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497</v>
      </c>
      <c r="FF115" s="17">
        <f>FE115*VLOOKUP('Données projet'!$B$16,Paramètres!$A$1:$I$89,3,0)*VLOOKUP('Données projet'!$B$16,Paramètres!$A$1:$I$89,5,0)</f>
        <v>297.20600000000002</v>
      </c>
      <c r="FG115" s="13">
        <f t="shared" si="101"/>
        <v>70.590415164571112</v>
      </c>
      <c r="FH115" s="20">
        <f t="shared" si="76"/>
        <v>640.57875641162809</v>
      </c>
      <c r="FI115" s="59">
        <f t="shared" si="77"/>
        <v>933.91208974496135</v>
      </c>
      <c r="FJ115" s="59">
        <f ca="1">AVERAGE(OFFSET($FI$3,0,0,'Données projet'!$E$16+1,1))-AVERAGE(OFFSET($H$3,0,0,'Données projet'!$E$16+1,1))</f>
        <v>270.30888762640245</v>
      </c>
      <c r="FK115" s="59">
        <f t="shared" si="102"/>
        <v>202.23783851977691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>
        <f>EXP(-LN(2)/35)*FQ114+(1-EXP(-LN(2)/35))/(LN(2)/35)*FM115*FN115*VLOOKUP('Données projet'!$B$16,Paramètres!$A$1:$I$89,3,0)*0.475*44/12</f>
        <v>0.42220466640911308</v>
      </c>
      <c r="FR115" s="21">
        <f>EXP(-LN(2)/25)*FR114+(1-EXP(-LN(2)/25))/(LN(2)/25)*Calculateur!FM115*Calculateur!FO115*VLOOKUP('Données projet'!$B$16,Paramètres!$A$1:$I$89,3,0)*0.475*44/12</f>
        <v>1.2657778757615421</v>
      </c>
      <c r="FS115" s="21">
        <f>EXP(-LN(2)/2)*FS114+(1-EXP(-LN(2)/2))/(LN(2)/2)*FM115*FP115*VLOOKUP('Données projet'!$B$16,Paramètres!$A$1:$I$89,3,0)*0.475*44/12</f>
        <v>8.4094647656741399E-12</v>
      </c>
      <c r="FT115" s="22">
        <f t="shared" si="78"/>
        <v>1.6879825421790646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-5.1159076974727213E-13</v>
      </c>
      <c r="GA115" s="17">
        <f>FZ115*VLOOKUP('Données projet'!$B$17,Paramètres!$A$1:$I$89,3,0)*VLOOKUP('Données projet'!$B$17,Paramètres!$A$1:$I$89,5,0)</f>
        <v>-4.0702161641092972E-13</v>
      </c>
      <c r="GB115" s="13" t="e">
        <f t="shared" si="103"/>
        <v>#NUM!</v>
      </c>
      <c r="GC115" s="20" t="e">
        <f t="shared" si="79"/>
        <v>#NUM!</v>
      </c>
      <c r="GD115" s="59" t="e">
        <f t="shared" si="80"/>
        <v>#NUM!</v>
      </c>
      <c r="GE115" s="59">
        <f ca="1">AVERAGE(OFFSET($GD$3,0,0,'Données projet'!$E$17+1,1))-AVERAGE(OFFSET($H$3,0,0,'Données projet'!$E$17+1,1))</f>
        <v>260.20517190557814</v>
      </c>
      <c r="GF115" s="59">
        <f t="shared" si="104"/>
        <v>307.22009971147133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>
        <f>EXP(-LN(2)/35)*GL114+(1-EXP(-LN(2)/35))/(LN(2)/35)*GH115*GI115*VLOOKUP('Données projet'!$B$17,Paramètres!$A$1:$I$89,3,0)*0.475*44/12</f>
        <v>0.64319923455127459</v>
      </c>
      <c r="GM115" s="21">
        <f>EXP(-LN(2)/25)*GM114+(1-EXP(-LN(2)/25))/(LN(2)/25)*Calculateur!GH115*Calculateur!GJ115*VLOOKUP('Données projet'!$B$17,Paramètres!$A$1:$I$89,3,0)*0.475*44/12</f>
        <v>2.1124700602552533</v>
      </c>
      <c r="GN115" s="21">
        <f>EXP(-LN(2)/2)*GN114+(1-EXP(-LN(2)/2))/(LN(2)/2)*GH115*GK115*VLOOKUP('Données projet'!$B$17,Paramètres!$A$1:$I$89,3,0)*0.475*44/12</f>
        <v>1.0931687144310347E-11</v>
      </c>
      <c r="GO115" s="21">
        <f t="shared" si="81"/>
        <v>2.7556692948174595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5.6843418860808015E-14</v>
      </c>
      <c r="GV115" s="17">
        <f>GU115*VLOOKUP('Données projet'!$B$18,Paramètres!$A$1:$I$89,3,0)*VLOOKUP('Données projet'!$B$18,Paramètres!$A$1:$I$89,5,0)</f>
        <v>4.5224624045658861E-14</v>
      </c>
      <c r="GW115" s="13">
        <f t="shared" si="105"/>
        <v>7.4514601661523691E-13</v>
      </c>
      <c r="GX115" s="20">
        <f t="shared" si="82"/>
        <v>1.3765621991510601E-12</v>
      </c>
      <c r="GY115" s="59">
        <f t="shared" si="83"/>
        <v>293.33333333333468</v>
      </c>
      <c r="GZ115" s="59">
        <f ca="1">AVERAGE(OFFSET($GY$3,0,0,'Données projet'!$E$18+1,1))-AVERAGE(OFFSET($H$3,0,0,'Données projet'!$E$18+1,1))</f>
        <v>199.58763537752952</v>
      </c>
      <c r="HA115" s="59">
        <f t="shared" si="106"/>
        <v>242.62852778451929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>
        <f>EXP(-LN(2)/35)*HG114+(1-EXP(-LN(2)/35))/(LN(2)/35)*HC115*HD115*VLOOKUP('Données projet'!$B$18,Paramètres!$A$1:$I$89,3,0)*0.475*44/12</f>
        <v>0</v>
      </c>
      <c r="HH115" s="21">
        <f>EXP(-LN(2)/25)*HH114+(1-EXP(-LN(2)/25))/(LN(2)/25)*Calculateur!HC115*Calculateur!HE115*VLOOKUP('Données projet'!$B$18,Paramètres!$A$1:$I$89,3,0)*0.475*44/12</f>
        <v>1.0586208813726754</v>
      </c>
      <c r="HI115" s="21">
        <f>EXP(-LN(2)/2)*HI114+(1-EXP(-LN(2)/2))/(LN(2)/2)*HC115*HF115*VLOOKUP('Données projet'!$B$18,Paramètres!$A$1:$I$89,3,0)*0.475*44/12</f>
        <v>4.8937901707268883E-12</v>
      </c>
      <c r="HJ115" s="22">
        <f t="shared" si="84"/>
        <v>1.0586208813775693</v>
      </c>
    </row>
    <row r="116" spans="1:218" x14ac:dyDescent="0.2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100.47960000000018</v>
      </c>
      <c r="D116" s="11">
        <f t="shared" si="86"/>
        <v>27.076223799065254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984.64144686997872</v>
      </c>
      <c r="H116" s="67">
        <f t="shared" si="56"/>
        <v>515.49305978337225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-2.2737367544323206E-13</v>
      </c>
      <c r="O116" s="13">
        <f>N116*VLOOKUP('Données projet'!$B$9,Paramètres!$A$1:$I$89,3,0)*VLOOKUP('Données projet'!$B$9,Paramètres!$A$1:$I$89,5,0)</f>
        <v>-1.2710188457276673E-13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255.5374979188561</v>
      </c>
      <c r="T116" s="59">
        <f t="shared" si="88"/>
        <v>343.10418468620901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0.59716327028622429</v>
      </c>
      <c r="AA116" s="21">
        <f>EXP(-LN(2)/25)*AA115+(1-EXP(-LN(2)/25))/(LN(2)/25)*Calculateur!V116*Calculateur!X116*VLOOKUP('Données projet'!$B$9,Paramètres!$A$1:$I$89,3,0)*0.475*44/12</f>
        <v>1.5981603534728077</v>
      </c>
      <c r="AB116" s="21">
        <f>EXP(-LN(2)/2)*AB115+(1-EXP(-LN(2)/2))/(LN(2)/2)*V116*Y116*VLOOKUP('Données projet'!$B$9,Paramètres!$A$1:$I$89,3,0)*0.475*44/12</f>
        <v>5.4428063029785376E-13</v>
      </c>
      <c r="AC116" s="22">
        <f t="shared" si="57"/>
        <v>2.1953236237595766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1.1368683772161603E-13</v>
      </c>
      <c r="AJ116" s="13">
        <f>AI116*VLOOKUP('Données projet'!$B$10,Paramètres!$A$1:$I$89,3,0)*VLOOKUP('Données projet'!$B$10,Paramètres!$A$1:$I$89,5,0)</f>
        <v>6.3550942286383367E-14</v>
      </c>
      <c r="AK116" s="13">
        <f t="shared" si="89"/>
        <v>1.0064464192543978E-12</v>
      </c>
      <c r="AL116" s="20">
        <f t="shared" si="58"/>
        <v>1.8635787380168604E-12</v>
      </c>
      <c r="AM116" s="59">
        <f t="shared" si="59"/>
        <v>293.33333333333519</v>
      </c>
      <c r="AN116" s="59">
        <f ca="1">AVERAGE(OFFSET($AM$3,0,0,'Données projet'!$E$10+1,1))-AVERAGE(OFFSET($H$3,0,0,'Données projet'!$E$10+1,1))</f>
        <v>224.7049802939942</v>
      </c>
      <c r="AO116" s="59">
        <f t="shared" si="90"/>
        <v>203.48513862195352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0.43118106633726905</v>
      </c>
      <c r="AV116" s="21">
        <f>EXP(-LN(2)/25)*AV115+(1-EXP(-LN(2)/25))/(LN(2)/25)*Calculateur!AQ116*Calculateur!AS116*VLOOKUP('Données projet'!$B$10,Paramètres!$A$1:$I$89,3,0)*0.475*44/12</f>
        <v>1.9550638605395767</v>
      </c>
      <c r="AW116" s="21">
        <f>EXP(-LN(2)/2)*AW115+(1-EXP(-LN(2)/2))/(LN(2)/2)*AQ116*AT116*VLOOKUP('Données projet'!$B$10,Paramètres!$A$1:$I$89,3,0)*0.475*44/12</f>
        <v>2.8813292041122114E-12</v>
      </c>
      <c r="AX116" s="21">
        <f t="shared" si="60"/>
        <v>2.3862449268797272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>
        <f>BD116*VLOOKUP('Données projet'!$B$11,Paramètres!$A$1:$I$89,3,0)*VLOOKUP('Données projet'!$B$11,Paramètres!$A$1:$I$89,5,0)</f>
        <v>0</v>
      </c>
      <c r="BF116" s="13" t="e">
        <f t="shared" si="91"/>
        <v>#NUM!</v>
      </c>
      <c r="BG116" s="20" t="e">
        <f t="shared" si="61"/>
        <v>#NUM!</v>
      </c>
      <c r="BH116" s="59" t="e">
        <f t="shared" si="62"/>
        <v>#NUM!</v>
      </c>
      <c r="BI116" s="59">
        <f ca="1">AVERAGE(OFFSET($BH$3,0,0,'Données projet'!$E$11+1,1))-AVERAGE(OFFSET($H$3,0,0,'Données projet'!$E$11+1,1))</f>
        <v>210.04871822652808</v>
      </c>
      <c r="BJ116" s="59">
        <f t="shared" si="92"/>
        <v>250.17540614049324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1.4109460195194561</v>
      </c>
      <c r="BQ116" s="21">
        <f>EXP(-LN(2)/25)*BQ115+(1-EXP(-LN(2)/25))/(LN(2)/25)*Calculateur!BL116*Calculateur!BN116*VLOOKUP('Données projet'!$B$11,Paramètres!$A$1:$I$89,3,0)*0.475*44/12</f>
        <v>2.7867932905116022</v>
      </c>
      <c r="BR116" s="21">
        <f>EXP(-LN(2)/2)*BR115+(1-EXP(-LN(2)/2))/(LN(2)/2)*BL116*BO116*VLOOKUP('Données projet'!$B$11,Paramètres!$A$1:$I$89,3,0)*0.475*44/12</f>
        <v>6.9307593035417728E-12</v>
      </c>
      <c r="BS116" s="22">
        <f t="shared" si="63"/>
        <v>4.1977393100379885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2.2737367544323206E-13</v>
      </c>
      <c r="BZ116" s="13">
        <f>BY116*VLOOKUP('Données projet'!$B$12,Paramètres!$A$1:$I$89,3,0)*VLOOKUP('Données projet'!$B$12,Paramètres!$A$1:$I$89,5,0)</f>
        <v>1.2414602679200471E-13</v>
      </c>
      <c r="CA116" s="13">
        <f t="shared" si="93"/>
        <v>1.8186582995804361E-12</v>
      </c>
      <c r="CB116" s="20">
        <f t="shared" si="64"/>
        <v>3.3837175350986671E-12</v>
      </c>
      <c r="CC116" s="59">
        <f t="shared" si="65"/>
        <v>293.33333333333672</v>
      </c>
      <c r="CD116" s="59">
        <f ca="1">AVERAGE(OFFSET($CC$3,0,0,'Données projet'!$E$12+1,1))-AVERAGE(OFFSET($H$3,0,0,'Données projet'!$E$12+1,1))</f>
        <v>168.72306536277267</v>
      </c>
      <c r="CE116" s="59">
        <f t="shared" si="94"/>
        <v>203.35476578922339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0.58789417479977335</v>
      </c>
      <c r="CL116" s="21">
        <f>EXP(-LN(2)/25)*CL115+(1-EXP(-LN(2)/25))/(LN(2)/25)*Calculateur!CG116*Calculateur!CI116*VLOOKUP('Données projet'!$B$12,Paramètres!$A$1:$I$89,3,0)*0.475*44/12</f>
        <v>2.3015760495699826</v>
      </c>
      <c r="CM116" s="21">
        <f>EXP(-LN(2)/2)*CM115+(1-EXP(-LN(2)/2))/(LN(2)/2)*CG116*CJ116*VLOOKUP('Données projet'!$B$12,Paramètres!$A$1:$I$89,3,0)*0.475*44/12</f>
        <v>6.4387667097974662E-12</v>
      </c>
      <c r="CN116" s="22">
        <f t="shared" si="66"/>
        <v>2.8894702243761947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1277.6923076923067</v>
      </c>
      <c r="CU116" s="17">
        <f>CT116*VLOOKUP('Données projet'!$B$13,Paramètres!$A$1:$I$89,3,0)*VLOOKUP('Données projet'!$B$13,Paramètres!$A$1:$I$89,5,0)</f>
        <v>614.5699999999996</v>
      </c>
      <c r="CV116" s="13">
        <f t="shared" si="95"/>
        <v>134.13240620831178</v>
      </c>
      <c r="CW116" s="20">
        <f t="shared" si="67"/>
        <v>1303.9900241461421</v>
      </c>
      <c r="CX116" s="59">
        <f t="shared" si="68"/>
        <v>1597.3233574794754</v>
      </c>
      <c r="CY116" s="59">
        <f ca="1">AVERAGE(OFFSET($CX$3,0,0,'Données projet'!$E$13+1,1))-AVERAGE(OFFSET($H$3,0,0,'Données projet'!$E$13+1,1))</f>
        <v>304.15237106473313</v>
      </c>
      <c r="CZ116" s="59">
        <f t="shared" si="96"/>
        <v>120.85458928724336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>
        <f>EXP(-LN(2)/35)*DF115+(1-EXP(-LN(2)/35))/(LN(2)/35)*DB116*DC116*VLOOKUP('Données projet'!$B$13,Paramètres!$A$1:$I$89,3,0)*0.475*44/12</f>
        <v>0</v>
      </c>
      <c r="DG116" s="21">
        <f>EXP(-LN(2)/25)*DG115+(1-EXP(-LN(2)/25))/(LN(2)/25)*Calculateur!DB116*Calculateur!DD116*VLOOKUP('Données projet'!$B$13,Paramètres!$A$1:$I$89,3,0)*0.475*44/12</f>
        <v>0</v>
      </c>
      <c r="DH116" s="21">
        <f>EXP(-LN(2)/2)*DH115+(1-EXP(-LN(2)/2))/(LN(2)/2)*DB116*DE116*VLOOKUP('Données projet'!$B$13,Paramètres!$A$1:$I$89,3,0)*0.475*44/12</f>
        <v>0</v>
      </c>
      <c r="DI116" s="22">
        <f t="shared" si="69"/>
        <v>0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425.38461538461536</v>
      </c>
      <c r="DP116" s="17">
        <f>DO116*VLOOKUP('Données projet'!$B$14,Paramètres!$A$1:$I$89,3,0)*VLOOKUP('Données projet'!$B$14,Paramètres!$A$1:$I$89,5,0)</f>
        <v>204.60999999999999</v>
      </c>
      <c r="DQ116" s="13">
        <f t="shared" si="97"/>
        <v>50.755958577224398</v>
      </c>
      <c r="DR116" s="20">
        <f t="shared" si="70"/>
        <v>444.76237785533249</v>
      </c>
      <c r="DS116" s="59">
        <f t="shared" si="71"/>
        <v>738.09571118866575</v>
      </c>
      <c r="DT116" s="59">
        <f ca="1">AVERAGE(OFFSET($DS$3,0,0,'Données projet'!$E$14+1,1))-AVERAGE(OFFSET($H$3,0,0,'Données projet'!$E$14+1,1))</f>
        <v>91.053246648097399</v>
      </c>
      <c r="DU116" s="59">
        <f t="shared" si="98"/>
        <v>64.716270355703955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>
        <f>EXP(-LN(2)/35)*EA115+(1-EXP(-LN(2)/35))/(LN(2)/35)*DW116*DX116*VLOOKUP('Données projet'!$B$14,Paramètres!$A$1:$I$89,3,0)*0.475*44/12</f>
        <v>0</v>
      </c>
      <c r="EB116" s="21">
        <f>EXP(-LN(2)/25)*EB115+(1-EXP(-LN(2)/25))/(LN(2)/25)*Calculateur!DW116*Calculateur!DY116*VLOOKUP('Données projet'!$B$14,Paramètres!$A$1:$I$89,3,0)*0.475*44/12</f>
        <v>0</v>
      </c>
      <c r="EC116" s="21">
        <f>EXP(-LN(2)/2)*EC115+(1-EXP(-LN(2)/2))/(LN(2)/2)*DW116*DZ116*VLOOKUP('Données projet'!$B$14,Paramètres!$A$1:$I$89,3,0)*0.475*44/12</f>
        <v>0</v>
      </c>
      <c r="ED116" s="22">
        <f t="shared" si="72"/>
        <v>0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553.99999999999955</v>
      </c>
      <c r="EK116" s="17">
        <f>EJ116*VLOOKUP('Données projet'!$B$15,Paramètres!$A$1:$I$89,3,0)*VLOOKUP('Données projet'!$B$15,Paramètres!$A$1:$I$89,5,0)</f>
        <v>331.29199999999975</v>
      </c>
      <c r="EL116" s="13">
        <f t="shared" si="99"/>
        <v>77.698110787752</v>
      </c>
      <c r="EM116" s="20">
        <f t="shared" si="73"/>
        <v>712.32444295533423</v>
      </c>
      <c r="EN116" s="59">
        <f t="shared" si="74"/>
        <v>1005.6577762886675</v>
      </c>
      <c r="EO116" s="59">
        <f ca="1">AVERAGE(OFFSET($EN$3,0,0,'Données projet'!$E$15+1,1))-AVERAGE(OFFSET($H$3,0,0,'Données projet'!$E$15+1,1))</f>
        <v>316.58509520829671</v>
      </c>
      <c r="EP116" s="59">
        <f t="shared" si="100"/>
        <v>240.71332110643596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>
        <f>EXP(-LN(2)/35)*EV115+(1-EXP(-LN(2)/35))/(LN(2)/35)*ER116*ES116*VLOOKUP('Données projet'!$B$15,Paramètres!$A$1:$I$89,3,0)*0.475*44/12</f>
        <v>0.48981183033062814</v>
      </c>
      <c r="EW116" s="21">
        <f>EXP(-LN(2)/25)*EW115+(1-EXP(-LN(2)/25))/(LN(2)/25)*Calculateur!ER116*Calculateur!ET116*VLOOKUP('Données projet'!$B$15,Paramètres!$A$1:$I$89,3,0)*0.475*44/12</f>
        <v>1.528834523639349</v>
      </c>
      <c r="EX116" s="21">
        <f>EXP(-LN(2)/2)*EX115+(1-EXP(-LN(2)/2))/(LN(2)/2)*ER116*EU116*VLOOKUP('Données projet'!$B$15,Paramètres!$A$1:$I$89,3,0)*0.475*44/12</f>
        <v>7.0547040466748241E-12</v>
      </c>
      <c r="EY116" s="22">
        <f t="shared" si="75"/>
        <v>2.0186463539770321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497</v>
      </c>
      <c r="FF116" s="17">
        <f>FE116*VLOOKUP('Données projet'!$B$16,Paramètres!$A$1:$I$89,3,0)*VLOOKUP('Données projet'!$B$16,Paramètres!$A$1:$I$89,5,0)</f>
        <v>297.20600000000002</v>
      </c>
      <c r="FG116" s="13">
        <f t="shared" si="101"/>
        <v>70.590415164571112</v>
      </c>
      <c r="FH116" s="20">
        <f t="shared" si="76"/>
        <v>640.57875641162809</v>
      </c>
      <c r="FI116" s="59">
        <f t="shared" si="77"/>
        <v>933.91208974496135</v>
      </c>
      <c r="FJ116" s="59">
        <f ca="1">AVERAGE(OFFSET($FI$3,0,0,'Données projet'!$E$16+1,1))-AVERAGE(OFFSET($H$3,0,0,'Données projet'!$E$16+1,1))</f>
        <v>270.30888762640245</v>
      </c>
      <c r="FK116" s="59">
        <f t="shared" si="102"/>
        <v>202.23783851977691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>
        <f>EXP(-LN(2)/35)*FQ115+(1-EXP(-LN(2)/35))/(LN(2)/35)*FM116*FN116*VLOOKUP('Données projet'!$B$16,Paramètres!$A$1:$I$89,3,0)*0.475*44/12</f>
        <v>0.41392549042024895</v>
      </c>
      <c r="FR116" s="21">
        <f>EXP(-LN(2)/25)*FR115+(1-EXP(-LN(2)/25))/(LN(2)/25)*Calculateur!FM116*Calculateur!FO116*VLOOKUP('Données projet'!$B$16,Paramètres!$A$1:$I$89,3,0)*0.475*44/12</f>
        <v>1.2311651131844772</v>
      </c>
      <c r="FS116" s="21">
        <f>EXP(-LN(2)/2)*FS115+(1-EXP(-LN(2)/2))/(LN(2)/2)*FM116*FP116*VLOOKUP('Données projet'!$B$16,Paramètres!$A$1:$I$89,3,0)*0.475*44/12</f>
        <v>5.9463895619575252E-12</v>
      </c>
      <c r="FT116" s="22">
        <f t="shared" si="78"/>
        <v>1.6450906036106725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-5.1159076974727213E-13</v>
      </c>
      <c r="GA116" s="17">
        <f>FZ116*VLOOKUP('Données projet'!$B$17,Paramètres!$A$1:$I$89,3,0)*VLOOKUP('Données projet'!$B$17,Paramètres!$A$1:$I$89,5,0)</f>
        <v>-4.0702161641092972E-13</v>
      </c>
      <c r="GB116" s="13" t="e">
        <f t="shared" si="103"/>
        <v>#NUM!</v>
      </c>
      <c r="GC116" s="20" t="e">
        <f t="shared" si="79"/>
        <v>#NUM!</v>
      </c>
      <c r="GD116" s="59" t="e">
        <f t="shared" si="80"/>
        <v>#NUM!</v>
      </c>
      <c r="GE116" s="59">
        <f ca="1">AVERAGE(OFFSET($GD$3,0,0,'Données projet'!$E$17+1,1))-AVERAGE(OFFSET($H$3,0,0,'Données projet'!$E$17+1,1))</f>
        <v>260.20517190557814</v>
      </c>
      <c r="GF116" s="59">
        <f t="shared" si="104"/>
        <v>307.22009971147133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>
        <f>EXP(-LN(2)/35)*GL115+(1-EXP(-LN(2)/35))/(LN(2)/35)*GH116*GI116*VLOOKUP('Données projet'!$B$17,Paramètres!$A$1:$I$89,3,0)*0.475*44/12</f>
        <v>0.63058648987451948</v>
      </c>
      <c r="GM116" s="21">
        <f>EXP(-LN(2)/25)*GM115+(1-EXP(-LN(2)/25))/(LN(2)/25)*Calculateur!GH116*Calculateur!GJ116*VLOOKUP('Données projet'!$B$17,Paramètres!$A$1:$I$89,3,0)*0.475*44/12</f>
        <v>2.054704455367601</v>
      </c>
      <c r="GN116" s="21">
        <f>EXP(-LN(2)/2)*GN115+(1-EXP(-LN(2)/2))/(LN(2)/2)*GH116*GK116*VLOOKUP('Données projet'!$B$17,Paramètres!$A$1:$I$89,3,0)*0.475*44/12</f>
        <v>7.7298701095516513E-12</v>
      </c>
      <c r="GO116" s="21">
        <f t="shared" si="81"/>
        <v>2.6852909452498501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5.6843418860808015E-14</v>
      </c>
      <c r="GV116" s="17">
        <f>GU116*VLOOKUP('Données projet'!$B$18,Paramètres!$A$1:$I$89,3,0)*VLOOKUP('Données projet'!$B$18,Paramètres!$A$1:$I$89,5,0)</f>
        <v>4.5224624045658861E-14</v>
      </c>
      <c r="GW116" s="13">
        <f t="shared" si="105"/>
        <v>7.4514601661523691E-13</v>
      </c>
      <c r="GX116" s="20">
        <f t="shared" si="82"/>
        <v>1.3765621991510601E-12</v>
      </c>
      <c r="GY116" s="59">
        <f t="shared" si="83"/>
        <v>293.33333333333468</v>
      </c>
      <c r="GZ116" s="59">
        <f ca="1">AVERAGE(OFFSET($GY$3,0,0,'Données projet'!$E$18+1,1))-AVERAGE(OFFSET($H$3,0,0,'Données projet'!$E$18+1,1))</f>
        <v>199.58763537752952</v>
      </c>
      <c r="HA116" s="59">
        <f t="shared" si="106"/>
        <v>242.62852778451929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>
        <f>EXP(-LN(2)/35)*HG115+(1-EXP(-LN(2)/35))/(LN(2)/35)*HC116*HD116*VLOOKUP('Données projet'!$B$18,Paramètres!$A$1:$I$89,3,0)*0.475*44/12</f>
        <v>0</v>
      </c>
      <c r="HH116" s="21">
        <f>EXP(-LN(2)/25)*HH115+(1-EXP(-LN(2)/25))/(LN(2)/25)*Calculateur!HC116*Calculateur!HE116*VLOOKUP('Données projet'!$B$18,Paramètres!$A$1:$I$89,3,0)*0.475*44/12</f>
        <v>1.0296728377010869</v>
      </c>
      <c r="HI116" s="21">
        <f>EXP(-LN(2)/2)*HI115+(1-EXP(-LN(2)/2))/(LN(2)/2)*HC116*HF116*VLOOKUP('Données projet'!$B$18,Paramètres!$A$1:$I$89,3,0)*0.475*44/12</f>
        <v>3.4604322154250549E-12</v>
      </c>
      <c r="HJ116" s="22">
        <f t="shared" si="84"/>
        <v>1.0296728377045472</v>
      </c>
    </row>
    <row r="117" spans="1:218" x14ac:dyDescent="0.2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101.36880000000018</v>
      </c>
      <c r="D117" s="11">
        <f t="shared" si="86"/>
        <v>27.287836803817498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993.13895076631172</v>
      </c>
      <c r="H117" s="67">
        <f t="shared" si="56"/>
        <v>517.41030909998244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-2.2737367544323206E-13</v>
      </c>
      <c r="O117" s="13">
        <f>N117*VLOOKUP('Données projet'!$B$9,Paramètres!$A$1:$I$89,3,0)*VLOOKUP('Données projet'!$B$9,Paramètres!$A$1:$I$89,5,0)</f>
        <v>-1.2710188457276673E-13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255.5374979188561</v>
      </c>
      <c r="T117" s="59">
        <f t="shared" si="88"/>
        <v>343.10418468620901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0.58545326278954124</v>
      </c>
      <c r="AA117" s="21">
        <f>EXP(-LN(2)/25)*AA116+(1-EXP(-LN(2)/25))/(LN(2)/25)*Calculateur!V117*Calculateur!X117*VLOOKUP('Données projet'!$B$9,Paramètres!$A$1:$I$89,3,0)*0.475*44/12</f>
        <v>1.5544585745634933</v>
      </c>
      <c r="AB117" s="21">
        <f>EXP(-LN(2)/2)*AB116+(1-EXP(-LN(2)/2))/(LN(2)/2)*V117*Y117*VLOOKUP('Données projet'!$B$9,Paramètres!$A$1:$I$89,3,0)*0.475*44/12</f>
        <v>3.8486452455210066E-13</v>
      </c>
      <c r="AC117" s="22">
        <f t="shared" si="57"/>
        <v>2.1399118373534196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1.1368683772161603E-13</v>
      </c>
      <c r="AJ117" s="13">
        <f>AI117*VLOOKUP('Données projet'!$B$10,Paramètres!$A$1:$I$89,3,0)*VLOOKUP('Données projet'!$B$10,Paramètres!$A$1:$I$89,5,0)</f>
        <v>6.3550942286383367E-14</v>
      </c>
      <c r="AK117" s="13">
        <f t="shared" si="89"/>
        <v>1.0064464192543978E-12</v>
      </c>
      <c r="AL117" s="20">
        <f t="shared" si="58"/>
        <v>1.8635787380168604E-12</v>
      </c>
      <c r="AM117" s="59">
        <f t="shared" si="59"/>
        <v>293.33333333333519</v>
      </c>
      <c r="AN117" s="59">
        <f ca="1">AVERAGE(OFFSET($AM$3,0,0,'Données projet'!$E$10+1,1))-AVERAGE(OFFSET($H$3,0,0,'Données projet'!$E$10+1,1))</f>
        <v>224.7049802939942</v>
      </c>
      <c r="AO117" s="59">
        <f t="shared" si="90"/>
        <v>203.48513862195352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0.42272586862087713</v>
      </c>
      <c r="AV117" s="21">
        <f>EXP(-LN(2)/25)*AV116+(1-EXP(-LN(2)/25))/(LN(2)/25)*Calculateur!AQ117*Calculateur!AS117*VLOOKUP('Données projet'!$B$10,Paramètres!$A$1:$I$89,3,0)*0.475*44/12</f>
        <v>1.9016025364607818</v>
      </c>
      <c r="AW117" s="21">
        <f>EXP(-LN(2)/2)*AW116+(1-EXP(-LN(2)/2))/(LN(2)/2)*AQ117*AT117*VLOOKUP('Données projet'!$B$10,Paramètres!$A$1:$I$89,3,0)*0.475*44/12</f>
        <v>2.0374074190585826E-12</v>
      </c>
      <c r="AX117" s="21">
        <f t="shared" si="60"/>
        <v>2.3243284050836963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>
        <f>BD117*VLOOKUP('Données projet'!$B$11,Paramètres!$A$1:$I$89,3,0)*VLOOKUP('Données projet'!$B$11,Paramètres!$A$1:$I$89,5,0)</f>
        <v>0</v>
      </c>
      <c r="BF117" s="13" t="e">
        <f t="shared" si="91"/>
        <v>#NUM!</v>
      </c>
      <c r="BG117" s="20" t="e">
        <f t="shared" si="61"/>
        <v>#NUM!</v>
      </c>
      <c r="BH117" s="59" t="e">
        <f t="shared" si="62"/>
        <v>#NUM!</v>
      </c>
      <c r="BI117" s="59">
        <f ca="1">AVERAGE(OFFSET($BH$3,0,0,'Données projet'!$E$11+1,1))-AVERAGE(OFFSET($H$3,0,0,'Données projet'!$E$11+1,1))</f>
        <v>210.04871822652808</v>
      </c>
      <c r="BJ117" s="59">
        <f t="shared" si="92"/>
        <v>250.17540614049324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1.383278228668775</v>
      </c>
      <c r="BQ117" s="21">
        <f>EXP(-LN(2)/25)*BQ116+(1-EXP(-LN(2)/25))/(LN(2)/25)*Calculateur!BL117*Calculateur!BN117*VLOOKUP('Données projet'!$B$11,Paramètres!$A$1:$I$89,3,0)*0.475*44/12</f>
        <v>2.7105882814314728</v>
      </c>
      <c r="BR117" s="21">
        <f>EXP(-LN(2)/2)*BR116+(1-EXP(-LN(2)/2))/(LN(2)/2)*BL117*BO117*VLOOKUP('Données projet'!$B$11,Paramètres!$A$1:$I$89,3,0)*0.475*44/12</f>
        <v>4.9007869023061408E-12</v>
      </c>
      <c r="BS117" s="22">
        <f t="shared" si="63"/>
        <v>4.0938665101051486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2.2737367544323206E-13</v>
      </c>
      <c r="BZ117" s="13">
        <f>BY117*VLOOKUP('Données projet'!$B$12,Paramètres!$A$1:$I$89,3,0)*VLOOKUP('Données projet'!$B$12,Paramètres!$A$1:$I$89,5,0)</f>
        <v>1.2414602679200471E-13</v>
      </c>
      <c r="CA117" s="13">
        <f t="shared" si="93"/>
        <v>1.8186582995804361E-12</v>
      </c>
      <c r="CB117" s="20">
        <f t="shared" si="64"/>
        <v>3.3837175350986671E-12</v>
      </c>
      <c r="CC117" s="59">
        <f t="shared" si="65"/>
        <v>293.33333333333672</v>
      </c>
      <c r="CD117" s="59">
        <f ca="1">AVERAGE(OFFSET($CC$3,0,0,'Données projet'!$E$12+1,1))-AVERAGE(OFFSET($H$3,0,0,'Données projet'!$E$12+1,1))</f>
        <v>168.72306536277267</v>
      </c>
      <c r="CE117" s="59">
        <f t="shared" si="94"/>
        <v>203.35476578922339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0.57636592861198954</v>
      </c>
      <c r="CL117" s="21">
        <f>EXP(-LN(2)/25)*CL116+(1-EXP(-LN(2)/25))/(LN(2)/25)*Calculateur!CG117*Calculateur!CI117*VLOOKUP('Données projet'!$B$12,Paramètres!$A$1:$I$89,3,0)*0.475*44/12</f>
        <v>2.2386393314598672</v>
      </c>
      <c r="CM117" s="21">
        <f>EXP(-LN(2)/2)*CM116+(1-EXP(-LN(2)/2))/(LN(2)/2)*CG117*CJ117*VLOOKUP('Données projet'!$B$12,Paramètres!$A$1:$I$89,3,0)*0.475*44/12</f>
        <v>4.5528956029759834E-12</v>
      </c>
      <c r="CN117" s="22">
        <f t="shared" si="66"/>
        <v>2.8150052600764095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1277.6923076923067</v>
      </c>
      <c r="CU117" s="17">
        <f>CT117*VLOOKUP('Données projet'!$B$13,Paramètres!$A$1:$I$89,3,0)*VLOOKUP('Données projet'!$B$13,Paramètres!$A$1:$I$89,5,0)</f>
        <v>614.5699999999996</v>
      </c>
      <c r="CV117" s="13">
        <f t="shared" si="95"/>
        <v>134.13240620831178</v>
      </c>
      <c r="CW117" s="20">
        <f t="shared" si="67"/>
        <v>1303.9900241461421</v>
      </c>
      <c r="CX117" s="59">
        <f t="shared" si="68"/>
        <v>1597.3233574794754</v>
      </c>
      <c r="CY117" s="59">
        <f ca="1">AVERAGE(OFFSET($CX$3,0,0,'Données projet'!$E$13+1,1))-AVERAGE(OFFSET($H$3,0,0,'Données projet'!$E$13+1,1))</f>
        <v>304.15237106473313</v>
      </c>
      <c r="CZ117" s="59">
        <f t="shared" si="96"/>
        <v>120.85458928724336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>
        <f>EXP(-LN(2)/35)*DF116+(1-EXP(-LN(2)/35))/(LN(2)/35)*DB117*DC117*VLOOKUP('Données projet'!$B$13,Paramètres!$A$1:$I$89,3,0)*0.475*44/12</f>
        <v>0</v>
      </c>
      <c r="DG117" s="21">
        <f>EXP(-LN(2)/25)*DG116+(1-EXP(-LN(2)/25))/(LN(2)/25)*Calculateur!DB117*Calculateur!DD117*VLOOKUP('Données projet'!$B$13,Paramètres!$A$1:$I$89,3,0)*0.475*44/12</f>
        <v>0</v>
      </c>
      <c r="DH117" s="21">
        <f>EXP(-LN(2)/2)*DH116+(1-EXP(-LN(2)/2))/(LN(2)/2)*DB117*DE117*VLOOKUP('Données projet'!$B$13,Paramètres!$A$1:$I$89,3,0)*0.475*44/12</f>
        <v>0</v>
      </c>
      <c r="DI117" s="22">
        <f t="shared" si="69"/>
        <v>0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425.38461538461536</v>
      </c>
      <c r="DP117" s="17">
        <f>DO117*VLOOKUP('Données projet'!$B$14,Paramètres!$A$1:$I$89,3,0)*VLOOKUP('Données projet'!$B$14,Paramètres!$A$1:$I$89,5,0)</f>
        <v>204.60999999999999</v>
      </c>
      <c r="DQ117" s="13">
        <f t="shared" si="97"/>
        <v>50.755958577224398</v>
      </c>
      <c r="DR117" s="20">
        <f t="shared" si="70"/>
        <v>444.76237785533249</v>
      </c>
      <c r="DS117" s="59">
        <f t="shared" si="71"/>
        <v>738.09571118866575</v>
      </c>
      <c r="DT117" s="59">
        <f ca="1">AVERAGE(OFFSET($DS$3,0,0,'Données projet'!$E$14+1,1))-AVERAGE(OFFSET($H$3,0,0,'Données projet'!$E$14+1,1))</f>
        <v>91.053246648097399</v>
      </c>
      <c r="DU117" s="59">
        <f t="shared" si="98"/>
        <v>64.716270355703955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>
        <f>EXP(-LN(2)/35)*EA116+(1-EXP(-LN(2)/35))/(LN(2)/35)*DW117*DX117*VLOOKUP('Données projet'!$B$14,Paramètres!$A$1:$I$89,3,0)*0.475*44/12</f>
        <v>0</v>
      </c>
      <c r="EB117" s="21">
        <f>EXP(-LN(2)/25)*EB116+(1-EXP(-LN(2)/25))/(LN(2)/25)*Calculateur!DW117*Calculateur!DY117*VLOOKUP('Données projet'!$B$14,Paramètres!$A$1:$I$89,3,0)*0.475*44/12</f>
        <v>0</v>
      </c>
      <c r="EC117" s="21">
        <f>EXP(-LN(2)/2)*EC116+(1-EXP(-LN(2)/2))/(LN(2)/2)*DW117*DZ117*VLOOKUP('Données projet'!$B$14,Paramètres!$A$1:$I$89,3,0)*0.475*44/12</f>
        <v>0</v>
      </c>
      <c r="ED117" s="22">
        <f t="shared" si="72"/>
        <v>0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553.99999999999955</v>
      </c>
      <c r="EK117" s="17">
        <f>EJ117*VLOOKUP('Données projet'!$B$15,Paramètres!$A$1:$I$89,3,0)*VLOOKUP('Données projet'!$B$15,Paramètres!$A$1:$I$89,5,0)</f>
        <v>331.29199999999975</v>
      </c>
      <c r="EL117" s="13">
        <f t="shared" si="99"/>
        <v>77.698110787752</v>
      </c>
      <c r="EM117" s="20">
        <f t="shared" si="73"/>
        <v>712.32444295533423</v>
      </c>
      <c r="EN117" s="59">
        <f t="shared" si="74"/>
        <v>1005.6577762886675</v>
      </c>
      <c r="EO117" s="59">
        <f ca="1">AVERAGE(OFFSET($EN$3,0,0,'Données projet'!$E$15+1,1))-AVERAGE(OFFSET($H$3,0,0,'Données projet'!$E$15+1,1))</f>
        <v>316.58509520829671</v>
      </c>
      <c r="EP117" s="59">
        <f t="shared" si="100"/>
        <v>240.71332110643596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>
        <f>EXP(-LN(2)/35)*EV116+(1-EXP(-LN(2)/35))/(LN(2)/35)*ER117*ES117*VLOOKUP('Données projet'!$B$15,Paramètres!$A$1:$I$89,3,0)*0.475*44/12</f>
        <v>0.48020691909356134</v>
      </c>
      <c r="EW117" s="21">
        <f>EXP(-LN(2)/25)*EW116+(1-EXP(-LN(2)/25))/(LN(2)/25)*Calculateur!ER117*Calculateur!ET117*VLOOKUP('Données projet'!$B$15,Paramètres!$A$1:$I$89,3,0)*0.475*44/12</f>
        <v>1.4870284631925177</v>
      </c>
      <c r="EX117" s="21">
        <f>EXP(-LN(2)/2)*EX116+(1-EXP(-LN(2)/2))/(LN(2)/2)*ER117*EU117*VLOOKUP('Données projet'!$B$15,Paramètres!$A$1:$I$89,3,0)*0.475*44/12</f>
        <v>4.9884290706679467E-12</v>
      </c>
      <c r="EY117" s="22">
        <f t="shared" si="75"/>
        <v>1.9672353822910675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497</v>
      </c>
      <c r="FF117" s="17">
        <f>FE117*VLOOKUP('Données projet'!$B$16,Paramètres!$A$1:$I$89,3,0)*VLOOKUP('Données projet'!$B$16,Paramètres!$A$1:$I$89,5,0)</f>
        <v>297.20600000000002</v>
      </c>
      <c r="FG117" s="13">
        <f t="shared" si="101"/>
        <v>70.590415164571112</v>
      </c>
      <c r="FH117" s="20">
        <f t="shared" si="76"/>
        <v>640.57875641162809</v>
      </c>
      <c r="FI117" s="59">
        <f t="shared" si="77"/>
        <v>933.91208974496135</v>
      </c>
      <c r="FJ117" s="59">
        <f ca="1">AVERAGE(OFFSET($FI$3,0,0,'Données projet'!$E$16+1,1))-AVERAGE(OFFSET($H$3,0,0,'Données projet'!$E$16+1,1))</f>
        <v>270.30888762640245</v>
      </c>
      <c r="FK117" s="59">
        <f t="shared" si="102"/>
        <v>202.23783851977691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>
        <f>EXP(-LN(2)/35)*FQ116+(1-EXP(-LN(2)/35))/(LN(2)/35)*FM117*FN117*VLOOKUP('Données projet'!$B$16,Paramètres!$A$1:$I$89,3,0)*0.475*44/12</f>
        <v>0.40580866402272775</v>
      </c>
      <c r="FR117" s="21">
        <f>EXP(-LN(2)/25)*FR116+(1-EXP(-LN(2)/25))/(LN(2)/25)*Calculateur!FM117*Calculateur!FO117*VLOOKUP('Données projet'!$B$16,Paramètres!$A$1:$I$89,3,0)*0.475*44/12</f>
        <v>1.1974988384202883</v>
      </c>
      <c r="FS117" s="21">
        <f>EXP(-LN(2)/2)*FS116+(1-EXP(-LN(2)/2))/(LN(2)/2)*FM117*FP117*VLOOKUP('Données projet'!$B$16,Paramètres!$A$1:$I$89,3,0)*0.475*44/12</f>
        <v>4.20473238283707E-12</v>
      </c>
      <c r="FT117" s="22">
        <f t="shared" si="78"/>
        <v>1.6033075024472208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-5.1159076974727213E-13</v>
      </c>
      <c r="GA117" s="17">
        <f>FZ117*VLOOKUP('Données projet'!$B$17,Paramètres!$A$1:$I$89,3,0)*VLOOKUP('Données projet'!$B$17,Paramètres!$A$1:$I$89,5,0)</f>
        <v>-4.0702161641092972E-13</v>
      </c>
      <c r="GB117" s="13" t="e">
        <f t="shared" si="103"/>
        <v>#NUM!</v>
      </c>
      <c r="GC117" s="20" t="e">
        <f t="shared" si="79"/>
        <v>#NUM!</v>
      </c>
      <c r="GD117" s="59" t="e">
        <f t="shared" si="80"/>
        <v>#NUM!</v>
      </c>
      <c r="GE117" s="59">
        <f ca="1">AVERAGE(OFFSET($GD$3,0,0,'Données projet'!$E$17+1,1))-AVERAGE(OFFSET($H$3,0,0,'Données projet'!$E$17+1,1))</f>
        <v>260.20517190557814</v>
      </c>
      <c r="GF117" s="59">
        <f t="shared" si="104"/>
        <v>307.22009971147133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>
        <f>EXP(-LN(2)/35)*GL116+(1-EXP(-LN(2)/35))/(LN(2)/35)*GH117*GI117*VLOOKUP('Données projet'!$B$17,Paramètres!$A$1:$I$89,3,0)*0.475*44/12</f>
        <v>0.61822107342786092</v>
      </c>
      <c r="GM117" s="21">
        <f>EXP(-LN(2)/25)*GM116+(1-EXP(-LN(2)/25))/(LN(2)/25)*Calculateur!GH117*Calculateur!GJ117*VLOOKUP('Données projet'!$B$17,Paramètres!$A$1:$I$89,3,0)*0.475*44/12</f>
        <v>1.9985184539833627</v>
      </c>
      <c r="GN117" s="21">
        <f>EXP(-LN(2)/2)*GN116+(1-EXP(-LN(2)/2))/(LN(2)/2)*GH117*GK117*VLOOKUP('Données projet'!$B$17,Paramètres!$A$1:$I$89,3,0)*0.475*44/12</f>
        <v>5.4658435721551737E-12</v>
      </c>
      <c r="GO117" s="21">
        <f t="shared" si="81"/>
        <v>2.6167395274166894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5.6843418860808015E-14</v>
      </c>
      <c r="GV117" s="17">
        <f>GU117*VLOOKUP('Données projet'!$B$18,Paramètres!$A$1:$I$89,3,0)*VLOOKUP('Données projet'!$B$18,Paramètres!$A$1:$I$89,5,0)</f>
        <v>4.5224624045658861E-14</v>
      </c>
      <c r="GW117" s="13">
        <f t="shared" si="105"/>
        <v>7.4514601661523691E-13</v>
      </c>
      <c r="GX117" s="20">
        <f t="shared" si="82"/>
        <v>1.3765621991510601E-12</v>
      </c>
      <c r="GY117" s="59">
        <f t="shared" si="83"/>
        <v>293.33333333333468</v>
      </c>
      <c r="GZ117" s="59">
        <f ca="1">AVERAGE(OFFSET($GY$3,0,0,'Données projet'!$E$18+1,1))-AVERAGE(OFFSET($H$3,0,0,'Données projet'!$E$18+1,1))</f>
        <v>199.58763537752952</v>
      </c>
      <c r="HA117" s="59">
        <f t="shared" si="106"/>
        <v>242.62852778451929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>
        <f>EXP(-LN(2)/35)*HG116+(1-EXP(-LN(2)/35))/(LN(2)/35)*HC117*HD117*VLOOKUP('Données projet'!$B$18,Paramètres!$A$1:$I$89,3,0)*0.475*44/12</f>
        <v>0</v>
      </c>
      <c r="HH117" s="21">
        <f>EXP(-LN(2)/25)*HH116+(1-EXP(-LN(2)/25))/(LN(2)/25)*Calculateur!HC117*Calculateur!HE117*VLOOKUP('Données projet'!$B$18,Paramètres!$A$1:$I$89,3,0)*0.475*44/12</f>
        <v>1.0015163798060094</v>
      </c>
      <c r="HI117" s="21">
        <f>EXP(-LN(2)/2)*HI116+(1-EXP(-LN(2)/2))/(LN(2)/2)*HC117*HF117*VLOOKUP('Données projet'!$B$18,Paramètres!$A$1:$I$89,3,0)*0.475*44/12</f>
        <v>2.4468950853634442E-12</v>
      </c>
      <c r="HJ117" s="22">
        <f t="shared" si="84"/>
        <v>1.0015163798084563</v>
      </c>
    </row>
    <row r="118" spans="1:218" x14ac:dyDescent="0.2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102.25800000000018</v>
      </c>
      <c r="D118" s="11">
        <f t="shared" si="86"/>
        <v>27.499233847895908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1001.6347875977945</v>
      </c>
      <c r="H118" s="67">
        <f t="shared" si="56"/>
        <v>519.32718228508566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-2.2737367544323206E-13</v>
      </c>
      <c r="O118" s="13">
        <f>N118*VLOOKUP('Données projet'!$B$9,Paramètres!$A$1:$I$89,3,0)*VLOOKUP('Données projet'!$B$9,Paramètres!$A$1:$I$89,5,0)</f>
        <v>-1.2710188457276673E-13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255.5374979188561</v>
      </c>
      <c r="T118" s="59">
        <f t="shared" si="88"/>
        <v>343.10418468620901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0.57397288139746883</v>
      </c>
      <c r="AA118" s="21">
        <f>EXP(-LN(2)/25)*AA117+(1-EXP(-LN(2)/25))/(LN(2)/25)*Calculateur!V118*Calculateur!X118*VLOOKUP('Données projet'!$B$9,Paramètres!$A$1:$I$89,3,0)*0.475*44/12</f>
        <v>1.5119518230966309</v>
      </c>
      <c r="AB118" s="21">
        <f>EXP(-LN(2)/2)*AB117+(1-EXP(-LN(2)/2))/(LN(2)/2)*V118*Y118*VLOOKUP('Données projet'!$B$9,Paramètres!$A$1:$I$89,3,0)*0.475*44/12</f>
        <v>2.7214031514892688E-13</v>
      </c>
      <c r="AC118" s="22">
        <f t="shared" si="57"/>
        <v>2.0859247044943721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1.1368683772161603E-13</v>
      </c>
      <c r="AJ118" s="13">
        <f>AI118*VLOOKUP('Données projet'!$B$10,Paramètres!$A$1:$I$89,3,0)*VLOOKUP('Données projet'!$B$10,Paramètres!$A$1:$I$89,5,0)</f>
        <v>6.3550942286383367E-14</v>
      </c>
      <c r="AK118" s="13">
        <f t="shared" si="89"/>
        <v>1.0064464192543978E-12</v>
      </c>
      <c r="AL118" s="20">
        <f t="shared" si="58"/>
        <v>1.8635787380168604E-12</v>
      </c>
      <c r="AM118" s="59">
        <f t="shared" si="59"/>
        <v>293.33333333333519</v>
      </c>
      <c r="AN118" s="59">
        <f ca="1">AVERAGE(OFFSET($AM$3,0,0,'Données projet'!$E$10+1,1))-AVERAGE(OFFSET($H$3,0,0,'Données projet'!$E$10+1,1))</f>
        <v>224.7049802939942</v>
      </c>
      <c r="AO118" s="59">
        <f t="shared" si="90"/>
        <v>203.48513862195352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0.41443647217454227</v>
      </c>
      <c r="AV118" s="21">
        <f>EXP(-LN(2)/25)*AV117+(1-EXP(-LN(2)/25))/(LN(2)/25)*Calculateur!AQ118*Calculateur!AS118*VLOOKUP('Données projet'!$B$10,Paramètres!$A$1:$I$89,3,0)*0.475*44/12</f>
        <v>1.8496031151003305</v>
      </c>
      <c r="AW118" s="21">
        <f>EXP(-LN(2)/2)*AW117+(1-EXP(-LN(2)/2))/(LN(2)/2)*AQ118*AT118*VLOOKUP('Données projet'!$B$10,Paramètres!$A$1:$I$89,3,0)*0.475*44/12</f>
        <v>1.4406646020561057E-12</v>
      </c>
      <c r="AX118" s="21">
        <f t="shared" si="60"/>
        <v>2.2640395872763133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>
        <f>BD118*VLOOKUP('Données projet'!$B$11,Paramètres!$A$1:$I$89,3,0)*VLOOKUP('Données projet'!$B$11,Paramètres!$A$1:$I$89,5,0)</f>
        <v>0</v>
      </c>
      <c r="BF118" s="13" t="e">
        <f t="shared" si="91"/>
        <v>#NUM!</v>
      </c>
      <c r="BG118" s="20" t="e">
        <f t="shared" si="61"/>
        <v>#NUM!</v>
      </c>
      <c r="BH118" s="59" t="e">
        <f t="shared" si="62"/>
        <v>#NUM!</v>
      </c>
      <c r="BI118" s="59">
        <f ca="1">AVERAGE(OFFSET($BH$3,0,0,'Données projet'!$E$11+1,1))-AVERAGE(OFFSET($H$3,0,0,'Données projet'!$E$11+1,1))</f>
        <v>210.04871822652808</v>
      </c>
      <c r="BJ118" s="59">
        <f t="shared" si="92"/>
        <v>250.17540614049324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1.3561529863209898</v>
      </c>
      <c r="BQ118" s="21">
        <f>EXP(-LN(2)/25)*BQ117+(1-EXP(-LN(2)/25))/(LN(2)/25)*Calculateur!BL118*Calculateur!BN118*VLOOKUP('Données projet'!$B$11,Paramètres!$A$1:$I$89,3,0)*0.475*44/12</f>
        <v>2.6364671023320865</v>
      </c>
      <c r="BR118" s="21">
        <f>EXP(-LN(2)/2)*BR117+(1-EXP(-LN(2)/2))/(LN(2)/2)*BL118*BO118*VLOOKUP('Données projet'!$B$11,Paramètres!$A$1:$I$89,3,0)*0.475*44/12</f>
        <v>3.4653796517708864E-12</v>
      </c>
      <c r="BS118" s="22">
        <f t="shared" si="63"/>
        <v>3.9926200886565417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2.2737367544323206E-13</v>
      </c>
      <c r="BZ118" s="13">
        <f>BY118*VLOOKUP('Données projet'!$B$12,Paramètres!$A$1:$I$89,3,0)*VLOOKUP('Données projet'!$B$12,Paramètres!$A$1:$I$89,5,0)</f>
        <v>1.2414602679200471E-13</v>
      </c>
      <c r="CA118" s="13">
        <f t="shared" si="93"/>
        <v>1.8186582995804361E-12</v>
      </c>
      <c r="CB118" s="20">
        <f t="shared" si="64"/>
        <v>3.3837175350986671E-12</v>
      </c>
      <c r="CC118" s="59">
        <f t="shared" si="65"/>
        <v>293.33333333333672</v>
      </c>
      <c r="CD118" s="59">
        <f ca="1">AVERAGE(OFFSET($CC$3,0,0,'Données projet'!$E$12+1,1))-AVERAGE(OFFSET($H$3,0,0,'Données projet'!$E$12+1,1))</f>
        <v>168.72306536277267</v>
      </c>
      <c r="CE118" s="59">
        <f t="shared" si="94"/>
        <v>203.35476578922339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0.5650637443004124</v>
      </c>
      <c r="CL118" s="21">
        <f>EXP(-LN(2)/25)*CL117+(1-EXP(-LN(2)/25))/(LN(2)/25)*Calculateur!CG118*Calculateur!CI118*VLOOKUP('Données projet'!$B$12,Paramètres!$A$1:$I$89,3,0)*0.475*44/12</f>
        <v>2.1774236212161711</v>
      </c>
      <c r="CM118" s="21">
        <f>EXP(-LN(2)/2)*CM117+(1-EXP(-LN(2)/2))/(LN(2)/2)*CG118*CJ118*VLOOKUP('Données projet'!$B$12,Paramètres!$A$1:$I$89,3,0)*0.475*44/12</f>
        <v>3.2193833548987331E-12</v>
      </c>
      <c r="CN118" s="22">
        <f t="shared" si="66"/>
        <v>2.7424873655198025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1277.6923076923067</v>
      </c>
      <c r="CU118" s="17">
        <f>CT118*VLOOKUP('Données projet'!$B$13,Paramètres!$A$1:$I$89,3,0)*VLOOKUP('Données projet'!$B$13,Paramètres!$A$1:$I$89,5,0)</f>
        <v>614.5699999999996</v>
      </c>
      <c r="CV118" s="13">
        <f t="shared" si="95"/>
        <v>134.13240620831178</v>
      </c>
      <c r="CW118" s="20">
        <f t="shared" si="67"/>
        <v>1303.9900241461421</v>
      </c>
      <c r="CX118" s="59">
        <f t="shared" si="68"/>
        <v>1597.3233574794754</v>
      </c>
      <c r="CY118" s="59">
        <f ca="1">AVERAGE(OFFSET($CX$3,0,0,'Données projet'!$E$13+1,1))-AVERAGE(OFFSET($H$3,0,0,'Données projet'!$E$13+1,1))</f>
        <v>304.15237106473313</v>
      </c>
      <c r="CZ118" s="59">
        <f t="shared" si="96"/>
        <v>120.85458928724336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>
        <f>EXP(-LN(2)/35)*DF117+(1-EXP(-LN(2)/35))/(LN(2)/35)*DB118*DC118*VLOOKUP('Données projet'!$B$13,Paramètres!$A$1:$I$89,3,0)*0.475*44/12</f>
        <v>0</v>
      </c>
      <c r="DG118" s="21">
        <f>EXP(-LN(2)/25)*DG117+(1-EXP(-LN(2)/25))/(LN(2)/25)*Calculateur!DB118*Calculateur!DD118*VLOOKUP('Données projet'!$B$13,Paramètres!$A$1:$I$89,3,0)*0.475*44/12</f>
        <v>0</v>
      </c>
      <c r="DH118" s="21">
        <f>EXP(-LN(2)/2)*DH117+(1-EXP(-LN(2)/2))/(LN(2)/2)*DB118*DE118*VLOOKUP('Données projet'!$B$13,Paramètres!$A$1:$I$89,3,0)*0.475*44/12</f>
        <v>0</v>
      </c>
      <c r="DI118" s="22">
        <f t="shared" si="69"/>
        <v>0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425.38461538461536</v>
      </c>
      <c r="DP118" s="17">
        <f>DO118*VLOOKUP('Données projet'!$B$14,Paramètres!$A$1:$I$89,3,0)*VLOOKUP('Données projet'!$B$14,Paramètres!$A$1:$I$89,5,0)</f>
        <v>204.60999999999999</v>
      </c>
      <c r="DQ118" s="13">
        <f t="shared" si="97"/>
        <v>50.755958577224398</v>
      </c>
      <c r="DR118" s="20">
        <f t="shared" si="70"/>
        <v>444.76237785533249</v>
      </c>
      <c r="DS118" s="59">
        <f t="shared" si="71"/>
        <v>738.09571118866575</v>
      </c>
      <c r="DT118" s="59">
        <f ca="1">AVERAGE(OFFSET($DS$3,0,0,'Données projet'!$E$14+1,1))-AVERAGE(OFFSET($H$3,0,0,'Données projet'!$E$14+1,1))</f>
        <v>91.053246648097399</v>
      </c>
      <c r="DU118" s="59">
        <f t="shared" si="98"/>
        <v>64.716270355703955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>
        <f>EXP(-LN(2)/35)*EA117+(1-EXP(-LN(2)/35))/(LN(2)/35)*DW118*DX118*VLOOKUP('Données projet'!$B$14,Paramètres!$A$1:$I$89,3,0)*0.475*44/12</f>
        <v>0</v>
      </c>
      <c r="EB118" s="21">
        <f>EXP(-LN(2)/25)*EB117+(1-EXP(-LN(2)/25))/(LN(2)/25)*Calculateur!DW118*Calculateur!DY118*VLOOKUP('Données projet'!$B$14,Paramètres!$A$1:$I$89,3,0)*0.475*44/12</f>
        <v>0</v>
      </c>
      <c r="EC118" s="21">
        <f>EXP(-LN(2)/2)*EC117+(1-EXP(-LN(2)/2))/(LN(2)/2)*DW118*DZ118*VLOOKUP('Données projet'!$B$14,Paramètres!$A$1:$I$89,3,0)*0.475*44/12</f>
        <v>0</v>
      </c>
      <c r="ED118" s="22">
        <f t="shared" si="72"/>
        <v>0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553.99999999999955</v>
      </c>
      <c r="EK118" s="17">
        <f>EJ118*VLOOKUP('Données projet'!$B$15,Paramètres!$A$1:$I$89,3,0)*VLOOKUP('Données projet'!$B$15,Paramètres!$A$1:$I$89,5,0)</f>
        <v>331.29199999999975</v>
      </c>
      <c r="EL118" s="13">
        <f t="shared" si="99"/>
        <v>77.698110787752</v>
      </c>
      <c r="EM118" s="20">
        <f t="shared" si="73"/>
        <v>712.32444295533423</v>
      </c>
      <c r="EN118" s="59">
        <f t="shared" si="74"/>
        <v>1005.6577762886675</v>
      </c>
      <c r="EO118" s="59">
        <f ca="1">AVERAGE(OFFSET($EN$3,0,0,'Données projet'!$E$15+1,1))-AVERAGE(OFFSET($H$3,0,0,'Données projet'!$E$15+1,1))</f>
        <v>316.58509520829671</v>
      </c>
      <c r="EP118" s="59">
        <f t="shared" si="100"/>
        <v>240.71332110643596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>
        <f>EXP(-LN(2)/35)*EV117+(1-EXP(-LN(2)/35))/(LN(2)/35)*ER118*ES118*VLOOKUP('Données projet'!$B$15,Paramètres!$A$1:$I$89,3,0)*0.475*44/12</f>
        <v>0.47079035430743604</v>
      </c>
      <c r="EW118" s="21">
        <f>EXP(-LN(2)/25)*EW117+(1-EXP(-LN(2)/25))/(LN(2)/25)*Calculateur!ER118*Calculateur!ET118*VLOOKUP('Données projet'!$B$15,Paramètres!$A$1:$I$89,3,0)*0.475*44/12</f>
        <v>1.4463655916670901</v>
      </c>
      <c r="EX118" s="21">
        <f>EXP(-LN(2)/2)*EX117+(1-EXP(-LN(2)/2))/(LN(2)/2)*ER118*EU118*VLOOKUP('Données projet'!$B$15,Paramètres!$A$1:$I$89,3,0)*0.475*44/12</f>
        <v>3.5273520233374125E-12</v>
      </c>
      <c r="EY118" s="22">
        <f t="shared" si="75"/>
        <v>1.9171559459780536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497</v>
      </c>
      <c r="FF118" s="17">
        <f>FE118*VLOOKUP('Données projet'!$B$16,Paramètres!$A$1:$I$89,3,0)*VLOOKUP('Données projet'!$B$16,Paramètres!$A$1:$I$89,5,0)</f>
        <v>297.20600000000002</v>
      </c>
      <c r="FG118" s="13">
        <f t="shared" si="101"/>
        <v>70.590415164571112</v>
      </c>
      <c r="FH118" s="20">
        <f t="shared" si="76"/>
        <v>640.57875641162809</v>
      </c>
      <c r="FI118" s="59">
        <f t="shared" si="77"/>
        <v>933.91208974496135</v>
      </c>
      <c r="FJ118" s="59">
        <f ca="1">AVERAGE(OFFSET($FI$3,0,0,'Données projet'!$E$16+1,1))-AVERAGE(OFFSET($H$3,0,0,'Données projet'!$E$16+1,1))</f>
        <v>270.30888762640245</v>
      </c>
      <c r="FK118" s="59">
        <f t="shared" si="102"/>
        <v>202.23783851977691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>
        <f>EXP(-LN(2)/35)*FQ117+(1-EXP(-LN(2)/35))/(LN(2)/35)*FM118*FN118*VLOOKUP('Données projet'!$B$16,Paramètres!$A$1:$I$89,3,0)*0.475*44/12</f>
        <v>0.39785100364008663</v>
      </c>
      <c r="FR118" s="21">
        <f>EXP(-LN(2)/25)*FR117+(1-EXP(-LN(2)/25))/(LN(2)/25)*Calculateur!FM118*Calculateur!FO118*VLOOKUP('Données projet'!$B$16,Paramètres!$A$1:$I$89,3,0)*0.475*44/12</f>
        <v>1.1647531697099585</v>
      </c>
      <c r="FS118" s="21">
        <f>EXP(-LN(2)/2)*FS117+(1-EXP(-LN(2)/2))/(LN(2)/2)*FM118*FP118*VLOOKUP('Données projet'!$B$16,Paramètres!$A$1:$I$89,3,0)*0.475*44/12</f>
        <v>2.9731947809787626E-12</v>
      </c>
      <c r="FT118" s="22">
        <f t="shared" si="78"/>
        <v>1.5626041733530183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-5.1159076974727213E-13</v>
      </c>
      <c r="GA118" s="17">
        <f>FZ118*VLOOKUP('Données projet'!$B$17,Paramètres!$A$1:$I$89,3,0)*VLOOKUP('Données projet'!$B$17,Paramètres!$A$1:$I$89,5,0)</f>
        <v>-4.0702161641092972E-13</v>
      </c>
      <c r="GB118" s="13" t="e">
        <f t="shared" si="103"/>
        <v>#NUM!</v>
      </c>
      <c r="GC118" s="20" t="e">
        <f t="shared" si="79"/>
        <v>#NUM!</v>
      </c>
      <c r="GD118" s="59" t="e">
        <f t="shared" si="80"/>
        <v>#NUM!</v>
      </c>
      <c r="GE118" s="59">
        <f ca="1">AVERAGE(OFFSET($GD$3,0,0,'Données projet'!$E$17+1,1))-AVERAGE(OFFSET($H$3,0,0,'Données projet'!$E$17+1,1))</f>
        <v>260.20517190557814</v>
      </c>
      <c r="GF118" s="59">
        <f t="shared" si="104"/>
        <v>307.22009971147133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>
        <f>EXP(-LN(2)/35)*GL117+(1-EXP(-LN(2)/35))/(LN(2)/35)*GH118*GI118*VLOOKUP('Données projet'!$B$17,Paramètres!$A$1:$I$89,3,0)*0.475*44/12</f>
        <v>0.606098135255562</v>
      </c>
      <c r="GM118" s="21">
        <f>EXP(-LN(2)/25)*GM117+(1-EXP(-LN(2)/25))/(LN(2)/25)*Calculateur!GH118*Calculateur!GJ118*VLOOKUP('Données projet'!$B$17,Paramètres!$A$1:$I$89,3,0)*0.475*44/12</f>
        <v>1.9438688617616697</v>
      </c>
      <c r="GN118" s="21">
        <f>EXP(-LN(2)/2)*GN117+(1-EXP(-LN(2)/2))/(LN(2)/2)*GH118*GK118*VLOOKUP('Données projet'!$B$17,Paramètres!$A$1:$I$89,3,0)*0.475*44/12</f>
        <v>3.8649350547758257E-12</v>
      </c>
      <c r="GO118" s="21">
        <f t="shared" si="81"/>
        <v>2.5499669970210967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5.6843418860808015E-14</v>
      </c>
      <c r="GV118" s="17">
        <f>GU118*VLOOKUP('Données projet'!$B$18,Paramètres!$A$1:$I$89,3,0)*VLOOKUP('Données projet'!$B$18,Paramètres!$A$1:$I$89,5,0)</f>
        <v>4.5224624045658861E-14</v>
      </c>
      <c r="GW118" s="13">
        <f t="shared" si="105"/>
        <v>7.4514601661523691E-13</v>
      </c>
      <c r="GX118" s="20">
        <f t="shared" si="82"/>
        <v>1.3765621991510601E-12</v>
      </c>
      <c r="GY118" s="59">
        <f t="shared" si="83"/>
        <v>293.33333333333468</v>
      </c>
      <c r="GZ118" s="59">
        <f ca="1">AVERAGE(OFFSET($GY$3,0,0,'Données projet'!$E$18+1,1))-AVERAGE(OFFSET($H$3,0,0,'Données projet'!$E$18+1,1))</f>
        <v>199.58763537752952</v>
      </c>
      <c r="HA118" s="59">
        <f t="shared" si="106"/>
        <v>242.62852778451929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>
        <f>EXP(-LN(2)/35)*HG117+(1-EXP(-LN(2)/35))/(LN(2)/35)*HC118*HD118*VLOOKUP('Données projet'!$B$18,Paramètres!$A$1:$I$89,3,0)*0.475*44/12</f>
        <v>0</v>
      </c>
      <c r="HH118" s="21">
        <f>EXP(-LN(2)/25)*HH117+(1-EXP(-LN(2)/25))/(LN(2)/25)*Calculateur!HC118*Calculateur!HE118*VLOOKUP('Données projet'!$B$18,Paramètres!$A$1:$I$89,3,0)*0.475*44/12</f>
        <v>0.97412986173275662</v>
      </c>
      <c r="HI118" s="21">
        <f>EXP(-LN(2)/2)*HI117+(1-EXP(-LN(2)/2))/(LN(2)/2)*HC118*HF118*VLOOKUP('Données projet'!$B$18,Paramètres!$A$1:$I$89,3,0)*0.475*44/12</f>
        <v>1.7302161077125275E-12</v>
      </c>
      <c r="HJ118" s="22">
        <f t="shared" si="84"/>
        <v>0.97412986173448679</v>
      </c>
    </row>
    <row r="119" spans="1:218" x14ac:dyDescent="0.2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103.14720000000018</v>
      </c>
      <c r="D119" s="11">
        <f t="shared" si="86"/>
        <v>27.710417026801501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1010.1289735402235</v>
      </c>
      <c r="H119" s="67">
        <f t="shared" si="56"/>
        <v>521.24368298834622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-2.2737367544323206E-13</v>
      </c>
      <c r="O119" s="13">
        <f>N119*VLOOKUP('Données projet'!$B$9,Paramètres!$A$1:$I$89,3,0)*VLOOKUP('Données projet'!$B$9,Paramètres!$A$1:$I$89,5,0)</f>
        <v>-1.2710188457276673E-13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255.5374979188561</v>
      </c>
      <c r="T119" s="59">
        <f t="shared" si="88"/>
        <v>343.10418468620901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0.56271762328215369</v>
      </c>
      <c r="AA119" s="21">
        <f>EXP(-LN(2)/25)*AA118+(1-EXP(-LN(2)/25))/(LN(2)/25)*Calculateur!V119*Calculateur!X119*VLOOKUP('Données projet'!$B$9,Paramètres!$A$1:$I$89,3,0)*0.475*44/12</f>
        <v>1.4706074209839628</v>
      </c>
      <c r="AB119" s="21">
        <f>EXP(-LN(2)/2)*AB118+(1-EXP(-LN(2)/2))/(LN(2)/2)*V119*Y119*VLOOKUP('Données projet'!$B$9,Paramètres!$A$1:$I$89,3,0)*0.475*44/12</f>
        <v>1.9243226227605033E-13</v>
      </c>
      <c r="AC119" s="22">
        <f t="shared" si="57"/>
        <v>2.0333250442663089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1.1368683772161603E-13</v>
      </c>
      <c r="AJ119" s="13">
        <f>AI119*VLOOKUP('Données projet'!$B$10,Paramètres!$A$1:$I$89,3,0)*VLOOKUP('Données projet'!$B$10,Paramètres!$A$1:$I$89,5,0)</f>
        <v>6.3550942286383367E-14</v>
      </c>
      <c r="AK119" s="13">
        <f t="shared" si="89"/>
        <v>1.0064464192543978E-12</v>
      </c>
      <c r="AL119" s="20">
        <f t="shared" si="58"/>
        <v>1.8635787380168604E-12</v>
      </c>
      <c r="AM119" s="59">
        <f t="shared" si="59"/>
        <v>293.33333333333519</v>
      </c>
      <c r="AN119" s="59">
        <f ca="1">AVERAGE(OFFSET($AM$3,0,0,'Données projet'!$E$10+1,1))-AVERAGE(OFFSET($H$3,0,0,'Données projet'!$E$10+1,1))</f>
        <v>224.7049802939942</v>
      </c>
      <c r="AO119" s="59">
        <f t="shared" si="90"/>
        <v>203.48513862195352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0.40630962573648743</v>
      </c>
      <c r="AV119" s="21">
        <f>EXP(-LN(2)/25)*AV118+(1-EXP(-LN(2)/25))/(LN(2)/25)*Calculateur!AQ119*Calculateur!AS119*VLOOKUP('Données projet'!$B$10,Paramètres!$A$1:$I$89,3,0)*0.475*44/12</f>
        <v>1.7990256206515114</v>
      </c>
      <c r="AW119" s="21">
        <f>EXP(-LN(2)/2)*AW118+(1-EXP(-LN(2)/2))/(LN(2)/2)*AQ119*AT119*VLOOKUP('Données projet'!$B$10,Paramètres!$A$1:$I$89,3,0)*0.475*44/12</f>
        <v>1.0187037095292913E-12</v>
      </c>
      <c r="AX119" s="21">
        <f t="shared" si="60"/>
        <v>2.2053352463890175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>
        <f>BD119*VLOOKUP('Données projet'!$B$11,Paramètres!$A$1:$I$89,3,0)*VLOOKUP('Données projet'!$B$11,Paramètres!$A$1:$I$89,5,0)</f>
        <v>0</v>
      </c>
      <c r="BF119" s="13" t="e">
        <f t="shared" si="91"/>
        <v>#NUM!</v>
      </c>
      <c r="BG119" s="20" t="e">
        <f t="shared" si="61"/>
        <v>#NUM!</v>
      </c>
      <c r="BH119" s="59" t="e">
        <f t="shared" si="62"/>
        <v>#NUM!</v>
      </c>
      <c r="BI119" s="59">
        <f ca="1">AVERAGE(OFFSET($BH$3,0,0,'Données projet'!$E$11+1,1))-AVERAGE(OFFSET($H$3,0,0,'Données projet'!$E$11+1,1))</f>
        <v>210.04871822652808</v>
      </c>
      <c r="BJ119" s="59">
        <f t="shared" si="92"/>
        <v>250.17540614049324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1.3295596534308805</v>
      </c>
      <c r="BQ119" s="21">
        <f>EXP(-LN(2)/25)*BQ118+(1-EXP(-LN(2)/25))/(LN(2)/25)*Calculateur!BL119*Calculateur!BN119*VLOOKUP('Données projet'!$B$11,Paramètres!$A$1:$I$89,3,0)*0.475*44/12</f>
        <v>2.5643727707730366</v>
      </c>
      <c r="BR119" s="21">
        <f>EXP(-LN(2)/2)*BR118+(1-EXP(-LN(2)/2))/(LN(2)/2)*BL119*BO119*VLOOKUP('Données projet'!$B$11,Paramètres!$A$1:$I$89,3,0)*0.475*44/12</f>
        <v>2.4503934511530704E-12</v>
      </c>
      <c r="BS119" s="22">
        <f t="shared" si="63"/>
        <v>3.8939324242063673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2.2737367544323206E-13</v>
      </c>
      <c r="BZ119" s="13">
        <f>BY119*VLOOKUP('Données projet'!$B$12,Paramètres!$A$1:$I$89,3,0)*VLOOKUP('Données projet'!$B$12,Paramètres!$A$1:$I$89,5,0)</f>
        <v>1.2414602679200471E-13</v>
      </c>
      <c r="CA119" s="13">
        <f t="shared" si="93"/>
        <v>1.8186582995804361E-12</v>
      </c>
      <c r="CB119" s="20">
        <f t="shared" si="64"/>
        <v>3.3837175350986671E-12</v>
      </c>
      <c r="CC119" s="59">
        <f t="shared" si="65"/>
        <v>293.33333333333672</v>
      </c>
      <c r="CD119" s="59">
        <f ca="1">AVERAGE(OFFSET($CC$3,0,0,'Données projet'!$E$12+1,1))-AVERAGE(OFFSET($H$3,0,0,'Données projet'!$E$12+1,1))</f>
        <v>168.72306536277267</v>
      </c>
      <c r="CE119" s="59">
        <f t="shared" si="94"/>
        <v>203.35476578922339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0.55398318892953347</v>
      </c>
      <c r="CL119" s="21">
        <f>EXP(-LN(2)/25)*CL118+(1-EXP(-LN(2)/25))/(LN(2)/25)*Calculateur!CG119*Calculateur!CI119*VLOOKUP('Données projet'!$B$12,Paramètres!$A$1:$I$89,3,0)*0.475*44/12</f>
        <v>2.1178818577882832</v>
      </c>
      <c r="CM119" s="21">
        <f>EXP(-LN(2)/2)*CM118+(1-EXP(-LN(2)/2))/(LN(2)/2)*CG119*CJ119*VLOOKUP('Données projet'!$B$12,Paramètres!$A$1:$I$89,3,0)*0.475*44/12</f>
        <v>2.2764478014879917E-12</v>
      </c>
      <c r="CN119" s="22">
        <f t="shared" si="66"/>
        <v>2.6718650467200931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1277.6923076923067</v>
      </c>
      <c r="CU119" s="17">
        <f>CT119*VLOOKUP('Données projet'!$B$13,Paramètres!$A$1:$I$89,3,0)*VLOOKUP('Données projet'!$B$13,Paramètres!$A$1:$I$89,5,0)</f>
        <v>614.5699999999996</v>
      </c>
      <c r="CV119" s="13">
        <f t="shared" si="95"/>
        <v>134.13240620831178</v>
      </c>
      <c r="CW119" s="20">
        <f t="shared" si="67"/>
        <v>1303.9900241461421</v>
      </c>
      <c r="CX119" s="59">
        <f t="shared" si="68"/>
        <v>1597.3233574794754</v>
      </c>
      <c r="CY119" s="59">
        <f ca="1">AVERAGE(OFFSET($CX$3,0,0,'Données projet'!$E$13+1,1))-AVERAGE(OFFSET($H$3,0,0,'Données projet'!$E$13+1,1))</f>
        <v>304.15237106473313</v>
      </c>
      <c r="CZ119" s="59">
        <f t="shared" si="96"/>
        <v>120.85458928724336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>
        <f>EXP(-LN(2)/35)*DF118+(1-EXP(-LN(2)/35))/(LN(2)/35)*DB119*DC119*VLOOKUP('Données projet'!$B$13,Paramètres!$A$1:$I$89,3,0)*0.475*44/12</f>
        <v>0</v>
      </c>
      <c r="DG119" s="21">
        <f>EXP(-LN(2)/25)*DG118+(1-EXP(-LN(2)/25))/(LN(2)/25)*Calculateur!DB119*Calculateur!DD119*VLOOKUP('Données projet'!$B$13,Paramètres!$A$1:$I$89,3,0)*0.475*44/12</f>
        <v>0</v>
      </c>
      <c r="DH119" s="21">
        <f>EXP(-LN(2)/2)*DH118+(1-EXP(-LN(2)/2))/(LN(2)/2)*DB119*DE119*VLOOKUP('Données projet'!$B$13,Paramètres!$A$1:$I$89,3,0)*0.475*44/12</f>
        <v>0</v>
      </c>
      <c r="DI119" s="22">
        <f t="shared" si="69"/>
        <v>0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425.38461538461536</v>
      </c>
      <c r="DP119" s="17">
        <f>DO119*VLOOKUP('Données projet'!$B$14,Paramètres!$A$1:$I$89,3,0)*VLOOKUP('Données projet'!$B$14,Paramètres!$A$1:$I$89,5,0)</f>
        <v>204.60999999999999</v>
      </c>
      <c r="DQ119" s="13">
        <f t="shared" si="97"/>
        <v>50.755958577224398</v>
      </c>
      <c r="DR119" s="20">
        <f t="shared" si="70"/>
        <v>444.76237785533249</v>
      </c>
      <c r="DS119" s="59">
        <f t="shared" si="71"/>
        <v>738.09571118866575</v>
      </c>
      <c r="DT119" s="59">
        <f ca="1">AVERAGE(OFFSET($DS$3,0,0,'Données projet'!$E$14+1,1))-AVERAGE(OFFSET($H$3,0,0,'Données projet'!$E$14+1,1))</f>
        <v>91.053246648097399</v>
      </c>
      <c r="DU119" s="59">
        <f t="shared" si="98"/>
        <v>64.716270355703955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>
        <f>EXP(-LN(2)/35)*EA118+(1-EXP(-LN(2)/35))/(LN(2)/35)*DW119*DX119*VLOOKUP('Données projet'!$B$14,Paramètres!$A$1:$I$89,3,0)*0.475*44/12</f>
        <v>0</v>
      </c>
      <c r="EB119" s="21">
        <f>EXP(-LN(2)/25)*EB118+(1-EXP(-LN(2)/25))/(LN(2)/25)*Calculateur!DW119*Calculateur!DY119*VLOOKUP('Données projet'!$B$14,Paramètres!$A$1:$I$89,3,0)*0.475*44/12</f>
        <v>0</v>
      </c>
      <c r="EC119" s="21">
        <f>EXP(-LN(2)/2)*EC118+(1-EXP(-LN(2)/2))/(LN(2)/2)*DW119*DZ119*VLOOKUP('Données projet'!$B$14,Paramètres!$A$1:$I$89,3,0)*0.475*44/12</f>
        <v>0</v>
      </c>
      <c r="ED119" s="22">
        <f t="shared" si="72"/>
        <v>0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553.99999999999955</v>
      </c>
      <c r="EK119" s="17">
        <f>EJ119*VLOOKUP('Données projet'!$B$15,Paramètres!$A$1:$I$89,3,0)*VLOOKUP('Données projet'!$B$15,Paramètres!$A$1:$I$89,5,0)</f>
        <v>331.29199999999975</v>
      </c>
      <c r="EL119" s="13">
        <f t="shared" si="99"/>
        <v>77.698110787752</v>
      </c>
      <c r="EM119" s="20">
        <f t="shared" si="73"/>
        <v>712.32444295533423</v>
      </c>
      <c r="EN119" s="59">
        <f t="shared" si="74"/>
        <v>1005.6577762886675</v>
      </c>
      <c r="EO119" s="59">
        <f ca="1">AVERAGE(OFFSET($EN$3,0,0,'Données projet'!$E$15+1,1))-AVERAGE(OFFSET($H$3,0,0,'Données projet'!$E$15+1,1))</f>
        <v>316.58509520829671</v>
      </c>
      <c r="EP119" s="59">
        <f t="shared" si="100"/>
        <v>240.71332110643596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>
        <f>EXP(-LN(2)/35)*EV118+(1-EXP(-LN(2)/35))/(LN(2)/35)*ER119*ES119*VLOOKUP('Données projet'!$B$15,Paramètres!$A$1:$I$89,3,0)*0.475*44/12</f>
        <v>0.46155844261322926</v>
      </c>
      <c r="EW119" s="21">
        <f>EXP(-LN(2)/25)*EW118+(1-EXP(-LN(2)/25))/(LN(2)/25)*Calculateur!ER119*Calculateur!ET119*VLOOKUP('Données projet'!$B$15,Paramètres!$A$1:$I$89,3,0)*0.475*44/12</f>
        <v>1.4068146485018929</v>
      </c>
      <c r="EX119" s="21">
        <f>EXP(-LN(2)/2)*EX118+(1-EXP(-LN(2)/2))/(LN(2)/2)*ER119*EU119*VLOOKUP('Données projet'!$B$15,Paramètres!$A$1:$I$89,3,0)*0.475*44/12</f>
        <v>2.4942145353339734E-12</v>
      </c>
      <c r="EY119" s="22">
        <f t="shared" si="75"/>
        <v>1.8683730911176164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497</v>
      </c>
      <c r="FF119" s="17">
        <f>FE119*VLOOKUP('Données projet'!$B$16,Paramètres!$A$1:$I$89,3,0)*VLOOKUP('Données projet'!$B$16,Paramètres!$A$1:$I$89,5,0)</f>
        <v>297.20600000000002</v>
      </c>
      <c r="FG119" s="13">
        <f t="shared" si="101"/>
        <v>70.590415164571112</v>
      </c>
      <c r="FH119" s="20">
        <f t="shared" si="76"/>
        <v>640.57875641162809</v>
      </c>
      <c r="FI119" s="59">
        <f t="shared" si="77"/>
        <v>933.91208974496135</v>
      </c>
      <c r="FJ119" s="59">
        <f ca="1">AVERAGE(OFFSET($FI$3,0,0,'Données projet'!$E$16+1,1))-AVERAGE(OFFSET($H$3,0,0,'Données projet'!$E$16+1,1))</f>
        <v>270.30888762640245</v>
      </c>
      <c r="FK119" s="59">
        <f t="shared" si="102"/>
        <v>202.23783851977691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>
        <f>EXP(-LN(2)/35)*FQ118+(1-EXP(-LN(2)/35))/(LN(2)/35)*FM119*FN119*VLOOKUP('Données projet'!$B$16,Paramètres!$A$1:$I$89,3,0)*0.475*44/12</f>
        <v>0.39004938812385553</v>
      </c>
      <c r="FR119" s="21">
        <f>EXP(-LN(2)/25)*FR118+(1-EXP(-LN(2)/25))/(LN(2)/25)*Calculateur!FM119*Calculateur!FO119*VLOOKUP('Données projet'!$B$16,Paramètres!$A$1:$I$89,3,0)*0.475*44/12</f>
        <v>1.1329029330325324</v>
      </c>
      <c r="FS119" s="21">
        <f>EXP(-LN(2)/2)*FS118+(1-EXP(-LN(2)/2))/(LN(2)/2)*FM119*FP119*VLOOKUP('Données projet'!$B$16,Paramètres!$A$1:$I$89,3,0)*0.475*44/12</f>
        <v>2.102366191418535E-12</v>
      </c>
      <c r="FT119" s="22">
        <f t="shared" si="78"/>
        <v>1.5229523211584903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-5.1159076974727213E-13</v>
      </c>
      <c r="GA119" s="17">
        <f>FZ119*VLOOKUP('Données projet'!$B$17,Paramètres!$A$1:$I$89,3,0)*VLOOKUP('Données projet'!$B$17,Paramètres!$A$1:$I$89,5,0)</f>
        <v>-4.0702161641092972E-13</v>
      </c>
      <c r="GB119" s="13" t="e">
        <f t="shared" si="103"/>
        <v>#NUM!</v>
      </c>
      <c r="GC119" s="20" t="e">
        <f t="shared" si="79"/>
        <v>#NUM!</v>
      </c>
      <c r="GD119" s="59" t="e">
        <f t="shared" si="80"/>
        <v>#NUM!</v>
      </c>
      <c r="GE119" s="59">
        <f ca="1">AVERAGE(OFFSET($GD$3,0,0,'Données projet'!$E$17+1,1))-AVERAGE(OFFSET($H$3,0,0,'Données projet'!$E$17+1,1))</f>
        <v>260.20517190557814</v>
      </c>
      <c r="GF119" s="59">
        <f t="shared" si="104"/>
        <v>307.22009971147133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>
        <f>EXP(-LN(2)/35)*GL118+(1-EXP(-LN(2)/35))/(LN(2)/35)*GH119*GI119*VLOOKUP('Données projet'!$B$17,Paramètres!$A$1:$I$89,3,0)*0.475*44/12</f>
        <v>0.59421292050655972</v>
      </c>
      <c r="GM119" s="21">
        <f>EXP(-LN(2)/25)*GM118+(1-EXP(-LN(2)/25))/(LN(2)/25)*Calculateur!GH119*Calculateur!GJ119*VLOOKUP('Données projet'!$B$17,Paramètres!$A$1:$I$89,3,0)*0.475*44/12</f>
        <v>1.8907136655131762</v>
      </c>
      <c r="GN119" s="21">
        <f>EXP(-LN(2)/2)*GN118+(1-EXP(-LN(2)/2))/(LN(2)/2)*GH119*GK119*VLOOKUP('Données projet'!$B$17,Paramètres!$A$1:$I$89,3,0)*0.475*44/12</f>
        <v>2.7329217860775869E-12</v>
      </c>
      <c r="GO119" s="21">
        <f t="shared" si="81"/>
        <v>2.484926586022469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5.6843418860808015E-14</v>
      </c>
      <c r="GV119" s="17">
        <f>GU119*VLOOKUP('Données projet'!$B$18,Paramètres!$A$1:$I$89,3,0)*VLOOKUP('Données projet'!$B$18,Paramètres!$A$1:$I$89,5,0)</f>
        <v>4.5224624045658861E-14</v>
      </c>
      <c r="GW119" s="13">
        <f t="shared" si="105"/>
        <v>7.4514601661523691E-13</v>
      </c>
      <c r="GX119" s="20">
        <f t="shared" si="82"/>
        <v>1.3765621991510601E-12</v>
      </c>
      <c r="GY119" s="59">
        <f t="shared" si="83"/>
        <v>293.33333333333468</v>
      </c>
      <c r="GZ119" s="59">
        <f ca="1">AVERAGE(OFFSET($GY$3,0,0,'Données projet'!$E$18+1,1))-AVERAGE(OFFSET($H$3,0,0,'Données projet'!$E$18+1,1))</f>
        <v>199.58763537752952</v>
      </c>
      <c r="HA119" s="59">
        <f t="shared" si="106"/>
        <v>242.62852778451929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>
        <f>EXP(-LN(2)/35)*HG118+(1-EXP(-LN(2)/35))/(LN(2)/35)*HC119*HD119*VLOOKUP('Données projet'!$B$18,Paramètres!$A$1:$I$89,3,0)*0.475*44/12</f>
        <v>0</v>
      </c>
      <c r="HH119" s="21">
        <f>EXP(-LN(2)/25)*HH118+(1-EXP(-LN(2)/25))/(LN(2)/25)*Calculateur!HC119*Calculateur!HE119*VLOOKUP('Données projet'!$B$18,Paramètres!$A$1:$I$89,3,0)*0.475*44/12</f>
        <v>0.94749222943641132</v>
      </c>
      <c r="HI119" s="21">
        <f>EXP(-LN(2)/2)*HI118+(1-EXP(-LN(2)/2))/(LN(2)/2)*HC119*HF119*VLOOKUP('Données projet'!$B$18,Paramètres!$A$1:$I$89,3,0)*0.475*44/12</f>
        <v>1.2234475426817221E-12</v>
      </c>
      <c r="HJ119" s="22">
        <f t="shared" si="84"/>
        <v>0.94749222943763478</v>
      </c>
    </row>
    <row r="120" spans="1:218" x14ac:dyDescent="0.2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104.03640000000019</v>
      </c>
      <c r="D120" s="11">
        <f t="shared" si="86"/>
        <v>27.921388397821048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1018.6215244744094</v>
      </c>
      <c r="H120" s="67">
        <f t="shared" si="56"/>
        <v>523.15981479287188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-2.2737367544323206E-13</v>
      </c>
      <c r="O120" s="13">
        <f>N120*VLOOKUP('Données projet'!$B$9,Paramètres!$A$1:$I$89,3,0)*VLOOKUP('Données projet'!$B$9,Paramètres!$A$1:$I$89,5,0)</f>
        <v>-1.2710188457276673E-13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255.5374979188561</v>
      </c>
      <c r="T120" s="59">
        <f t="shared" si="88"/>
        <v>343.10418468620901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0.55168307391345028</v>
      </c>
      <c r="AA120" s="21">
        <f>EXP(-LN(2)/25)*AA119+(1-EXP(-LN(2)/25))/(LN(2)/25)*Calculateur!V120*Calculateur!X120*VLOOKUP('Données projet'!$B$9,Paramètres!$A$1:$I$89,3,0)*0.475*44/12</f>
        <v>1.4303935837212731</v>
      </c>
      <c r="AB120" s="21">
        <f>EXP(-LN(2)/2)*AB119+(1-EXP(-LN(2)/2))/(LN(2)/2)*V120*Y120*VLOOKUP('Données projet'!$B$9,Paramètres!$A$1:$I$89,3,0)*0.475*44/12</f>
        <v>1.3607015757446344E-13</v>
      </c>
      <c r="AC120" s="22">
        <f t="shared" si="57"/>
        <v>1.9820766576348594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1.1368683772161603E-13</v>
      </c>
      <c r="AJ120" s="13">
        <f>AI120*VLOOKUP('Données projet'!$B$10,Paramètres!$A$1:$I$89,3,0)*VLOOKUP('Données projet'!$B$10,Paramètres!$A$1:$I$89,5,0)</f>
        <v>6.3550942286383367E-14</v>
      </c>
      <c r="AK120" s="13">
        <f t="shared" si="89"/>
        <v>1.0064464192543978E-12</v>
      </c>
      <c r="AL120" s="20">
        <f t="shared" si="58"/>
        <v>1.8635787380168604E-12</v>
      </c>
      <c r="AM120" s="59">
        <f t="shared" si="59"/>
        <v>293.33333333333519</v>
      </c>
      <c r="AN120" s="59">
        <f ca="1">AVERAGE(OFFSET($AM$3,0,0,'Données projet'!$E$10+1,1))-AVERAGE(OFFSET($H$3,0,0,'Données projet'!$E$10+1,1))</f>
        <v>224.7049802939942</v>
      </c>
      <c r="AO120" s="59">
        <f t="shared" si="90"/>
        <v>203.48513862195352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0.398342141800196</v>
      </c>
      <c r="AV120" s="21">
        <f>EXP(-LN(2)/25)*AV119+(1-EXP(-LN(2)/25))/(LN(2)/25)*Calculateur!AQ120*Calculateur!AS120*VLOOKUP('Données projet'!$B$10,Paramètres!$A$1:$I$89,3,0)*0.475*44/12</f>
        <v>1.7498311704481502</v>
      </c>
      <c r="AW120" s="21">
        <f>EXP(-LN(2)/2)*AW119+(1-EXP(-LN(2)/2))/(LN(2)/2)*AQ120*AT120*VLOOKUP('Données projet'!$B$10,Paramètres!$A$1:$I$89,3,0)*0.475*44/12</f>
        <v>7.2033230102805286E-13</v>
      </c>
      <c r="AX120" s="21">
        <f t="shared" si="60"/>
        <v>2.1481733122490665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>
        <f>BD120*VLOOKUP('Données projet'!$B$11,Paramètres!$A$1:$I$89,3,0)*VLOOKUP('Données projet'!$B$11,Paramètres!$A$1:$I$89,5,0)</f>
        <v>0</v>
      </c>
      <c r="BF120" s="13" t="e">
        <f t="shared" si="91"/>
        <v>#NUM!</v>
      </c>
      <c r="BG120" s="20" t="e">
        <f t="shared" si="61"/>
        <v>#NUM!</v>
      </c>
      <c r="BH120" s="59" t="e">
        <f t="shared" si="62"/>
        <v>#NUM!</v>
      </c>
      <c r="BI120" s="59">
        <f ca="1">AVERAGE(OFFSET($BH$3,0,0,'Données projet'!$E$11+1,1))-AVERAGE(OFFSET($H$3,0,0,'Données projet'!$E$11+1,1))</f>
        <v>210.04871822652808</v>
      </c>
      <c r="BJ120" s="59">
        <f t="shared" si="92"/>
        <v>250.17540614049324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1.3034877995784147</v>
      </c>
      <c r="BQ120" s="21">
        <f>EXP(-LN(2)/25)*BQ119+(1-EXP(-LN(2)/25))/(LN(2)/25)*Calculateur!BL120*Calculateur!BN120*VLOOKUP('Données projet'!$B$11,Paramètres!$A$1:$I$89,3,0)*0.475*44/12</f>
        <v>2.4942498625017451</v>
      </c>
      <c r="BR120" s="21">
        <f>EXP(-LN(2)/2)*BR119+(1-EXP(-LN(2)/2))/(LN(2)/2)*BL120*BO120*VLOOKUP('Données projet'!$B$11,Paramètres!$A$1:$I$89,3,0)*0.475*44/12</f>
        <v>1.7326898258854432E-12</v>
      </c>
      <c r="BS120" s="22">
        <f t="shared" si="63"/>
        <v>3.7977376620818926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2.2737367544323206E-13</v>
      </c>
      <c r="BZ120" s="13">
        <f>BY120*VLOOKUP('Données projet'!$B$12,Paramètres!$A$1:$I$89,3,0)*VLOOKUP('Données projet'!$B$12,Paramètres!$A$1:$I$89,5,0)</f>
        <v>1.2414602679200471E-13</v>
      </c>
      <c r="CA120" s="13">
        <f t="shared" si="93"/>
        <v>1.8186582995804361E-12</v>
      </c>
      <c r="CB120" s="20">
        <f t="shared" si="64"/>
        <v>3.3837175350986671E-12</v>
      </c>
      <c r="CC120" s="59">
        <f t="shared" si="65"/>
        <v>293.33333333333672</v>
      </c>
      <c r="CD120" s="59">
        <f ca="1">AVERAGE(OFFSET($CC$3,0,0,'Données projet'!$E$12+1,1))-AVERAGE(OFFSET($H$3,0,0,'Données projet'!$E$12+1,1))</f>
        <v>168.72306536277267</v>
      </c>
      <c r="CE120" s="59">
        <f t="shared" si="94"/>
        <v>203.35476578922339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0.54311991649100611</v>
      </c>
      <c r="CL120" s="21">
        <f>EXP(-LN(2)/25)*CL119+(1-EXP(-LN(2)/25))/(LN(2)/25)*Calculateur!CG120*Calculateur!CI120*VLOOKUP('Données projet'!$B$12,Paramètres!$A$1:$I$89,3,0)*0.475*44/12</f>
        <v>2.0599682670124961</v>
      </c>
      <c r="CM120" s="21">
        <f>EXP(-LN(2)/2)*CM119+(1-EXP(-LN(2)/2))/(LN(2)/2)*CG120*CJ120*VLOOKUP('Données projet'!$B$12,Paramètres!$A$1:$I$89,3,0)*0.475*44/12</f>
        <v>1.6096916774493665E-12</v>
      </c>
      <c r="CN120" s="22">
        <f t="shared" si="66"/>
        <v>2.6030881835051121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1277.6923076923067</v>
      </c>
      <c r="CU120" s="17">
        <f>CT120*VLOOKUP('Données projet'!$B$13,Paramètres!$A$1:$I$89,3,0)*VLOOKUP('Données projet'!$B$13,Paramètres!$A$1:$I$89,5,0)</f>
        <v>614.5699999999996</v>
      </c>
      <c r="CV120" s="13">
        <f t="shared" si="95"/>
        <v>134.13240620831178</v>
      </c>
      <c r="CW120" s="20">
        <f t="shared" si="67"/>
        <v>1303.9900241461421</v>
      </c>
      <c r="CX120" s="59">
        <f t="shared" si="68"/>
        <v>1597.3233574794754</v>
      </c>
      <c r="CY120" s="59">
        <f ca="1">AVERAGE(OFFSET($CX$3,0,0,'Données projet'!$E$13+1,1))-AVERAGE(OFFSET($H$3,0,0,'Données projet'!$E$13+1,1))</f>
        <v>304.15237106473313</v>
      </c>
      <c r="CZ120" s="59">
        <f t="shared" si="96"/>
        <v>120.85458928724336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>
        <f>EXP(-LN(2)/35)*DF119+(1-EXP(-LN(2)/35))/(LN(2)/35)*DB120*DC120*VLOOKUP('Données projet'!$B$13,Paramètres!$A$1:$I$89,3,0)*0.475*44/12</f>
        <v>0</v>
      </c>
      <c r="DG120" s="21">
        <f>EXP(-LN(2)/25)*DG119+(1-EXP(-LN(2)/25))/(LN(2)/25)*Calculateur!DB120*Calculateur!DD120*VLOOKUP('Données projet'!$B$13,Paramètres!$A$1:$I$89,3,0)*0.475*44/12</f>
        <v>0</v>
      </c>
      <c r="DH120" s="21">
        <f>EXP(-LN(2)/2)*DH119+(1-EXP(-LN(2)/2))/(LN(2)/2)*DB120*DE120*VLOOKUP('Données projet'!$B$13,Paramètres!$A$1:$I$89,3,0)*0.475*44/12</f>
        <v>0</v>
      </c>
      <c r="DI120" s="22">
        <f t="shared" si="69"/>
        <v>0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425.38461538461536</v>
      </c>
      <c r="DP120" s="17">
        <f>DO120*VLOOKUP('Données projet'!$B$14,Paramètres!$A$1:$I$89,3,0)*VLOOKUP('Données projet'!$B$14,Paramètres!$A$1:$I$89,5,0)</f>
        <v>204.60999999999999</v>
      </c>
      <c r="DQ120" s="13">
        <f t="shared" si="97"/>
        <v>50.755958577224398</v>
      </c>
      <c r="DR120" s="20">
        <f t="shared" si="70"/>
        <v>444.76237785533249</v>
      </c>
      <c r="DS120" s="59">
        <f t="shared" si="71"/>
        <v>738.09571118866575</v>
      </c>
      <c r="DT120" s="59">
        <f ca="1">AVERAGE(OFFSET($DS$3,0,0,'Données projet'!$E$14+1,1))-AVERAGE(OFFSET($H$3,0,0,'Données projet'!$E$14+1,1))</f>
        <v>91.053246648097399</v>
      </c>
      <c r="DU120" s="59">
        <f t="shared" si="98"/>
        <v>64.716270355703955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>
        <f>EXP(-LN(2)/35)*EA119+(1-EXP(-LN(2)/35))/(LN(2)/35)*DW120*DX120*VLOOKUP('Données projet'!$B$14,Paramètres!$A$1:$I$89,3,0)*0.475*44/12</f>
        <v>0</v>
      </c>
      <c r="EB120" s="21">
        <f>EXP(-LN(2)/25)*EB119+(1-EXP(-LN(2)/25))/(LN(2)/25)*Calculateur!DW120*Calculateur!DY120*VLOOKUP('Données projet'!$B$14,Paramètres!$A$1:$I$89,3,0)*0.475*44/12</f>
        <v>0</v>
      </c>
      <c r="EC120" s="21">
        <f>EXP(-LN(2)/2)*EC119+(1-EXP(-LN(2)/2))/(LN(2)/2)*DW120*DZ120*VLOOKUP('Données projet'!$B$14,Paramètres!$A$1:$I$89,3,0)*0.475*44/12</f>
        <v>0</v>
      </c>
      <c r="ED120" s="22">
        <f t="shared" si="72"/>
        <v>0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553.99999999999955</v>
      </c>
      <c r="EK120" s="17">
        <f>EJ120*VLOOKUP('Données projet'!$B$15,Paramètres!$A$1:$I$89,3,0)*VLOOKUP('Données projet'!$B$15,Paramètres!$A$1:$I$89,5,0)</f>
        <v>331.29199999999975</v>
      </c>
      <c r="EL120" s="13">
        <f t="shared" si="99"/>
        <v>77.698110787752</v>
      </c>
      <c r="EM120" s="20">
        <f t="shared" si="73"/>
        <v>712.32444295533423</v>
      </c>
      <c r="EN120" s="59">
        <f t="shared" si="74"/>
        <v>1005.6577762886675</v>
      </c>
      <c r="EO120" s="59">
        <f ca="1">AVERAGE(OFFSET($EN$3,0,0,'Données projet'!$E$15+1,1))-AVERAGE(OFFSET($H$3,0,0,'Données projet'!$E$15+1,1))</f>
        <v>316.58509520829671</v>
      </c>
      <c r="EP120" s="59">
        <f t="shared" si="100"/>
        <v>240.71332110643596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>
        <f>EXP(-LN(2)/35)*EV119+(1-EXP(-LN(2)/35))/(LN(2)/35)*ER120*ES120*VLOOKUP('Données projet'!$B$15,Paramètres!$A$1:$I$89,3,0)*0.475*44/12</f>
        <v>0.45250756307643575</v>
      </c>
      <c r="EW120" s="21">
        <f>EXP(-LN(2)/25)*EW119+(1-EXP(-LN(2)/25))/(LN(2)/25)*Calculateur!ER120*Calculateur!ET120*VLOOKUP('Données projet'!$B$15,Paramètres!$A$1:$I$89,3,0)*0.475*44/12</f>
        <v>1.3683452279574415</v>
      </c>
      <c r="EX120" s="21">
        <f>EXP(-LN(2)/2)*EX119+(1-EXP(-LN(2)/2))/(LN(2)/2)*ER120*EU120*VLOOKUP('Données projet'!$B$15,Paramètres!$A$1:$I$89,3,0)*0.475*44/12</f>
        <v>1.7636760116687062E-12</v>
      </c>
      <c r="EY120" s="22">
        <f t="shared" si="75"/>
        <v>1.8208527910356409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497</v>
      </c>
      <c r="FF120" s="17">
        <f>FE120*VLOOKUP('Données projet'!$B$16,Paramètres!$A$1:$I$89,3,0)*VLOOKUP('Données projet'!$B$16,Paramètres!$A$1:$I$89,5,0)</f>
        <v>297.20600000000002</v>
      </c>
      <c r="FG120" s="13">
        <f t="shared" si="101"/>
        <v>70.590415164571112</v>
      </c>
      <c r="FH120" s="20">
        <f t="shared" si="76"/>
        <v>640.57875641162809</v>
      </c>
      <c r="FI120" s="59">
        <f t="shared" si="77"/>
        <v>933.91208974496135</v>
      </c>
      <c r="FJ120" s="59">
        <f ca="1">AVERAGE(OFFSET($FI$3,0,0,'Données projet'!$E$16+1,1))-AVERAGE(OFFSET($H$3,0,0,'Données projet'!$E$16+1,1))</f>
        <v>270.30888762640245</v>
      </c>
      <c r="FK120" s="59">
        <f t="shared" si="102"/>
        <v>202.23783851977691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>
        <f>EXP(-LN(2)/35)*FQ119+(1-EXP(-LN(2)/35))/(LN(2)/35)*FM120*FN120*VLOOKUP('Données projet'!$B$16,Paramètres!$A$1:$I$89,3,0)*0.475*44/12</f>
        <v>0.38240075752938213</v>
      </c>
      <c r="FR120" s="21">
        <f>EXP(-LN(2)/25)*FR119+(1-EXP(-LN(2)/25))/(LN(2)/25)*Calculateur!FM120*Calculateur!FO120*VLOOKUP('Données projet'!$B$16,Paramètres!$A$1:$I$89,3,0)*0.475*44/12</f>
        <v>1.1019236427519818</v>
      </c>
      <c r="FS120" s="21">
        <f>EXP(-LN(2)/2)*FS119+(1-EXP(-LN(2)/2))/(LN(2)/2)*FM120*FP120*VLOOKUP('Données projet'!$B$16,Paramètres!$A$1:$I$89,3,0)*0.475*44/12</f>
        <v>1.4865973904893813E-12</v>
      </c>
      <c r="FT120" s="22">
        <f t="shared" si="78"/>
        <v>1.4843244002828506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-5.1159076974727213E-13</v>
      </c>
      <c r="GA120" s="17">
        <f>FZ120*VLOOKUP('Données projet'!$B$17,Paramètres!$A$1:$I$89,3,0)*VLOOKUP('Données projet'!$B$17,Paramètres!$A$1:$I$89,5,0)</f>
        <v>-4.0702161641092972E-13</v>
      </c>
      <c r="GB120" s="13" t="e">
        <f t="shared" si="103"/>
        <v>#NUM!</v>
      </c>
      <c r="GC120" s="20" t="e">
        <f t="shared" si="79"/>
        <v>#NUM!</v>
      </c>
      <c r="GD120" s="59" t="e">
        <f t="shared" si="80"/>
        <v>#NUM!</v>
      </c>
      <c r="GE120" s="59">
        <f ca="1">AVERAGE(OFFSET($GD$3,0,0,'Données projet'!$E$17+1,1))-AVERAGE(OFFSET($H$3,0,0,'Données projet'!$E$17+1,1))</f>
        <v>260.20517190557814</v>
      </c>
      <c r="GF120" s="59">
        <f t="shared" si="104"/>
        <v>307.22009971147133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>
        <f>EXP(-LN(2)/35)*GL119+(1-EXP(-LN(2)/35))/(LN(2)/35)*GH120*GI120*VLOOKUP('Données projet'!$B$17,Paramètres!$A$1:$I$89,3,0)*0.475*44/12</f>
        <v>0.58256076756952024</v>
      </c>
      <c r="GM120" s="21">
        <f>EXP(-LN(2)/25)*GM119+(1-EXP(-LN(2)/25))/(LN(2)/25)*Calculateur!GH120*Calculateur!GJ120*VLOOKUP('Données projet'!$B$17,Paramètres!$A$1:$I$89,3,0)*0.475*44/12</f>
        <v>1.8390120009014079</v>
      </c>
      <c r="GN120" s="21">
        <f>EXP(-LN(2)/2)*GN119+(1-EXP(-LN(2)/2))/(LN(2)/2)*GH120*GK120*VLOOKUP('Données projet'!$B$17,Paramètres!$A$1:$I$89,3,0)*0.475*44/12</f>
        <v>1.9324675273879128E-12</v>
      </c>
      <c r="GO120" s="21">
        <f t="shared" si="81"/>
        <v>2.4215727684728607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5.6843418860808015E-14</v>
      </c>
      <c r="GV120" s="17">
        <f>GU120*VLOOKUP('Données projet'!$B$18,Paramètres!$A$1:$I$89,3,0)*VLOOKUP('Données projet'!$B$18,Paramètres!$A$1:$I$89,5,0)</f>
        <v>4.5224624045658861E-14</v>
      </c>
      <c r="GW120" s="13">
        <f t="shared" si="105"/>
        <v>7.4514601661523691E-13</v>
      </c>
      <c r="GX120" s="20">
        <f t="shared" si="82"/>
        <v>1.3765621991510601E-12</v>
      </c>
      <c r="GY120" s="59">
        <f t="shared" si="83"/>
        <v>293.33333333333468</v>
      </c>
      <c r="GZ120" s="59">
        <f ca="1">AVERAGE(OFFSET($GY$3,0,0,'Données projet'!$E$18+1,1))-AVERAGE(OFFSET($H$3,0,0,'Données projet'!$E$18+1,1))</f>
        <v>199.58763537752952</v>
      </c>
      <c r="HA120" s="59">
        <f t="shared" si="106"/>
        <v>242.62852778451929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>
        <f>EXP(-LN(2)/35)*HG119+(1-EXP(-LN(2)/35))/(LN(2)/35)*HC120*HD120*VLOOKUP('Données projet'!$B$18,Paramètres!$A$1:$I$89,3,0)*0.475*44/12</f>
        <v>0</v>
      </c>
      <c r="HH120" s="21">
        <f>EXP(-LN(2)/25)*HH119+(1-EXP(-LN(2)/25))/(LN(2)/25)*Calculateur!HC120*Calculateur!HE120*VLOOKUP('Données projet'!$B$18,Paramètres!$A$1:$I$89,3,0)*0.475*44/12</f>
        <v>0.92158300459602183</v>
      </c>
      <c r="HI120" s="21">
        <f>EXP(-LN(2)/2)*HI119+(1-EXP(-LN(2)/2))/(LN(2)/2)*HC120*HF120*VLOOKUP('Données projet'!$B$18,Paramètres!$A$1:$I$89,3,0)*0.475*44/12</f>
        <v>8.6510805385626373E-13</v>
      </c>
      <c r="HJ120" s="22">
        <f t="shared" si="84"/>
        <v>0.92158300459688691</v>
      </c>
    </row>
    <row r="121" spans="1:218" x14ac:dyDescent="0.2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104.92560000000019</v>
      </c>
      <c r="D121" s="11">
        <f t="shared" si="86"/>
        <v>28.132149981044396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1027.1124559940286</v>
      </c>
      <c r="H121" s="67">
        <f t="shared" si="56"/>
        <v>525.07558121698594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-2.2737367544323206E-13</v>
      </c>
      <c r="O121" s="13">
        <f>N121*VLOOKUP('Données projet'!$B$9,Paramètres!$A$1:$I$89,3,0)*VLOOKUP('Données projet'!$B$9,Paramètres!$A$1:$I$89,5,0)</f>
        <v>-1.2710188457276673E-13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255.5374979188561</v>
      </c>
      <c r="T121" s="59">
        <f t="shared" si="88"/>
        <v>343.10418468620901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0.54086490532745668</v>
      </c>
      <c r="AA121" s="21">
        <f>EXP(-LN(2)/25)*AA120+(1-EXP(-LN(2)/25))/(LN(2)/25)*Calculateur!V121*Calculateur!X121*VLOOKUP('Données projet'!$B$9,Paramètres!$A$1:$I$89,3,0)*0.475*44/12</f>
        <v>1.3912793959532856</v>
      </c>
      <c r="AB121" s="21">
        <f>EXP(-LN(2)/2)*AB120+(1-EXP(-LN(2)/2))/(LN(2)/2)*V121*Y121*VLOOKUP('Données projet'!$B$9,Paramètres!$A$1:$I$89,3,0)*0.475*44/12</f>
        <v>9.6216131138025164E-14</v>
      </c>
      <c r="AC121" s="22">
        <f t="shared" si="57"/>
        <v>1.9321443012808384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1.1368683772161603E-13</v>
      </c>
      <c r="AJ121" s="13">
        <f>AI121*VLOOKUP('Données projet'!$B$10,Paramètres!$A$1:$I$89,3,0)*VLOOKUP('Données projet'!$B$10,Paramètres!$A$1:$I$89,5,0)</f>
        <v>6.3550942286383367E-14</v>
      </c>
      <c r="AK121" s="13">
        <f t="shared" si="89"/>
        <v>1.0064464192543978E-12</v>
      </c>
      <c r="AL121" s="20">
        <f t="shared" si="58"/>
        <v>1.8635787380168604E-12</v>
      </c>
      <c r="AM121" s="59">
        <f t="shared" si="59"/>
        <v>293.33333333333519</v>
      </c>
      <c r="AN121" s="59">
        <f ca="1">AVERAGE(OFFSET($AM$3,0,0,'Données projet'!$E$10+1,1))-AVERAGE(OFFSET($H$3,0,0,'Données projet'!$E$10+1,1))</f>
        <v>224.7049802939942</v>
      </c>
      <c r="AO121" s="59">
        <f t="shared" si="90"/>
        <v>203.48513862195352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0.39053089536420987</v>
      </c>
      <c r="AV121" s="21">
        <f>EXP(-LN(2)/25)*AV120+(1-EXP(-LN(2)/25))/(LN(2)/25)*Calculateur!AQ121*Calculateur!AS121*VLOOKUP('Données projet'!$B$10,Paramètres!$A$1:$I$89,3,0)*0.475*44/12</f>
        <v>1.7019819450726235</v>
      </c>
      <c r="AW121" s="21">
        <f>EXP(-LN(2)/2)*AW120+(1-EXP(-LN(2)/2))/(LN(2)/2)*AQ121*AT121*VLOOKUP('Données projet'!$B$10,Paramètres!$A$1:$I$89,3,0)*0.475*44/12</f>
        <v>5.0935185476464565E-13</v>
      </c>
      <c r="AX121" s="21">
        <f t="shared" si="60"/>
        <v>2.0925128404373425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>
        <f>BD121*VLOOKUP('Données projet'!$B$11,Paramètres!$A$1:$I$89,3,0)*VLOOKUP('Données projet'!$B$11,Paramètres!$A$1:$I$89,5,0)</f>
        <v>0</v>
      </c>
      <c r="BF121" s="13" t="e">
        <f t="shared" si="91"/>
        <v>#NUM!</v>
      </c>
      <c r="BG121" s="20" t="e">
        <f t="shared" si="61"/>
        <v>#NUM!</v>
      </c>
      <c r="BH121" s="59" t="e">
        <f t="shared" si="62"/>
        <v>#NUM!</v>
      </c>
      <c r="BI121" s="59">
        <f ca="1">AVERAGE(OFFSET($BH$3,0,0,'Données projet'!$E$11+1,1))-AVERAGE(OFFSET($H$3,0,0,'Données projet'!$E$11+1,1))</f>
        <v>210.04871822652808</v>
      </c>
      <c r="BJ121" s="59">
        <f t="shared" si="92"/>
        <v>250.17540614049324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1.2779271988777352</v>
      </c>
      <c r="BQ121" s="21">
        <f>EXP(-LN(2)/25)*BQ120+(1-EXP(-LN(2)/25))/(LN(2)/25)*Calculateur!BL121*Calculateur!BN121*VLOOKUP('Données projet'!$B$11,Paramètres!$A$1:$I$89,3,0)*0.475*44/12</f>
        <v>2.4260444688447351</v>
      </c>
      <c r="BR121" s="21">
        <f>EXP(-LN(2)/2)*BR120+(1-EXP(-LN(2)/2))/(LN(2)/2)*BL121*BO121*VLOOKUP('Données projet'!$B$11,Paramètres!$A$1:$I$89,3,0)*0.475*44/12</f>
        <v>1.2251967255765352E-12</v>
      </c>
      <c r="BS121" s="22">
        <f t="shared" si="63"/>
        <v>3.7039716677236956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2.2737367544323206E-13</v>
      </c>
      <c r="BZ121" s="13">
        <f>BY121*VLOOKUP('Données projet'!$B$12,Paramètres!$A$1:$I$89,3,0)*VLOOKUP('Données projet'!$B$12,Paramètres!$A$1:$I$89,5,0)</f>
        <v>1.2414602679200471E-13</v>
      </c>
      <c r="CA121" s="13">
        <f t="shared" si="93"/>
        <v>1.8186582995804361E-12</v>
      </c>
      <c r="CB121" s="20">
        <f t="shared" si="64"/>
        <v>3.3837175350986671E-12</v>
      </c>
      <c r="CC121" s="59">
        <f t="shared" si="65"/>
        <v>293.33333333333672</v>
      </c>
      <c r="CD121" s="59">
        <f ca="1">AVERAGE(OFFSET($CC$3,0,0,'Données projet'!$E$12+1,1))-AVERAGE(OFFSET($H$3,0,0,'Données projet'!$E$12+1,1))</f>
        <v>168.72306536277267</v>
      </c>
      <c r="CE121" s="59">
        <f t="shared" si="94"/>
        <v>203.35476578922339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0.53246966619905634</v>
      </c>
      <c r="CL121" s="21">
        <f>EXP(-LN(2)/25)*CL120+(1-EXP(-LN(2)/25))/(LN(2)/25)*Calculateur!CG121*Calculateur!CI121*VLOOKUP('Données projet'!$B$12,Paramètres!$A$1:$I$89,3,0)*0.475*44/12</f>
        <v>2.0036383264220166</v>
      </c>
      <c r="CM121" s="21">
        <f>EXP(-LN(2)/2)*CM120+(1-EXP(-LN(2)/2))/(LN(2)/2)*CG121*CJ121*VLOOKUP('Données projet'!$B$12,Paramètres!$A$1:$I$89,3,0)*0.475*44/12</f>
        <v>1.1382239007439958E-12</v>
      </c>
      <c r="CN121" s="22">
        <f t="shared" si="66"/>
        <v>2.536107992622211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1277.6923076923067</v>
      </c>
      <c r="CU121" s="17">
        <f>CT121*VLOOKUP('Données projet'!$B$13,Paramètres!$A$1:$I$89,3,0)*VLOOKUP('Données projet'!$B$13,Paramètres!$A$1:$I$89,5,0)</f>
        <v>614.5699999999996</v>
      </c>
      <c r="CV121" s="13">
        <f t="shared" si="95"/>
        <v>134.13240620831178</v>
      </c>
      <c r="CW121" s="20">
        <f t="shared" si="67"/>
        <v>1303.9900241461421</v>
      </c>
      <c r="CX121" s="59">
        <f t="shared" si="68"/>
        <v>1597.3233574794754</v>
      </c>
      <c r="CY121" s="59">
        <f ca="1">AVERAGE(OFFSET($CX$3,0,0,'Données projet'!$E$13+1,1))-AVERAGE(OFFSET($H$3,0,0,'Données projet'!$E$13+1,1))</f>
        <v>304.15237106473313</v>
      </c>
      <c r="CZ121" s="59">
        <f t="shared" si="96"/>
        <v>120.85458928724336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>
        <f>EXP(-LN(2)/35)*DF120+(1-EXP(-LN(2)/35))/(LN(2)/35)*DB121*DC121*VLOOKUP('Données projet'!$B$13,Paramètres!$A$1:$I$89,3,0)*0.475*44/12</f>
        <v>0</v>
      </c>
      <c r="DG121" s="21">
        <f>EXP(-LN(2)/25)*DG120+(1-EXP(-LN(2)/25))/(LN(2)/25)*Calculateur!DB121*Calculateur!DD121*VLOOKUP('Données projet'!$B$13,Paramètres!$A$1:$I$89,3,0)*0.475*44/12</f>
        <v>0</v>
      </c>
      <c r="DH121" s="21">
        <f>EXP(-LN(2)/2)*DH120+(1-EXP(-LN(2)/2))/(LN(2)/2)*DB121*DE121*VLOOKUP('Données projet'!$B$13,Paramètres!$A$1:$I$89,3,0)*0.475*44/12</f>
        <v>0</v>
      </c>
      <c r="DI121" s="22">
        <f t="shared" si="69"/>
        <v>0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425.38461538461536</v>
      </c>
      <c r="DP121" s="17">
        <f>DO121*VLOOKUP('Données projet'!$B$14,Paramètres!$A$1:$I$89,3,0)*VLOOKUP('Données projet'!$B$14,Paramètres!$A$1:$I$89,5,0)</f>
        <v>204.60999999999999</v>
      </c>
      <c r="DQ121" s="13">
        <f t="shared" si="97"/>
        <v>50.755958577224398</v>
      </c>
      <c r="DR121" s="20">
        <f t="shared" si="70"/>
        <v>444.76237785533249</v>
      </c>
      <c r="DS121" s="59">
        <f t="shared" si="71"/>
        <v>738.09571118866575</v>
      </c>
      <c r="DT121" s="59">
        <f ca="1">AVERAGE(OFFSET($DS$3,0,0,'Données projet'!$E$14+1,1))-AVERAGE(OFFSET($H$3,0,0,'Données projet'!$E$14+1,1))</f>
        <v>91.053246648097399</v>
      </c>
      <c r="DU121" s="59">
        <f t="shared" si="98"/>
        <v>64.716270355703955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>
        <f>EXP(-LN(2)/35)*EA120+(1-EXP(-LN(2)/35))/(LN(2)/35)*DW121*DX121*VLOOKUP('Données projet'!$B$14,Paramètres!$A$1:$I$89,3,0)*0.475*44/12</f>
        <v>0</v>
      </c>
      <c r="EB121" s="21">
        <f>EXP(-LN(2)/25)*EB120+(1-EXP(-LN(2)/25))/(LN(2)/25)*Calculateur!DW121*Calculateur!DY121*VLOOKUP('Données projet'!$B$14,Paramètres!$A$1:$I$89,3,0)*0.475*44/12</f>
        <v>0</v>
      </c>
      <c r="EC121" s="21">
        <f>EXP(-LN(2)/2)*EC120+(1-EXP(-LN(2)/2))/(LN(2)/2)*DW121*DZ121*VLOOKUP('Données projet'!$B$14,Paramètres!$A$1:$I$89,3,0)*0.475*44/12</f>
        <v>0</v>
      </c>
      <c r="ED121" s="22">
        <f t="shared" si="72"/>
        <v>0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553.99999999999955</v>
      </c>
      <c r="EK121" s="17">
        <f>EJ121*VLOOKUP('Données projet'!$B$15,Paramètres!$A$1:$I$89,3,0)*VLOOKUP('Données projet'!$B$15,Paramètres!$A$1:$I$89,5,0)</f>
        <v>331.29199999999975</v>
      </c>
      <c r="EL121" s="13">
        <f t="shared" si="99"/>
        <v>77.698110787752</v>
      </c>
      <c r="EM121" s="20">
        <f t="shared" si="73"/>
        <v>712.32444295533423</v>
      </c>
      <c r="EN121" s="59">
        <f t="shared" si="74"/>
        <v>1005.6577762886675</v>
      </c>
      <c r="EO121" s="59">
        <f ca="1">AVERAGE(OFFSET($EN$3,0,0,'Données projet'!$E$15+1,1))-AVERAGE(OFFSET($H$3,0,0,'Données projet'!$E$15+1,1))</f>
        <v>316.58509520829671</v>
      </c>
      <c r="EP121" s="59">
        <f t="shared" si="100"/>
        <v>240.71332110643596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>
        <f>EXP(-LN(2)/35)*EV120+(1-EXP(-LN(2)/35))/(LN(2)/35)*ER121*ES121*VLOOKUP('Données projet'!$B$15,Paramètres!$A$1:$I$89,3,0)*0.475*44/12</f>
        <v>0.44363416576686737</v>
      </c>
      <c r="EW121" s="21">
        <f>EXP(-LN(2)/25)*EW120+(1-EXP(-LN(2)/25))/(LN(2)/25)*Calculateur!ER121*Calculateur!ET121*VLOOKUP('Données projet'!$B$15,Paramètres!$A$1:$I$89,3,0)*0.475*44/12</f>
        <v>1.330927755740797</v>
      </c>
      <c r="EX121" s="21">
        <f>EXP(-LN(2)/2)*EX120+(1-EXP(-LN(2)/2))/(LN(2)/2)*ER121*EU121*VLOOKUP('Données projet'!$B$15,Paramètres!$A$1:$I$89,3,0)*0.475*44/12</f>
        <v>1.2471072676669867E-12</v>
      </c>
      <c r="EY121" s="22">
        <f t="shared" si="75"/>
        <v>1.7745619215089115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497</v>
      </c>
      <c r="FF121" s="17">
        <f>FE121*VLOOKUP('Données projet'!$B$16,Paramètres!$A$1:$I$89,3,0)*VLOOKUP('Données projet'!$B$16,Paramètres!$A$1:$I$89,5,0)</f>
        <v>297.20600000000002</v>
      </c>
      <c r="FG121" s="13">
        <f t="shared" si="101"/>
        <v>70.590415164571112</v>
      </c>
      <c r="FH121" s="20">
        <f t="shared" si="76"/>
        <v>640.57875641162809</v>
      </c>
      <c r="FI121" s="59">
        <f t="shared" si="77"/>
        <v>933.91208974496135</v>
      </c>
      <c r="FJ121" s="59">
        <f ca="1">AVERAGE(OFFSET($FI$3,0,0,'Données projet'!$E$16+1,1))-AVERAGE(OFFSET($H$3,0,0,'Données projet'!$E$16+1,1))</f>
        <v>270.30888762640245</v>
      </c>
      <c r="FK121" s="59">
        <f t="shared" si="102"/>
        <v>202.23783851977691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>
        <f>EXP(-LN(2)/35)*FQ120+(1-EXP(-LN(2)/35))/(LN(2)/35)*FM121*FN121*VLOOKUP('Données projet'!$B$16,Paramètres!$A$1:$I$89,3,0)*0.475*44/12</f>
        <v>0.37490211191566236</v>
      </c>
      <c r="FR121" s="21">
        <f>EXP(-LN(2)/25)*FR120+(1-EXP(-LN(2)/25))/(LN(2)/25)*Calculateur!FM121*Calculateur!FO121*VLOOKUP('Données projet'!$B$16,Paramètres!$A$1:$I$89,3,0)*0.475*44/12</f>
        <v>1.0717914827932831</v>
      </c>
      <c r="FS121" s="21">
        <f>EXP(-LN(2)/2)*FS120+(1-EXP(-LN(2)/2))/(LN(2)/2)*FM121*FP121*VLOOKUP('Données projet'!$B$16,Paramètres!$A$1:$I$89,3,0)*0.475*44/12</f>
        <v>1.0511830957092675E-12</v>
      </c>
      <c r="FT121" s="22">
        <f t="shared" si="78"/>
        <v>1.4466935947099966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-5.1159076974727213E-13</v>
      </c>
      <c r="GA121" s="17">
        <f>FZ121*VLOOKUP('Données projet'!$B$17,Paramètres!$A$1:$I$89,3,0)*VLOOKUP('Données projet'!$B$17,Paramètres!$A$1:$I$89,5,0)</f>
        <v>-4.0702161641092972E-13</v>
      </c>
      <c r="GB121" s="13" t="e">
        <f t="shared" si="103"/>
        <v>#NUM!</v>
      </c>
      <c r="GC121" s="20" t="e">
        <f t="shared" si="79"/>
        <v>#NUM!</v>
      </c>
      <c r="GD121" s="59" t="e">
        <f t="shared" si="80"/>
        <v>#NUM!</v>
      </c>
      <c r="GE121" s="59">
        <f ca="1">AVERAGE(OFFSET($GD$3,0,0,'Données projet'!$E$17+1,1))-AVERAGE(OFFSET($H$3,0,0,'Données projet'!$E$17+1,1))</f>
        <v>260.20517190557814</v>
      </c>
      <c r="GF121" s="59">
        <f t="shared" si="104"/>
        <v>307.22009971147133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>
        <f>EXP(-LN(2)/35)*GL120+(1-EXP(-LN(2)/35))/(LN(2)/35)*GH121*GI121*VLOOKUP('Données projet'!$B$17,Paramètres!$A$1:$I$89,3,0)*0.475*44/12</f>
        <v>0.57113710624446457</v>
      </c>
      <c r="GM121" s="21">
        <f>EXP(-LN(2)/25)*GM120+(1-EXP(-LN(2)/25))/(LN(2)/25)*Calculateur!GH121*Calculateur!GJ121*VLOOKUP('Données projet'!$B$17,Paramètres!$A$1:$I$89,3,0)*0.475*44/12</f>
        <v>1.7887241210273208</v>
      </c>
      <c r="GN121" s="21">
        <f>EXP(-LN(2)/2)*GN120+(1-EXP(-LN(2)/2))/(LN(2)/2)*GH121*GK121*VLOOKUP('Données projet'!$B$17,Paramètres!$A$1:$I$89,3,0)*0.475*44/12</f>
        <v>1.3664608930387934E-12</v>
      </c>
      <c r="GO121" s="21">
        <f t="shared" si="81"/>
        <v>2.3598612272731518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5.6843418860808015E-14</v>
      </c>
      <c r="GV121" s="17">
        <f>GU121*VLOOKUP('Données projet'!$B$18,Paramètres!$A$1:$I$89,3,0)*VLOOKUP('Données projet'!$B$18,Paramètres!$A$1:$I$89,5,0)</f>
        <v>4.5224624045658861E-14</v>
      </c>
      <c r="GW121" s="13">
        <f t="shared" si="105"/>
        <v>7.4514601661523691E-13</v>
      </c>
      <c r="GX121" s="20">
        <f t="shared" si="82"/>
        <v>1.3765621991510601E-12</v>
      </c>
      <c r="GY121" s="59">
        <f t="shared" si="83"/>
        <v>293.33333333333468</v>
      </c>
      <c r="GZ121" s="59">
        <f ca="1">AVERAGE(OFFSET($GY$3,0,0,'Données projet'!$E$18+1,1))-AVERAGE(OFFSET($H$3,0,0,'Données projet'!$E$18+1,1))</f>
        <v>199.58763537752952</v>
      </c>
      <c r="HA121" s="59">
        <f t="shared" si="106"/>
        <v>242.62852778451929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>
        <f>EXP(-LN(2)/35)*HG120+(1-EXP(-LN(2)/35))/(LN(2)/35)*HC121*HD121*VLOOKUP('Données projet'!$B$18,Paramètres!$A$1:$I$89,3,0)*0.475*44/12</f>
        <v>0</v>
      </c>
      <c r="HH121" s="21">
        <f>EXP(-LN(2)/25)*HH120+(1-EXP(-LN(2)/25))/(LN(2)/25)*Calculateur!HC121*Calculateur!HE121*VLOOKUP('Données projet'!$B$18,Paramètres!$A$1:$I$89,3,0)*0.475*44/12</f>
        <v>0.89638226887139971</v>
      </c>
      <c r="HI121" s="21">
        <f>EXP(-LN(2)/2)*HI120+(1-EXP(-LN(2)/2))/(LN(2)/2)*HC121*HF121*VLOOKUP('Données projet'!$B$18,Paramètres!$A$1:$I$89,3,0)*0.475*44/12</f>
        <v>6.1172377134086104E-13</v>
      </c>
      <c r="HJ121" s="22">
        <f t="shared" si="84"/>
        <v>0.89638226887201145</v>
      </c>
    </row>
    <row r="122" spans="1:218" x14ac:dyDescent="0.2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105.81480000000019</v>
      </c>
      <c r="D122" s="11">
        <f t="shared" si="86"/>
        <v>28.342703760346538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1035.6017834132028</v>
      </c>
      <c r="H122" s="67">
        <f t="shared" si="56"/>
        <v>526.9909857159372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-2.2737367544323206E-13</v>
      </c>
      <c r="O122" s="13">
        <f>N122*VLOOKUP('Données projet'!$B$9,Paramètres!$A$1:$I$89,3,0)*VLOOKUP('Données projet'!$B$9,Paramètres!$A$1:$I$89,5,0)</f>
        <v>-1.2710188457276673E-13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255.5374979188561</v>
      </c>
      <c r="T122" s="59">
        <f t="shared" si="88"/>
        <v>343.10418468620901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0.5302588744290031</v>
      </c>
      <c r="AA122" s="21">
        <f>EXP(-LN(2)/25)*AA121+(1-EXP(-LN(2)/25))/(LN(2)/25)*Calculateur!V122*Calculateur!X122*VLOOKUP('Données projet'!$B$9,Paramètres!$A$1:$I$89,3,0)*0.475*44/12</f>
        <v>1.3532347877067394</v>
      </c>
      <c r="AB122" s="21">
        <f>EXP(-LN(2)/2)*AB121+(1-EXP(-LN(2)/2))/(LN(2)/2)*V122*Y122*VLOOKUP('Données projet'!$B$9,Paramètres!$A$1:$I$89,3,0)*0.475*44/12</f>
        <v>6.803507878723172E-14</v>
      </c>
      <c r="AC122" s="22">
        <f t="shared" si="57"/>
        <v>1.8834936621358105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1.1368683772161603E-13</v>
      </c>
      <c r="AJ122" s="13">
        <f>AI122*VLOOKUP('Données projet'!$B$10,Paramètres!$A$1:$I$89,3,0)*VLOOKUP('Données projet'!$B$10,Paramètres!$A$1:$I$89,5,0)</f>
        <v>6.3550942286383367E-14</v>
      </c>
      <c r="AK122" s="13">
        <f t="shared" si="89"/>
        <v>1.0064464192543978E-12</v>
      </c>
      <c r="AL122" s="20">
        <f t="shared" si="58"/>
        <v>1.8635787380168604E-12</v>
      </c>
      <c r="AM122" s="59">
        <f t="shared" si="59"/>
        <v>293.33333333333519</v>
      </c>
      <c r="AN122" s="59">
        <f ca="1">AVERAGE(OFFSET($AM$3,0,0,'Données projet'!$E$10+1,1))-AVERAGE(OFFSET($H$3,0,0,'Données projet'!$E$10+1,1))</f>
        <v>224.7049802939942</v>
      </c>
      <c r="AO122" s="59">
        <f t="shared" si="90"/>
        <v>203.48513862195352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0.38287282270644357</v>
      </c>
      <c r="AV122" s="21">
        <f>EXP(-LN(2)/25)*AV121+(1-EXP(-LN(2)/25))/(LN(2)/25)*Calculateur!AQ122*Calculateur!AS122*VLOOKUP('Données projet'!$B$10,Paramètres!$A$1:$I$89,3,0)*0.475*44/12</f>
        <v>1.6554411592812721</v>
      </c>
      <c r="AW122" s="21">
        <f>EXP(-LN(2)/2)*AW121+(1-EXP(-LN(2)/2))/(LN(2)/2)*AQ122*AT122*VLOOKUP('Données projet'!$B$10,Paramètres!$A$1:$I$89,3,0)*0.475*44/12</f>
        <v>3.6016615051402643E-13</v>
      </c>
      <c r="AX122" s="21">
        <f t="shared" si="60"/>
        <v>2.0383139819880758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>
        <f>BD122*VLOOKUP('Données projet'!$B$11,Paramètres!$A$1:$I$89,3,0)*VLOOKUP('Données projet'!$B$11,Paramètres!$A$1:$I$89,5,0)</f>
        <v>0</v>
      </c>
      <c r="BF122" s="13" t="e">
        <f t="shared" si="91"/>
        <v>#NUM!</v>
      </c>
      <c r="BG122" s="20" t="e">
        <f t="shared" si="61"/>
        <v>#NUM!</v>
      </c>
      <c r="BH122" s="59" t="e">
        <f t="shared" si="62"/>
        <v>#NUM!</v>
      </c>
      <c r="BI122" s="59">
        <f ca="1">AVERAGE(OFFSET($BH$3,0,0,'Données projet'!$E$11+1,1))-AVERAGE(OFFSET($H$3,0,0,'Données projet'!$E$11+1,1))</f>
        <v>210.04871822652808</v>
      </c>
      <c r="BJ122" s="59">
        <f t="shared" si="92"/>
        <v>250.17540614049324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1.252867825966369</v>
      </c>
      <c r="BQ122" s="21">
        <f>EXP(-LN(2)/25)*BQ121+(1-EXP(-LN(2)/25))/(LN(2)/25)*Calculateur!BL122*Calculateur!BN122*VLOOKUP('Données projet'!$B$11,Paramètres!$A$1:$I$89,3,0)*0.475*44/12</f>
        <v>2.3597041552640419</v>
      </c>
      <c r="BR122" s="21">
        <f>EXP(-LN(2)/2)*BR121+(1-EXP(-LN(2)/2))/(LN(2)/2)*BL122*BO122*VLOOKUP('Données projet'!$B$11,Paramètres!$A$1:$I$89,3,0)*0.475*44/12</f>
        <v>8.6634491294272159E-13</v>
      </c>
      <c r="BS122" s="22">
        <f t="shared" si="63"/>
        <v>3.6125719812312771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2.2737367544323206E-13</v>
      </c>
      <c r="BZ122" s="13">
        <f>BY122*VLOOKUP('Données projet'!$B$12,Paramètres!$A$1:$I$89,3,0)*VLOOKUP('Données projet'!$B$12,Paramètres!$A$1:$I$89,5,0)</f>
        <v>1.2414602679200471E-13</v>
      </c>
      <c r="CA122" s="13">
        <f t="shared" si="93"/>
        <v>1.8186582995804361E-12</v>
      </c>
      <c r="CB122" s="20">
        <f t="shared" si="64"/>
        <v>3.3837175350986671E-12</v>
      </c>
      <c r="CC122" s="59">
        <f t="shared" si="65"/>
        <v>293.33333333333672</v>
      </c>
      <c r="CD122" s="59">
        <f ca="1">AVERAGE(OFFSET($CC$3,0,0,'Données projet'!$E$12+1,1))-AVERAGE(OFFSET($H$3,0,0,'Données projet'!$E$12+1,1))</f>
        <v>168.72306536277267</v>
      </c>
      <c r="CE122" s="59">
        <f t="shared" si="94"/>
        <v>203.35476578922339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0.52202826081932041</v>
      </c>
      <c r="CL122" s="21">
        <f>EXP(-LN(2)/25)*CL121+(1-EXP(-LN(2)/25))/(LN(2)/25)*Calculateur!CG122*Calculateur!CI122*VLOOKUP('Données projet'!$B$12,Paramètres!$A$1:$I$89,3,0)*0.475*44/12</f>
        <v>1.9488487310192464</v>
      </c>
      <c r="CM122" s="21">
        <f>EXP(-LN(2)/2)*CM121+(1-EXP(-LN(2)/2))/(LN(2)/2)*CG122*CJ122*VLOOKUP('Données projet'!$B$12,Paramètres!$A$1:$I$89,3,0)*0.475*44/12</f>
        <v>8.0484583872468327E-13</v>
      </c>
      <c r="CN122" s="22">
        <f t="shared" si="66"/>
        <v>2.4708769918393716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1277.6923076923067</v>
      </c>
      <c r="CU122" s="17">
        <f>CT122*VLOOKUP('Données projet'!$B$13,Paramètres!$A$1:$I$89,3,0)*VLOOKUP('Données projet'!$B$13,Paramètres!$A$1:$I$89,5,0)</f>
        <v>614.5699999999996</v>
      </c>
      <c r="CV122" s="13">
        <f t="shared" si="95"/>
        <v>134.13240620831178</v>
      </c>
      <c r="CW122" s="20">
        <f t="shared" si="67"/>
        <v>1303.9900241461421</v>
      </c>
      <c r="CX122" s="59">
        <f t="shared" si="68"/>
        <v>1597.3233574794754</v>
      </c>
      <c r="CY122" s="59">
        <f ca="1">AVERAGE(OFFSET($CX$3,0,0,'Données projet'!$E$13+1,1))-AVERAGE(OFFSET($H$3,0,0,'Données projet'!$E$13+1,1))</f>
        <v>304.15237106473313</v>
      </c>
      <c r="CZ122" s="59">
        <f t="shared" si="96"/>
        <v>120.85458928724336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>
        <f>EXP(-LN(2)/35)*DF121+(1-EXP(-LN(2)/35))/(LN(2)/35)*DB122*DC122*VLOOKUP('Données projet'!$B$13,Paramètres!$A$1:$I$89,3,0)*0.475*44/12</f>
        <v>0</v>
      </c>
      <c r="DG122" s="21">
        <f>EXP(-LN(2)/25)*DG121+(1-EXP(-LN(2)/25))/(LN(2)/25)*Calculateur!DB122*Calculateur!DD122*VLOOKUP('Données projet'!$B$13,Paramètres!$A$1:$I$89,3,0)*0.475*44/12</f>
        <v>0</v>
      </c>
      <c r="DH122" s="21">
        <f>EXP(-LN(2)/2)*DH121+(1-EXP(-LN(2)/2))/(LN(2)/2)*DB122*DE122*VLOOKUP('Données projet'!$B$13,Paramètres!$A$1:$I$89,3,0)*0.475*44/12</f>
        <v>0</v>
      </c>
      <c r="DI122" s="22">
        <f t="shared" si="69"/>
        <v>0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425.38461538461536</v>
      </c>
      <c r="DP122" s="17">
        <f>DO122*VLOOKUP('Données projet'!$B$14,Paramètres!$A$1:$I$89,3,0)*VLOOKUP('Données projet'!$B$14,Paramètres!$A$1:$I$89,5,0)</f>
        <v>204.60999999999999</v>
      </c>
      <c r="DQ122" s="13">
        <f t="shared" si="97"/>
        <v>50.755958577224398</v>
      </c>
      <c r="DR122" s="20">
        <f t="shared" si="70"/>
        <v>444.76237785533249</v>
      </c>
      <c r="DS122" s="59">
        <f t="shared" si="71"/>
        <v>738.09571118866575</v>
      </c>
      <c r="DT122" s="59">
        <f ca="1">AVERAGE(OFFSET($DS$3,0,0,'Données projet'!$E$14+1,1))-AVERAGE(OFFSET($H$3,0,0,'Données projet'!$E$14+1,1))</f>
        <v>91.053246648097399</v>
      </c>
      <c r="DU122" s="59">
        <f t="shared" si="98"/>
        <v>64.716270355703955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>
        <f>EXP(-LN(2)/35)*EA121+(1-EXP(-LN(2)/35))/(LN(2)/35)*DW122*DX122*VLOOKUP('Données projet'!$B$14,Paramètres!$A$1:$I$89,3,0)*0.475*44/12</f>
        <v>0</v>
      </c>
      <c r="EB122" s="21">
        <f>EXP(-LN(2)/25)*EB121+(1-EXP(-LN(2)/25))/(LN(2)/25)*Calculateur!DW122*Calculateur!DY122*VLOOKUP('Données projet'!$B$14,Paramètres!$A$1:$I$89,3,0)*0.475*44/12</f>
        <v>0</v>
      </c>
      <c r="EC122" s="21">
        <f>EXP(-LN(2)/2)*EC121+(1-EXP(-LN(2)/2))/(LN(2)/2)*DW122*DZ122*VLOOKUP('Données projet'!$B$14,Paramètres!$A$1:$I$89,3,0)*0.475*44/12</f>
        <v>0</v>
      </c>
      <c r="ED122" s="22">
        <f t="shared" si="72"/>
        <v>0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553.99999999999955</v>
      </c>
      <c r="EK122" s="17">
        <f>EJ122*VLOOKUP('Données projet'!$B$15,Paramètres!$A$1:$I$89,3,0)*VLOOKUP('Données projet'!$B$15,Paramètres!$A$1:$I$89,5,0)</f>
        <v>331.29199999999975</v>
      </c>
      <c r="EL122" s="13">
        <f t="shared" si="99"/>
        <v>77.698110787752</v>
      </c>
      <c r="EM122" s="20">
        <f t="shared" si="73"/>
        <v>712.32444295533423</v>
      </c>
      <c r="EN122" s="59">
        <f t="shared" si="74"/>
        <v>1005.6577762886675</v>
      </c>
      <c r="EO122" s="59">
        <f ca="1">AVERAGE(OFFSET($EN$3,0,0,'Données projet'!$E$15+1,1))-AVERAGE(OFFSET($H$3,0,0,'Données projet'!$E$15+1,1))</f>
        <v>316.58509520829671</v>
      </c>
      <c r="EP122" s="59">
        <f t="shared" si="100"/>
        <v>240.71332110643596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>
        <f>EXP(-LN(2)/35)*EV121+(1-EXP(-LN(2)/35))/(LN(2)/35)*ER122*ES122*VLOOKUP('Données projet'!$B$15,Paramètres!$A$1:$I$89,3,0)*0.475*44/12</f>
        <v>0.43493477036630168</v>
      </c>
      <c r="EW122" s="21">
        <f>EXP(-LN(2)/25)*EW121+(1-EXP(-LN(2)/25))/(LN(2)/25)*Calculateur!ER122*Calculateur!ET122*VLOOKUP('Données projet'!$B$15,Paramètres!$A$1:$I$89,3,0)*0.475*44/12</f>
        <v>1.2945334662696162</v>
      </c>
      <c r="EX122" s="21">
        <f>EXP(-LN(2)/2)*EX121+(1-EXP(-LN(2)/2))/(LN(2)/2)*ER122*EU122*VLOOKUP('Données projet'!$B$15,Paramètres!$A$1:$I$89,3,0)*0.475*44/12</f>
        <v>8.8183800583435312E-13</v>
      </c>
      <c r="EY122" s="22">
        <f t="shared" si="75"/>
        <v>1.7294682366367995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497</v>
      </c>
      <c r="FF122" s="17">
        <f>FE122*VLOOKUP('Données projet'!$B$16,Paramètres!$A$1:$I$89,3,0)*VLOOKUP('Données projet'!$B$16,Paramètres!$A$1:$I$89,5,0)</f>
        <v>297.20600000000002</v>
      </c>
      <c r="FG122" s="13">
        <f t="shared" si="101"/>
        <v>70.590415164571112</v>
      </c>
      <c r="FH122" s="20">
        <f t="shared" si="76"/>
        <v>640.57875641162809</v>
      </c>
      <c r="FI122" s="59">
        <f t="shared" si="77"/>
        <v>933.91208974496135</v>
      </c>
      <c r="FJ122" s="59">
        <f ca="1">AVERAGE(OFFSET($FI$3,0,0,'Données projet'!$E$16+1,1))-AVERAGE(OFFSET($H$3,0,0,'Données projet'!$E$16+1,1))</f>
        <v>270.30888762640245</v>
      </c>
      <c r="FK122" s="59">
        <f t="shared" si="102"/>
        <v>202.23783851977691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>
        <f>EXP(-LN(2)/35)*FQ121+(1-EXP(-LN(2)/35))/(LN(2)/35)*FM122*FN122*VLOOKUP('Données projet'!$B$16,Paramètres!$A$1:$I$89,3,0)*0.475*44/12</f>
        <v>0.36755051016870544</v>
      </c>
      <c r="FR122" s="21">
        <f>EXP(-LN(2)/25)*FR121+(1-EXP(-LN(2)/25))/(LN(2)/25)*Calculateur!FM122*Calculateur!FO122*VLOOKUP('Données projet'!$B$16,Paramètres!$A$1:$I$89,3,0)*0.475*44/12</f>
        <v>1.0424832883332362</v>
      </c>
      <c r="FS122" s="21">
        <f>EXP(-LN(2)/2)*FS121+(1-EXP(-LN(2)/2))/(LN(2)/2)*FM122*FP122*VLOOKUP('Données projet'!$B$16,Paramètres!$A$1:$I$89,3,0)*0.475*44/12</f>
        <v>7.4329869524469066E-13</v>
      </c>
      <c r="FT122" s="22">
        <f t="shared" si="78"/>
        <v>1.4100337985026852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-5.1159076974727213E-13</v>
      </c>
      <c r="GA122" s="17">
        <f>FZ122*VLOOKUP('Données projet'!$B$17,Paramètres!$A$1:$I$89,3,0)*VLOOKUP('Données projet'!$B$17,Paramètres!$A$1:$I$89,5,0)</f>
        <v>-4.0702161641092972E-13</v>
      </c>
      <c r="GB122" s="13" t="e">
        <f t="shared" si="103"/>
        <v>#NUM!</v>
      </c>
      <c r="GC122" s="20" t="e">
        <f t="shared" si="79"/>
        <v>#NUM!</v>
      </c>
      <c r="GD122" s="59" t="e">
        <f t="shared" si="80"/>
        <v>#NUM!</v>
      </c>
      <c r="GE122" s="59">
        <f ca="1">AVERAGE(OFFSET($GD$3,0,0,'Données projet'!$E$17+1,1))-AVERAGE(OFFSET($H$3,0,0,'Données projet'!$E$17+1,1))</f>
        <v>260.20517190557814</v>
      </c>
      <c r="GF122" s="59">
        <f t="shared" si="104"/>
        <v>307.22009971147133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>
        <f>EXP(-LN(2)/35)*GL121+(1-EXP(-LN(2)/35))/(LN(2)/35)*GH122*GI122*VLOOKUP('Données projet'!$B$17,Paramètres!$A$1:$I$89,3,0)*0.475*44/12</f>
        <v>0.5599374559502478</v>
      </c>
      <c r="GM122" s="21">
        <f>EXP(-LN(2)/25)*GM121+(1-EXP(-LN(2)/25))/(LN(2)/25)*Calculateur!GH122*Calculateur!GJ122*VLOOKUP('Données projet'!$B$17,Paramètres!$A$1:$I$89,3,0)*0.475*44/12</f>
        <v>1.7398113658729153</v>
      </c>
      <c r="GN122" s="21">
        <f>EXP(-LN(2)/2)*GN121+(1-EXP(-LN(2)/2))/(LN(2)/2)*GH122*GK122*VLOOKUP('Données projet'!$B$17,Paramètres!$A$1:$I$89,3,0)*0.475*44/12</f>
        <v>9.6623376369395642E-13</v>
      </c>
      <c r="GO122" s="21">
        <f t="shared" si="81"/>
        <v>2.2997488218241293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5.6843418860808015E-14</v>
      </c>
      <c r="GV122" s="17">
        <f>GU122*VLOOKUP('Données projet'!$B$18,Paramètres!$A$1:$I$89,3,0)*VLOOKUP('Données projet'!$B$18,Paramètres!$A$1:$I$89,5,0)</f>
        <v>4.5224624045658861E-14</v>
      </c>
      <c r="GW122" s="13">
        <f t="shared" si="105"/>
        <v>7.4514601661523691E-13</v>
      </c>
      <c r="GX122" s="20">
        <f t="shared" si="82"/>
        <v>1.3765621991510601E-12</v>
      </c>
      <c r="GY122" s="59">
        <f t="shared" si="83"/>
        <v>293.33333333333468</v>
      </c>
      <c r="GZ122" s="59">
        <f ca="1">AVERAGE(OFFSET($GY$3,0,0,'Données projet'!$E$18+1,1))-AVERAGE(OFFSET($H$3,0,0,'Données projet'!$E$18+1,1))</f>
        <v>199.58763537752952</v>
      </c>
      <c r="HA122" s="59">
        <f t="shared" si="106"/>
        <v>242.62852778451929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>
        <f>EXP(-LN(2)/35)*HG121+(1-EXP(-LN(2)/35))/(LN(2)/35)*HC122*HD122*VLOOKUP('Données projet'!$B$18,Paramètres!$A$1:$I$89,3,0)*0.475*44/12</f>
        <v>0</v>
      </c>
      <c r="HH122" s="21">
        <f>EXP(-LN(2)/25)*HH121+(1-EXP(-LN(2)/25))/(LN(2)/25)*Calculateur!HC122*Calculateur!HE122*VLOOKUP('Données projet'!$B$18,Paramètres!$A$1:$I$89,3,0)*0.475*44/12</f>
        <v>0.87187064859041652</v>
      </c>
      <c r="HI122" s="21">
        <f>EXP(-LN(2)/2)*HI121+(1-EXP(-LN(2)/2))/(LN(2)/2)*HC122*HF122*VLOOKUP('Données projet'!$B$18,Paramètres!$A$1:$I$89,3,0)*0.475*44/12</f>
        <v>4.3255402692813187E-13</v>
      </c>
      <c r="HJ122" s="22">
        <f t="shared" si="84"/>
        <v>0.87187064859084906</v>
      </c>
    </row>
    <row r="123" spans="1:218" x14ac:dyDescent="0.2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106.70400000000019</v>
      </c>
      <c r="D123" s="11">
        <f t="shared" si="86"/>
        <v>28.553051684335379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1044.0895217738187</v>
      </c>
      <c r="H123" s="67">
        <f t="shared" si="56"/>
        <v>528.90603168355119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-2.2737367544323206E-13</v>
      </c>
      <c r="O123" s="13">
        <f>N123*VLOOKUP('Données projet'!$B$9,Paramètres!$A$1:$I$89,3,0)*VLOOKUP('Données projet'!$B$9,Paramètres!$A$1:$I$89,5,0)</f>
        <v>-1.2710188457276673E-13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255.5374979188561</v>
      </c>
      <c r="T123" s="59">
        <f t="shared" si="88"/>
        <v>343.10418468620901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0.51986082132742806</v>
      </c>
      <c r="AA123" s="21">
        <f>EXP(-LN(2)/25)*AA122+(1-EXP(-LN(2)/25))/(LN(2)/25)*Calculateur!V123*Calculateur!X123*VLOOKUP('Données projet'!$B$9,Paramètres!$A$1:$I$89,3,0)*0.475*44/12</f>
        <v>1.3162305112733741</v>
      </c>
      <c r="AB123" s="21">
        <f>EXP(-LN(2)/2)*AB122+(1-EXP(-LN(2)/2))/(LN(2)/2)*V123*Y123*VLOOKUP('Données projet'!$B$9,Paramètres!$A$1:$I$89,3,0)*0.475*44/12</f>
        <v>4.8108065569012582E-14</v>
      </c>
      <c r="AC123" s="22">
        <f t="shared" si="57"/>
        <v>1.8360913326008503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1.1368683772161603E-13</v>
      </c>
      <c r="AJ123" s="13">
        <f>AI123*VLOOKUP('Données projet'!$B$10,Paramètres!$A$1:$I$89,3,0)*VLOOKUP('Données projet'!$B$10,Paramètres!$A$1:$I$89,5,0)</f>
        <v>6.3550942286383367E-14</v>
      </c>
      <c r="AK123" s="13">
        <f t="shared" si="89"/>
        <v>1.0064464192543978E-12</v>
      </c>
      <c r="AL123" s="20">
        <f t="shared" si="58"/>
        <v>1.8635787380168604E-12</v>
      </c>
      <c r="AM123" s="59">
        <f t="shared" si="59"/>
        <v>293.33333333333519</v>
      </c>
      <c r="AN123" s="59">
        <f ca="1">AVERAGE(OFFSET($AM$3,0,0,'Données projet'!$E$10+1,1))-AVERAGE(OFFSET($H$3,0,0,'Données projet'!$E$10+1,1))</f>
        <v>224.7049802939942</v>
      </c>
      <c r="AO123" s="59">
        <f t="shared" si="90"/>
        <v>203.48513862195352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0.37536492018253298</v>
      </c>
      <c r="AV123" s="21">
        <f>EXP(-LN(2)/25)*AV122+(1-EXP(-LN(2)/25))/(LN(2)/25)*Calculateur!AQ123*Calculateur!AS123*VLOOKUP('Données projet'!$B$10,Paramètres!$A$1:$I$89,3,0)*0.475*44/12</f>
        <v>1.6101730337248588</v>
      </c>
      <c r="AW123" s="21">
        <f>EXP(-LN(2)/2)*AW122+(1-EXP(-LN(2)/2))/(LN(2)/2)*AQ123*AT123*VLOOKUP('Données projet'!$B$10,Paramètres!$A$1:$I$89,3,0)*0.475*44/12</f>
        <v>2.5467592738232283E-13</v>
      </c>
      <c r="AX123" s="21">
        <f t="shared" si="60"/>
        <v>1.9855379539076463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>
        <f>BD123*VLOOKUP('Données projet'!$B$11,Paramètres!$A$1:$I$89,3,0)*VLOOKUP('Données projet'!$B$11,Paramètres!$A$1:$I$89,5,0)</f>
        <v>0</v>
      </c>
      <c r="BF123" s="13" t="e">
        <f t="shared" si="91"/>
        <v>#NUM!</v>
      </c>
      <c r="BG123" s="20" t="e">
        <f t="shared" si="61"/>
        <v>#NUM!</v>
      </c>
      <c r="BH123" s="59" t="e">
        <f t="shared" si="62"/>
        <v>#NUM!</v>
      </c>
      <c r="BI123" s="59">
        <f ca="1">AVERAGE(OFFSET($BH$3,0,0,'Données projet'!$E$11+1,1))-AVERAGE(OFFSET($H$3,0,0,'Données projet'!$E$11+1,1))</f>
        <v>210.04871822652808</v>
      </c>
      <c r="BJ123" s="59">
        <f t="shared" si="92"/>
        <v>250.17540614049324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1.2282998520730866</v>
      </c>
      <c r="BQ123" s="21">
        <f>EXP(-LN(2)/25)*BQ122+(1-EXP(-LN(2)/25))/(LN(2)/25)*Calculateur!BL123*Calculateur!BN123*VLOOKUP('Données projet'!$B$11,Paramètres!$A$1:$I$89,3,0)*0.475*44/12</f>
        <v>2.2951779210468981</v>
      </c>
      <c r="BR123" s="21">
        <f>EXP(-LN(2)/2)*BR122+(1-EXP(-LN(2)/2))/(LN(2)/2)*BL123*BO123*VLOOKUP('Données projet'!$B$11,Paramètres!$A$1:$I$89,3,0)*0.475*44/12</f>
        <v>6.125983627882676E-13</v>
      </c>
      <c r="BS123" s="22">
        <f t="shared" si="63"/>
        <v>3.5234777731205971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2.2737367544323206E-13</v>
      </c>
      <c r="BZ123" s="13">
        <f>BY123*VLOOKUP('Données projet'!$B$12,Paramètres!$A$1:$I$89,3,0)*VLOOKUP('Données projet'!$B$12,Paramètres!$A$1:$I$89,5,0)</f>
        <v>1.2414602679200471E-13</v>
      </c>
      <c r="CA123" s="13">
        <f t="shared" si="93"/>
        <v>1.8186582995804361E-12</v>
      </c>
      <c r="CB123" s="20">
        <f t="shared" si="64"/>
        <v>3.3837175350986671E-12</v>
      </c>
      <c r="CC123" s="59">
        <f t="shared" si="65"/>
        <v>293.33333333333672</v>
      </c>
      <c r="CD123" s="59">
        <f ca="1">AVERAGE(OFFSET($CC$3,0,0,'Données projet'!$E$12+1,1))-AVERAGE(OFFSET($H$3,0,0,'Données projet'!$E$12+1,1))</f>
        <v>168.72306536277267</v>
      </c>
      <c r="CE123" s="59">
        <f t="shared" si="94"/>
        <v>203.35476578922339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0.51179160503045262</v>
      </c>
      <c r="CL123" s="21">
        <f>EXP(-LN(2)/25)*CL122+(1-EXP(-LN(2)/25))/(LN(2)/25)*Calculateur!CG123*Calculateur!CI123*VLOOKUP('Données projet'!$B$12,Paramètres!$A$1:$I$89,3,0)*0.475*44/12</f>
        <v>1.8955573599840245</v>
      </c>
      <c r="CM123" s="21">
        <f>EXP(-LN(2)/2)*CM122+(1-EXP(-LN(2)/2))/(LN(2)/2)*CG123*CJ123*VLOOKUP('Données projet'!$B$12,Paramètres!$A$1:$I$89,3,0)*0.475*44/12</f>
        <v>5.6911195037199792E-13</v>
      </c>
      <c r="CN123" s="22">
        <f t="shared" si="66"/>
        <v>2.4073489650150464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1277.6923076923067</v>
      </c>
      <c r="CU123" s="17">
        <f>CT123*VLOOKUP('Données projet'!$B$13,Paramètres!$A$1:$I$89,3,0)*VLOOKUP('Données projet'!$B$13,Paramètres!$A$1:$I$89,5,0)</f>
        <v>614.5699999999996</v>
      </c>
      <c r="CV123" s="13">
        <f t="shared" si="95"/>
        <v>134.13240620831178</v>
      </c>
      <c r="CW123" s="20">
        <f t="shared" si="67"/>
        <v>1303.9900241461421</v>
      </c>
      <c r="CX123" s="59">
        <f t="shared" si="68"/>
        <v>1597.3233574794754</v>
      </c>
      <c r="CY123" s="59">
        <f ca="1">AVERAGE(OFFSET($CX$3,0,0,'Données projet'!$E$13+1,1))-AVERAGE(OFFSET($H$3,0,0,'Données projet'!$E$13+1,1))</f>
        <v>304.15237106473313</v>
      </c>
      <c r="CZ123" s="59">
        <f t="shared" si="96"/>
        <v>120.85458928724336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>
        <f>EXP(-LN(2)/35)*DF122+(1-EXP(-LN(2)/35))/(LN(2)/35)*DB123*DC123*VLOOKUP('Données projet'!$B$13,Paramètres!$A$1:$I$89,3,0)*0.475*44/12</f>
        <v>0</v>
      </c>
      <c r="DG123" s="21">
        <f>EXP(-LN(2)/25)*DG122+(1-EXP(-LN(2)/25))/(LN(2)/25)*Calculateur!DB123*Calculateur!DD123*VLOOKUP('Données projet'!$B$13,Paramètres!$A$1:$I$89,3,0)*0.475*44/12</f>
        <v>0</v>
      </c>
      <c r="DH123" s="21">
        <f>EXP(-LN(2)/2)*DH122+(1-EXP(-LN(2)/2))/(LN(2)/2)*DB123*DE123*VLOOKUP('Données projet'!$B$13,Paramètres!$A$1:$I$89,3,0)*0.475*44/12</f>
        <v>0</v>
      </c>
      <c r="DI123" s="22">
        <f t="shared" si="69"/>
        <v>0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425.38461538461536</v>
      </c>
      <c r="DP123" s="17">
        <f>DO123*VLOOKUP('Données projet'!$B$14,Paramètres!$A$1:$I$89,3,0)*VLOOKUP('Données projet'!$B$14,Paramètres!$A$1:$I$89,5,0)</f>
        <v>204.60999999999999</v>
      </c>
      <c r="DQ123" s="13">
        <f t="shared" si="97"/>
        <v>50.755958577224398</v>
      </c>
      <c r="DR123" s="20">
        <f t="shared" si="70"/>
        <v>444.76237785533249</v>
      </c>
      <c r="DS123" s="59">
        <f t="shared" si="71"/>
        <v>738.09571118866575</v>
      </c>
      <c r="DT123" s="59">
        <f ca="1">AVERAGE(OFFSET($DS$3,0,0,'Données projet'!$E$14+1,1))-AVERAGE(OFFSET($H$3,0,0,'Données projet'!$E$14+1,1))</f>
        <v>91.053246648097399</v>
      </c>
      <c r="DU123" s="59">
        <f t="shared" si="98"/>
        <v>64.716270355703955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>
        <f>EXP(-LN(2)/35)*EA122+(1-EXP(-LN(2)/35))/(LN(2)/35)*DW123*DX123*VLOOKUP('Données projet'!$B$14,Paramètres!$A$1:$I$89,3,0)*0.475*44/12</f>
        <v>0</v>
      </c>
      <c r="EB123" s="21">
        <f>EXP(-LN(2)/25)*EB122+(1-EXP(-LN(2)/25))/(LN(2)/25)*Calculateur!DW123*Calculateur!DY123*VLOOKUP('Données projet'!$B$14,Paramètres!$A$1:$I$89,3,0)*0.475*44/12</f>
        <v>0</v>
      </c>
      <c r="EC123" s="21">
        <f>EXP(-LN(2)/2)*EC122+(1-EXP(-LN(2)/2))/(LN(2)/2)*DW123*DZ123*VLOOKUP('Données projet'!$B$14,Paramètres!$A$1:$I$89,3,0)*0.475*44/12</f>
        <v>0</v>
      </c>
      <c r="ED123" s="22">
        <f t="shared" si="72"/>
        <v>0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553.99999999999955</v>
      </c>
      <c r="EK123" s="17">
        <f>EJ123*VLOOKUP('Données projet'!$B$15,Paramètres!$A$1:$I$89,3,0)*VLOOKUP('Données projet'!$B$15,Paramètres!$A$1:$I$89,5,0)</f>
        <v>331.29199999999975</v>
      </c>
      <c r="EL123" s="13">
        <f t="shared" si="99"/>
        <v>77.698110787752</v>
      </c>
      <c r="EM123" s="20">
        <f t="shared" si="73"/>
        <v>712.32444295533423</v>
      </c>
      <c r="EN123" s="59">
        <f t="shared" si="74"/>
        <v>1005.6577762886675</v>
      </c>
      <c r="EO123" s="59">
        <f ca="1">AVERAGE(OFFSET($EN$3,0,0,'Données projet'!$E$15+1,1))-AVERAGE(OFFSET($H$3,0,0,'Données projet'!$E$15+1,1))</f>
        <v>316.58509520829671</v>
      </c>
      <c r="EP123" s="59">
        <f t="shared" si="100"/>
        <v>240.71332110643596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>
        <f>EXP(-LN(2)/35)*EV122+(1-EXP(-LN(2)/35))/(LN(2)/35)*ER123*ES123*VLOOKUP('Données projet'!$B$15,Paramètres!$A$1:$I$89,3,0)*0.475*44/12</f>
        <v>0.42640596480343379</v>
      </c>
      <c r="EW123" s="21">
        <f>EXP(-LN(2)/25)*EW122+(1-EXP(-LN(2)/25))/(LN(2)/25)*Calculateur!ER123*Calculateur!ET123*VLOOKUP('Données projet'!$B$15,Paramètres!$A$1:$I$89,3,0)*0.475*44/12</f>
        <v>1.2591343805579172</v>
      </c>
      <c r="EX123" s="21">
        <f>EXP(-LN(2)/2)*EX122+(1-EXP(-LN(2)/2))/(LN(2)/2)*ER123*EU123*VLOOKUP('Données projet'!$B$15,Paramètres!$A$1:$I$89,3,0)*0.475*44/12</f>
        <v>6.2355363383349334E-13</v>
      </c>
      <c r="EY123" s="22">
        <f t="shared" si="75"/>
        <v>1.6855403453619744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497</v>
      </c>
      <c r="FF123" s="17">
        <f>FE123*VLOOKUP('Données projet'!$B$16,Paramètres!$A$1:$I$89,3,0)*VLOOKUP('Données projet'!$B$16,Paramètres!$A$1:$I$89,5,0)</f>
        <v>297.20600000000002</v>
      </c>
      <c r="FG123" s="13">
        <f t="shared" si="101"/>
        <v>70.590415164571112</v>
      </c>
      <c r="FH123" s="20">
        <f t="shared" si="76"/>
        <v>640.57875641162809</v>
      </c>
      <c r="FI123" s="59">
        <f t="shared" si="77"/>
        <v>933.91208974496135</v>
      </c>
      <c r="FJ123" s="59">
        <f ca="1">AVERAGE(OFFSET($FI$3,0,0,'Données projet'!$E$16+1,1))-AVERAGE(OFFSET($H$3,0,0,'Données projet'!$E$16+1,1))</f>
        <v>270.30888762640245</v>
      </c>
      <c r="FK123" s="59">
        <f t="shared" si="102"/>
        <v>202.23783851977691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>
        <f>EXP(-LN(2)/35)*FQ122+(1-EXP(-LN(2)/35))/(LN(2)/35)*FM123*FN123*VLOOKUP('Données projet'!$B$16,Paramètres!$A$1:$I$89,3,0)*0.475*44/12</f>
        <v>0.36034306884797201</v>
      </c>
      <c r="FR123" s="21">
        <f>EXP(-LN(2)/25)*FR122+(1-EXP(-LN(2)/25))/(LN(2)/25)*Calculateur!FM123*Calculateur!FO123*VLOOKUP('Données projet'!$B$16,Paramètres!$A$1:$I$89,3,0)*0.475*44/12</f>
        <v>1.0139765279919504</v>
      </c>
      <c r="FS123" s="21">
        <f>EXP(-LN(2)/2)*FS122+(1-EXP(-LN(2)/2))/(LN(2)/2)*FM123*FP123*VLOOKUP('Données projet'!$B$16,Paramètres!$A$1:$I$89,3,0)*0.475*44/12</f>
        <v>5.2559154785463374E-13</v>
      </c>
      <c r="FT123" s="22">
        <f t="shared" si="78"/>
        <v>1.374319596840448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-5.1159076974727213E-13</v>
      </c>
      <c r="GA123" s="17">
        <f>FZ123*VLOOKUP('Données projet'!$B$17,Paramètres!$A$1:$I$89,3,0)*VLOOKUP('Données projet'!$B$17,Paramètres!$A$1:$I$89,5,0)</f>
        <v>-4.0702161641092972E-13</v>
      </c>
      <c r="GB123" s="13" t="e">
        <f t="shared" si="103"/>
        <v>#NUM!</v>
      </c>
      <c r="GC123" s="20" t="e">
        <f t="shared" si="79"/>
        <v>#NUM!</v>
      </c>
      <c r="GD123" s="59" t="e">
        <f t="shared" si="80"/>
        <v>#NUM!</v>
      </c>
      <c r="GE123" s="59">
        <f ca="1">AVERAGE(OFFSET($GD$3,0,0,'Données projet'!$E$17+1,1))-AVERAGE(OFFSET($H$3,0,0,'Données projet'!$E$17+1,1))</f>
        <v>260.20517190557814</v>
      </c>
      <c r="GF123" s="59">
        <f t="shared" si="104"/>
        <v>307.22009971147133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>
        <f>EXP(-LN(2)/35)*GL122+(1-EXP(-LN(2)/35))/(LN(2)/35)*GH123*GI123*VLOOKUP('Données projet'!$B$17,Paramètres!$A$1:$I$89,3,0)*0.475*44/12</f>
        <v>0.5489574239671885</v>
      </c>
      <c r="GM123" s="21">
        <f>EXP(-LN(2)/25)*GM122+(1-EXP(-LN(2)/25))/(LN(2)/25)*Calculateur!GH123*Calculateur!GJ123*VLOOKUP('Données projet'!$B$17,Paramètres!$A$1:$I$89,3,0)*0.475*44/12</f>
        <v>1.6922361325804172</v>
      </c>
      <c r="GN123" s="21">
        <f>EXP(-LN(2)/2)*GN122+(1-EXP(-LN(2)/2))/(LN(2)/2)*GH123*GK123*VLOOKUP('Données projet'!$B$17,Paramètres!$A$1:$I$89,3,0)*0.475*44/12</f>
        <v>6.8323044651939671E-13</v>
      </c>
      <c r="GO123" s="21">
        <f t="shared" si="81"/>
        <v>2.2411935565482888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5.6843418860808015E-14</v>
      </c>
      <c r="GV123" s="17">
        <f>GU123*VLOOKUP('Données projet'!$B$18,Paramètres!$A$1:$I$89,3,0)*VLOOKUP('Données projet'!$B$18,Paramètres!$A$1:$I$89,5,0)</f>
        <v>4.5224624045658861E-14</v>
      </c>
      <c r="GW123" s="13">
        <f t="shared" si="105"/>
        <v>7.4514601661523691E-13</v>
      </c>
      <c r="GX123" s="20">
        <f t="shared" si="82"/>
        <v>1.3765621991510601E-12</v>
      </c>
      <c r="GY123" s="59">
        <f t="shared" si="83"/>
        <v>293.33333333333468</v>
      </c>
      <c r="GZ123" s="59">
        <f ca="1">AVERAGE(OFFSET($GY$3,0,0,'Données projet'!$E$18+1,1))-AVERAGE(OFFSET($H$3,0,0,'Données projet'!$E$18+1,1))</f>
        <v>199.58763537752952</v>
      </c>
      <c r="HA123" s="59">
        <f t="shared" si="106"/>
        <v>242.62852778451929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>
        <f>EXP(-LN(2)/35)*HG122+(1-EXP(-LN(2)/35))/(LN(2)/35)*HC123*HD123*VLOOKUP('Données projet'!$B$18,Paramètres!$A$1:$I$89,3,0)*0.475*44/12</f>
        <v>0</v>
      </c>
      <c r="HH123" s="21">
        <f>EXP(-LN(2)/25)*HH122+(1-EXP(-LN(2)/25))/(LN(2)/25)*Calculateur!HC123*Calculateur!HE123*VLOOKUP('Données projet'!$B$18,Paramètres!$A$1:$I$89,3,0)*0.475*44/12</f>
        <v>0.84802929985502684</v>
      </c>
      <c r="HI123" s="21">
        <f>EXP(-LN(2)/2)*HI122+(1-EXP(-LN(2)/2))/(LN(2)/2)*HC123*HF123*VLOOKUP('Données projet'!$B$18,Paramètres!$A$1:$I$89,3,0)*0.475*44/12</f>
        <v>3.0586188567043052E-13</v>
      </c>
      <c r="HJ123" s="22">
        <f t="shared" si="84"/>
        <v>0.84802929985533271</v>
      </c>
    </row>
    <row r="124" spans="1:218" x14ac:dyDescent="0.2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107.59320000000019</v>
      </c>
      <c r="D124" s="11">
        <f t="shared" si="86"/>
        <v>28.763195667267546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1052.5756858525931</v>
      </c>
      <c r="H124" s="67">
        <f t="shared" si="56"/>
        <v>530.8207224538246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-2.2737367544323206E-13</v>
      </c>
      <c r="O124" s="13">
        <f>N124*VLOOKUP('Données projet'!$B$9,Paramètres!$A$1:$I$89,3,0)*VLOOKUP('Données projet'!$B$9,Paramètres!$A$1:$I$89,5,0)</f>
        <v>-1.2710188457276673E-13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255.5374979188561</v>
      </c>
      <c r="T124" s="59">
        <f t="shared" si="88"/>
        <v>343.10418468620901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0.50966666770498881</v>
      </c>
      <c r="AA124" s="21">
        <f>EXP(-LN(2)/25)*AA123+(1-EXP(-LN(2)/25))/(LN(2)/25)*Calculateur!V124*Calculateur!X124*VLOOKUP('Données projet'!$B$9,Paramètres!$A$1:$I$89,3,0)*0.475*44/12</f>
        <v>1.2802381187250493</v>
      </c>
      <c r="AB124" s="21">
        <f>EXP(-LN(2)/2)*AB123+(1-EXP(-LN(2)/2))/(LN(2)/2)*V124*Y124*VLOOKUP('Données projet'!$B$9,Paramètres!$A$1:$I$89,3,0)*0.475*44/12</f>
        <v>3.401753939361586E-14</v>
      </c>
      <c r="AC124" s="22">
        <f t="shared" si="57"/>
        <v>1.7899047864300721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1.1368683772161603E-13</v>
      </c>
      <c r="AJ124" s="13">
        <f>AI124*VLOOKUP('Données projet'!$B$10,Paramètres!$A$1:$I$89,3,0)*VLOOKUP('Données projet'!$B$10,Paramètres!$A$1:$I$89,5,0)</f>
        <v>6.3550942286383367E-14</v>
      </c>
      <c r="AK124" s="13">
        <f t="shared" si="89"/>
        <v>1.0064464192543978E-12</v>
      </c>
      <c r="AL124" s="20">
        <f t="shared" si="58"/>
        <v>1.8635787380168604E-12</v>
      </c>
      <c r="AM124" s="59">
        <f t="shared" si="59"/>
        <v>293.33333333333519</v>
      </c>
      <c r="AN124" s="59">
        <f ca="1">AVERAGE(OFFSET($AM$3,0,0,'Données projet'!$E$10+1,1))-AVERAGE(OFFSET($H$3,0,0,'Données projet'!$E$10+1,1))</f>
        <v>224.7049802939942</v>
      </c>
      <c r="AO124" s="59">
        <f t="shared" si="90"/>
        <v>203.48513862195352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0.36800424304774787</v>
      </c>
      <c r="AV124" s="21">
        <f>EXP(-LN(2)/25)*AV123+(1-EXP(-LN(2)/25))/(LN(2)/25)*Calculateur!AQ124*Calculateur!AS124*VLOOKUP('Données projet'!$B$10,Paramètres!$A$1:$I$89,3,0)*0.475*44/12</f>
        <v>1.5661427674423327</v>
      </c>
      <c r="AW124" s="21">
        <f>EXP(-LN(2)/2)*AW123+(1-EXP(-LN(2)/2))/(LN(2)/2)*AQ124*AT124*VLOOKUP('Données projet'!$B$10,Paramètres!$A$1:$I$89,3,0)*0.475*44/12</f>
        <v>1.8008307525701321E-13</v>
      </c>
      <c r="AX124" s="21">
        <f t="shared" si="60"/>
        <v>1.9341470104902607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>
        <f>BD124*VLOOKUP('Données projet'!$B$11,Paramètres!$A$1:$I$89,3,0)*VLOOKUP('Données projet'!$B$11,Paramètres!$A$1:$I$89,5,0)</f>
        <v>0</v>
      </c>
      <c r="BF124" s="13" t="e">
        <f t="shared" si="91"/>
        <v>#NUM!</v>
      </c>
      <c r="BG124" s="20" t="e">
        <f t="shared" si="61"/>
        <v>#NUM!</v>
      </c>
      <c r="BH124" s="59" t="e">
        <f t="shared" si="62"/>
        <v>#NUM!</v>
      </c>
      <c r="BI124" s="59">
        <f ca="1">AVERAGE(OFFSET($BH$3,0,0,'Données projet'!$E$11+1,1))-AVERAGE(OFFSET($H$3,0,0,'Données projet'!$E$11+1,1))</f>
        <v>210.04871822652808</v>
      </c>
      <c r="BJ124" s="59">
        <f t="shared" si="92"/>
        <v>250.17540614049324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1.2042136411628668</v>
      </c>
      <c r="BQ124" s="21">
        <f>EXP(-LN(2)/25)*BQ123+(1-EXP(-LN(2)/25))/(LN(2)/25)*Calculateur!BL124*Calculateur!BN124*VLOOKUP('Données projet'!$B$11,Paramètres!$A$1:$I$89,3,0)*0.475*44/12</f>
        <v>2.2324161600977095</v>
      </c>
      <c r="BR124" s="21">
        <f>EXP(-LN(2)/2)*BR123+(1-EXP(-LN(2)/2))/(LN(2)/2)*BL124*BO124*VLOOKUP('Données projet'!$B$11,Paramètres!$A$1:$I$89,3,0)*0.475*44/12</f>
        <v>4.331724564713608E-13</v>
      </c>
      <c r="BS124" s="22">
        <f t="shared" si="63"/>
        <v>3.436629801261009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2.2737367544323206E-13</v>
      </c>
      <c r="BZ124" s="13">
        <f>BY124*VLOOKUP('Données projet'!$B$12,Paramètres!$A$1:$I$89,3,0)*VLOOKUP('Données projet'!$B$12,Paramètres!$A$1:$I$89,5,0)</f>
        <v>1.2414602679200471E-13</v>
      </c>
      <c r="CA124" s="13">
        <f t="shared" si="93"/>
        <v>1.8186582995804361E-12</v>
      </c>
      <c r="CB124" s="20">
        <f t="shared" si="64"/>
        <v>3.3837175350986671E-12</v>
      </c>
      <c r="CC124" s="59">
        <f t="shared" si="65"/>
        <v>293.33333333333672</v>
      </c>
      <c r="CD124" s="59">
        <f ca="1">AVERAGE(OFFSET($CC$3,0,0,'Données projet'!$E$12+1,1))-AVERAGE(OFFSET($H$3,0,0,'Données projet'!$E$12+1,1))</f>
        <v>168.72306536277267</v>
      </c>
      <c r="CE124" s="59">
        <f t="shared" si="94"/>
        <v>203.35476578922339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0.50175568381786106</v>
      </c>
      <c r="CL124" s="21">
        <f>EXP(-LN(2)/25)*CL123+(1-EXP(-LN(2)/25))/(LN(2)/25)*Calculateur!CG124*Calculateur!CI124*VLOOKUP('Données projet'!$B$12,Paramètres!$A$1:$I$89,3,0)*0.475*44/12</f>
        <v>1.8437232442922322</v>
      </c>
      <c r="CM124" s="21">
        <f>EXP(-LN(2)/2)*CM123+(1-EXP(-LN(2)/2))/(LN(2)/2)*CG124*CJ124*VLOOKUP('Données projet'!$B$12,Paramètres!$A$1:$I$89,3,0)*0.475*44/12</f>
        <v>4.0242291936234164E-13</v>
      </c>
      <c r="CN124" s="22">
        <f t="shared" si="66"/>
        <v>2.3454789281104955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1277.6923076923067</v>
      </c>
      <c r="CU124" s="17">
        <f>CT124*VLOOKUP('Données projet'!$B$13,Paramètres!$A$1:$I$89,3,0)*VLOOKUP('Données projet'!$B$13,Paramètres!$A$1:$I$89,5,0)</f>
        <v>614.5699999999996</v>
      </c>
      <c r="CV124" s="13">
        <f t="shared" si="95"/>
        <v>134.13240620831178</v>
      </c>
      <c r="CW124" s="20">
        <f t="shared" si="67"/>
        <v>1303.9900241461421</v>
      </c>
      <c r="CX124" s="59">
        <f t="shared" si="68"/>
        <v>1597.3233574794754</v>
      </c>
      <c r="CY124" s="59">
        <f ca="1">AVERAGE(OFFSET($CX$3,0,0,'Données projet'!$E$13+1,1))-AVERAGE(OFFSET($H$3,0,0,'Données projet'!$E$13+1,1))</f>
        <v>304.15237106473313</v>
      </c>
      <c r="CZ124" s="59">
        <f t="shared" si="96"/>
        <v>120.85458928724336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>
        <f>EXP(-LN(2)/35)*DF123+(1-EXP(-LN(2)/35))/(LN(2)/35)*DB124*DC124*VLOOKUP('Données projet'!$B$13,Paramètres!$A$1:$I$89,3,0)*0.475*44/12</f>
        <v>0</v>
      </c>
      <c r="DG124" s="21">
        <f>EXP(-LN(2)/25)*DG123+(1-EXP(-LN(2)/25))/(LN(2)/25)*Calculateur!DB124*Calculateur!DD124*VLOOKUP('Données projet'!$B$13,Paramètres!$A$1:$I$89,3,0)*0.475*44/12</f>
        <v>0</v>
      </c>
      <c r="DH124" s="21">
        <f>EXP(-LN(2)/2)*DH123+(1-EXP(-LN(2)/2))/(LN(2)/2)*DB124*DE124*VLOOKUP('Données projet'!$B$13,Paramètres!$A$1:$I$89,3,0)*0.475*44/12</f>
        <v>0</v>
      </c>
      <c r="DI124" s="22">
        <f t="shared" si="69"/>
        <v>0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425.38461538461536</v>
      </c>
      <c r="DP124" s="17">
        <f>DO124*VLOOKUP('Données projet'!$B$14,Paramètres!$A$1:$I$89,3,0)*VLOOKUP('Données projet'!$B$14,Paramètres!$A$1:$I$89,5,0)</f>
        <v>204.60999999999999</v>
      </c>
      <c r="DQ124" s="13">
        <f t="shared" si="97"/>
        <v>50.755958577224398</v>
      </c>
      <c r="DR124" s="20">
        <f t="shared" si="70"/>
        <v>444.76237785533249</v>
      </c>
      <c r="DS124" s="59">
        <f t="shared" si="71"/>
        <v>738.09571118866575</v>
      </c>
      <c r="DT124" s="59">
        <f ca="1">AVERAGE(OFFSET($DS$3,0,0,'Données projet'!$E$14+1,1))-AVERAGE(OFFSET($H$3,0,0,'Données projet'!$E$14+1,1))</f>
        <v>91.053246648097399</v>
      </c>
      <c r="DU124" s="59">
        <f t="shared" si="98"/>
        <v>64.716270355703955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>
        <f>EXP(-LN(2)/35)*EA123+(1-EXP(-LN(2)/35))/(LN(2)/35)*DW124*DX124*VLOOKUP('Données projet'!$B$14,Paramètres!$A$1:$I$89,3,0)*0.475*44/12</f>
        <v>0</v>
      </c>
      <c r="EB124" s="21">
        <f>EXP(-LN(2)/25)*EB123+(1-EXP(-LN(2)/25))/(LN(2)/25)*Calculateur!DW124*Calculateur!DY124*VLOOKUP('Données projet'!$B$14,Paramètres!$A$1:$I$89,3,0)*0.475*44/12</f>
        <v>0</v>
      </c>
      <c r="EC124" s="21">
        <f>EXP(-LN(2)/2)*EC123+(1-EXP(-LN(2)/2))/(LN(2)/2)*DW124*DZ124*VLOOKUP('Données projet'!$B$14,Paramètres!$A$1:$I$89,3,0)*0.475*44/12</f>
        <v>0</v>
      </c>
      <c r="ED124" s="22">
        <f t="shared" si="72"/>
        <v>0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553.99999999999955</v>
      </c>
      <c r="EK124" s="17">
        <f>EJ124*VLOOKUP('Données projet'!$B$15,Paramètres!$A$1:$I$89,3,0)*VLOOKUP('Données projet'!$B$15,Paramètres!$A$1:$I$89,5,0)</f>
        <v>331.29199999999975</v>
      </c>
      <c r="EL124" s="13">
        <f t="shared" si="99"/>
        <v>77.698110787752</v>
      </c>
      <c r="EM124" s="20">
        <f t="shared" si="73"/>
        <v>712.32444295533423</v>
      </c>
      <c r="EN124" s="59">
        <f t="shared" si="74"/>
        <v>1005.6577762886675</v>
      </c>
      <c r="EO124" s="59">
        <f ca="1">AVERAGE(OFFSET($EN$3,0,0,'Données projet'!$E$15+1,1))-AVERAGE(OFFSET($H$3,0,0,'Données projet'!$E$15+1,1))</f>
        <v>316.58509520829671</v>
      </c>
      <c r="EP124" s="59">
        <f t="shared" si="100"/>
        <v>240.71332110643596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>
        <f>EXP(-LN(2)/35)*EV123+(1-EXP(-LN(2)/35))/(LN(2)/35)*ER124*ES124*VLOOKUP('Données projet'!$B$15,Paramètres!$A$1:$I$89,3,0)*0.475*44/12</f>
        <v>0.418044403915596</v>
      </c>
      <c r="EW124" s="21">
        <f>EXP(-LN(2)/25)*EW123+(1-EXP(-LN(2)/25))/(LN(2)/25)*Calculateur!ER124*Calculateur!ET124*VLOOKUP('Données projet'!$B$15,Paramètres!$A$1:$I$89,3,0)*0.475*44/12</f>
        <v>1.2247032847065615</v>
      </c>
      <c r="EX124" s="21">
        <f>EXP(-LN(2)/2)*EX123+(1-EXP(-LN(2)/2))/(LN(2)/2)*ER124*EU124*VLOOKUP('Données projet'!$B$15,Paramètres!$A$1:$I$89,3,0)*0.475*44/12</f>
        <v>4.4091900291717656E-13</v>
      </c>
      <c r="EY124" s="22">
        <f t="shared" si="75"/>
        <v>1.6427476886225985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497</v>
      </c>
      <c r="FF124" s="17">
        <f>FE124*VLOOKUP('Données projet'!$B$16,Paramètres!$A$1:$I$89,3,0)*VLOOKUP('Données projet'!$B$16,Paramètres!$A$1:$I$89,5,0)</f>
        <v>297.20600000000002</v>
      </c>
      <c r="FG124" s="13">
        <f t="shared" si="101"/>
        <v>70.590415164571112</v>
      </c>
      <c r="FH124" s="20">
        <f t="shared" si="76"/>
        <v>640.57875641162809</v>
      </c>
      <c r="FI124" s="59">
        <f t="shared" si="77"/>
        <v>933.91208974496135</v>
      </c>
      <c r="FJ124" s="59">
        <f ca="1">AVERAGE(OFFSET($FI$3,0,0,'Données projet'!$E$16+1,1))-AVERAGE(OFFSET($H$3,0,0,'Données projet'!$E$16+1,1))</f>
        <v>270.30888762640245</v>
      </c>
      <c r="FK124" s="59">
        <f t="shared" si="102"/>
        <v>202.23783851977691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>
        <f>EXP(-LN(2)/35)*FQ123+(1-EXP(-LN(2)/35))/(LN(2)/35)*FM124*FN124*VLOOKUP('Données projet'!$B$16,Paramètres!$A$1:$I$89,3,0)*0.475*44/12</f>
        <v>0.35327696105543305</v>
      </c>
      <c r="FR124" s="21">
        <f>EXP(-LN(2)/25)*FR123+(1-EXP(-LN(2)/25))/(LN(2)/25)*Calculateur!FM124*Calculateur!FO124*VLOOKUP('Données projet'!$B$16,Paramètres!$A$1:$I$89,3,0)*0.475*44/12</f>
        <v>0.98624928651130239</v>
      </c>
      <c r="FS124" s="21">
        <f>EXP(-LN(2)/2)*FS123+(1-EXP(-LN(2)/2))/(LN(2)/2)*FM124*FP124*VLOOKUP('Données projet'!$B$16,Paramètres!$A$1:$I$89,3,0)*0.475*44/12</f>
        <v>3.7164934762234533E-13</v>
      </c>
      <c r="FT124" s="22">
        <f t="shared" si="78"/>
        <v>1.339526247567107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-5.1159076974727213E-13</v>
      </c>
      <c r="GA124" s="17">
        <f>FZ124*VLOOKUP('Données projet'!$B$17,Paramètres!$A$1:$I$89,3,0)*VLOOKUP('Données projet'!$B$17,Paramètres!$A$1:$I$89,5,0)</f>
        <v>-4.0702161641092972E-13</v>
      </c>
      <c r="GB124" s="13" t="e">
        <f t="shared" si="103"/>
        <v>#NUM!</v>
      </c>
      <c r="GC124" s="20" t="e">
        <f t="shared" si="79"/>
        <v>#NUM!</v>
      </c>
      <c r="GD124" s="59" t="e">
        <f t="shared" si="80"/>
        <v>#NUM!</v>
      </c>
      <c r="GE124" s="59">
        <f ca="1">AVERAGE(OFFSET($GD$3,0,0,'Données projet'!$E$17+1,1))-AVERAGE(OFFSET($H$3,0,0,'Données projet'!$E$17+1,1))</f>
        <v>260.20517190557814</v>
      </c>
      <c r="GF124" s="59">
        <f t="shared" si="104"/>
        <v>307.22009971147133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>
        <f>EXP(-LN(2)/35)*GL123+(1-EXP(-LN(2)/35))/(LN(2)/35)*GH124*GI124*VLOOKUP('Données projet'!$B$17,Paramètres!$A$1:$I$89,3,0)*0.475*44/12</f>
        <v>0.53819270371415873</v>
      </c>
      <c r="GM124" s="21">
        <f>EXP(-LN(2)/25)*GM123+(1-EXP(-LN(2)/25))/(LN(2)/25)*Calculateur!GH124*Calculateur!GJ124*VLOOKUP('Données projet'!$B$17,Paramètres!$A$1:$I$89,3,0)*0.475*44/12</f>
        <v>1.6459618465441752</v>
      </c>
      <c r="GN124" s="21">
        <f>EXP(-LN(2)/2)*GN123+(1-EXP(-LN(2)/2))/(LN(2)/2)*GH124*GK124*VLOOKUP('Données projet'!$B$17,Paramètres!$A$1:$I$89,3,0)*0.475*44/12</f>
        <v>4.8311688184697821E-13</v>
      </c>
      <c r="GO124" s="21">
        <f t="shared" si="81"/>
        <v>2.1841545502588171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5.6843418860808015E-14</v>
      </c>
      <c r="GV124" s="17">
        <f>GU124*VLOOKUP('Données projet'!$B$18,Paramètres!$A$1:$I$89,3,0)*VLOOKUP('Données projet'!$B$18,Paramètres!$A$1:$I$89,5,0)</f>
        <v>4.5224624045658861E-14</v>
      </c>
      <c r="GW124" s="13">
        <f t="shared" si="105"/>
        <v>7.4514601661523691E-13</v>
      </c>
      <c r="GX124" s="20">
        <f t="shared" si="82"/>
        <v>1.3765621991510601E-12</v>
      </c>
      <c r="GY124" s="59">
        <f t="shared" si="83"/>
        <v>293.33333333333468</v>
      </c>
      <c r="GZ124" s="59">
        <f ca="1">AVERAGE(OFFSET($GY$3,0,0,'Données projet'!$E$18+1,1))-AVERAGE(OFFSET($H$3,0,0,'Données projet'!$E$18+1,1))</f>
        <v>199.58763537752952</v>
      </c>
      <c r="HA124" s="59">
        <f t="shared" si="106"/>
        <v>242.62852778451929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>
        <f>EXP(-LN(2)/35)*HG123+(1-EXP(-LN(2)/35))/(LN(2)/35)*HC124*HD124*VLOOKUP('Données projet'!$B$18,Paramètres!$A$1:$I$89,3,0)*0.475*44/12</f>
        <v>0</v>
      </c>
      <c r="HH124" s="21">
        <f>EXP(-LN(2)/25)*HH123+(1-EXP(-LN(2)/25))/(LN(2)/25)*Calculateur!HC124*Calculateur!HE124*VLOOKUP('Données projet'!$B$18,Paramètres!$A$1:$I$89,3,0)*0.475*44/12</f>
        <v>0.82483989405456848</v>
      </c>
      <c r="HI124" s="21">
        <f>EXP(-LN(2)/2)*HI123+(1-EXP(-LN(2)/2))/(LN(2)/2)*HC124*HF124*VLOOKUP('Données projet'!$B$18,Paramètres!$A$1:$I$89,3,0)*0.475*44/12</f>
        <v>2.1627701346406593E-13</v>
      </c>
      <c r="HJ124" s="22">
        <f t="shared" si="84"/>
        <v>0.82483989405478475</v>
      </c>
    </row>
    <row r="125" spans="1:218" x14ac:dyDescent="0.2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108.4824000000002</v>
      </c>
      <c r="D125" s="11">
        <f t="shared" si="86"/>
        <v>28.973137589932421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1061.060290167901</v>
      </c>
      <c r="H125" s="67">
        <f t="shared" si="56"/>
        <v>532.73506130246597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-2.2737367544323206E-13</v>
      </c>
      <c r="O125" s="13">
        <f>N125*VLOOKUP('Données projet'!$B$9,Paramètres!$A$1:$I$89,3,0)*VLOOKUP('Données projet'!$B$9,Paramètres!$A$1:$I$89,5,0)</f>
        <v>-1.2710188457276673E-13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255.5374979188561</v>
      </c>
      <c r="T125" s="59">
        <f t="shared" si="88"/>
        <v>343.10418468620901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0.4996724152172658</v>
      </c>
      <c r="AA125" s="21">
        <f>EXP(-LN(2)/25)*AA124+(1-EXP(-LN(2)/25))/(LN(2)/25)*Calculateur!V125*Calculateur!X125*VLOOKUP('Données projet'!$B$9,Paramètres!$A$1:$I$89,3,0)*0.475*44/12</f>
        <v>1.2452299400437161</v>
      </c>
      <c r="AB125" s="21">
        <f>EXP(-LN(2)/2)*AB124+(1-EXP(-LN(2)/2))/(LN(2)/2)*V125*Y125*VLOOKUP('Données projet'!$B$9,Paramètres!$A$1:$I$89,3,0)*0.475*44/12</f>
        <v>2.4054032784506291E-14</v>
      </c>
      <c r="AC125" s="22">
        <f t="shared" si="57"/>
        <v>1.7449023552610059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1.1368683772161603E-13</v>
      </c>
      <c r="AJ125" s="13">
        <f>AI125*VLOOKUP('Données projet'!$B$10,Paramètres!$A$1:$I$89,3,0)*VLOOKUP('Données projet'!$B$10,Paramètres!$A$1:$I$89,5,0)</f>
        <v>6.3550942286383367E-14</v>
      </c>
      <c r="AK125" s="13">
        <f t="shared" si="89"/>
        <v>1.0064464192543978E-12</v>
      </c>
      <c r="AL125" s="20">
        <f t="shared" si="58"/>
        <v>1.8635787380168604E-12</v>
      </c>
      <c r="AM125" s="59">
        <f t="shared" si="59"/>
        <v>293.33333333333519</v>
      </c>
      <c r="AN125" s="59">
        <f ca="1">AVERAGE(OFFSET($AM$3,0,0,'Données projet'!$E$10+1,1))-AVERAGE(OFFSET($H$3,0,0,'Données projet'!$E$10+1,1))</f>
        <v>224.7049802939942</v>
      </c>
      <c r="AO125" s="59">
        <f t="shared" si="90"/>
        <v>203.48513862195352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0.36078790430200619</v>
      </c>
      <c r="AV125" s="21">
        <f>EXP(-LN(2)/25)*AV124+(1-EXP(-LN(2)/25))/(LN(2)/25)*Calculateur!AQ125*Calculateur!AS125*VLOOKUP('Données projet'!$B$10,Paramètres!$A$1:$I$89,3,0)*0.475*44/12</f>
        <v>1.5233165111067535</v>
      </c>
      <c r="AW125" s="21">
        <f>EXP(-LN(2)/2)*AW124+(1-EXP(-LN(2)/2))/(LN(2)/2)*AQ125*AT125*VLOOKUP('Données projet'!$B$10,Paramètres!$A$1:$I$89,3,0)*0.475*44/12</f>
        <v>1.2733796369116141E-13</v>
      </c>
      <c r="AX125" s="21">
        <f t="shared" si="60"/>
        <v>1.8841044154088868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>
        <f>BD125*VLOOKUP('Données projet'!$B$11,Paramètres!$A$1:$I$89,3,0)*VLOOKUP('Données projet'!$B$11,Paramètres!$A$1:$I$89,5,0)</f>
        <v>0</v>
      </c>
      <c r="BF125" s="13" t="e">
        <f t="shared" si="91"/>
        <v>#NUM!</v>
      </c>
      <c r="BG125" s="20" t="e">
        <f t="shared" si="61"/>
        <v>#NUM!</v>
      </c>
      <c r="BH125" s="59" t="e">
        <f t="shared" si="62"/>
        <v>#NUM!</v>
      </c>
      <c r="BI125" s="59">
        <f ca="1">AVERAGE(OFFSET($BH$3,0,0,'Données projet'!$E$11+1,1))-AVERAGE(OFFSET($H$3,0,0,'Données projet'!$E$11+1,1))</f>
        <v>210.04871822652808</v>
      </c>
      <c r="BJ125" s="59">
        <f t="shared" si="92"/>
        <v>250.17540614049324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1.1805997461574584</v>
      </c>
      <c r="BQ125" s="21">
        <f>EXP(-LN(2)/25)*BQ124+(1-EXP(-LN(2)/25))/(LN(2)/25)*Calculateur!BL125*Calculateur!BN125*VLOOKUP('Données projet'!$B$11,Paramètres!$A$1:$I$89,3,0)*0.475*44/12</f>
        <v>2.1713706228021739</v>
      </c>
      <c r="BR125" s="21">
        <f>EXP(-LN(2)/2)*BR124+(1-EXP(-LN(2)/2))/(LN(2)/2)*BL125*BO125*VLOOKUP('Données projet'!$B$11,Paramètres!$A$1:$I$89,3,0)*0.475*44/12</f>
        <v>3.062991813941338E-13</v>
      </c>
      <c r="BS125" s="22">
        <f t="shared" si="63"/>
        <v>3.3519703689599387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2.2737367544323206E-13</v>
      </c>
      <c r="BZ125" s="13">
        <f>BY125*VLOOKUP('Données projet'!$B$12,Paramètres!$A$1:$I$89,3,0)*VLOOKUP('Données projet'!$B$12,Paramètres!$A$1:$I$89,5,0)</f>
        <v>1.2414602679200471E-13</v>
      </c>
      <c r="CA125" s="13">
        <f t="shared" si="93"/>
        <v>1.8186582995804361E-12</v>
      </c>
      <c r="CB125" s="20">
        <f t="shared" si="64"/>
        <v>3.3837175350986671E-12</v>
      </c>
      <c r="CC125" s="59">
        <f t="shared" si="65"/>
        <v>293.33333333333672</v>
      </c>
      <c r="CD125" s="59">
        <f ca="1">AVERAGE(OFFSET($CC$3,0,0,'Données projet'!$E$12+1,1))-AVERAGE(OFFSET($H$3,0,0,'Données projet'!$E$12+1,1))</f>
        <v>168.72306536277267</v>
      </c>
      <c r="CE125" s="59">
        <f t="shared" si="94"/>
        <v>203.35476578922339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0.49191656089894092</v>
      </c>
      <c r="CL125" s="21">
        <f>EXP(-LN(2)/25)*CL124+(1-EXP(-LN(2)/25))/(LN(2)/25)*Calculateur!CG125*Calculateur!CI125*VLOOKUP('Données projet'!$B$12,Paramètres!$A$1:$I$89,3,0)*0.475*44/12</f>
        <v>1.7933065352198696</v>
      </c>
      <c r="CM125" s="21">
        <f>EXP(-LN(2)/2)*CM124+(1-EXP(-LN(2)/2))/(LN(2)/2)*CG125*CJ125*VLOOKUP('Données projet'!$B$12,Paramètres!$A$1:$I$89,3,0)*0.475*44/12</f>
        <v>2.8455597518599896E-13</v>
      </c>
      <c r="CN125" s="22">
        <f t="shared" si="66"/>
        <v>2.2852230961190951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1277.6923076923067</v>
      </c>
      <c r="CU125" s="17">
        <f>CT125*VLOOKUP('Données projet'!$B$13,Paramètres!$A$1:$I$89,3,0)*VLOOKUP('Données projet'!$B$13,Paramètres!$A$1:$I$89,5,0)</f>
        <v>614.5699999999996</v>
      </c>
      <c r="CV125" s="13">
        <f t="shared" si="95"/>
        <v>134.13240620831178</v>
      </c>
      <c r="CW125" s="20">
        <f t="shared" si="67"/>
        <v>1303.9900241461421</v>
      </c>
      <c r="CX125" s="59">
        <f t="shared" si="68"/>
        <v>1597.3233574794754</v>
      </c>
      <c r="CY125" s="59">
        <f ca="1">AVERAGE(OFFSET($CX$3,0,0,'Données projet'!$E$13+1,1))-AVERAGE(OFFSET($H$3,0,0,'Données projet'!$E$13+1,1))</f>
        <v>304.15237106473313</v>
      </c>
      <c r="CZ125" s="59">
        <f t="shared" si="96"/>
        <v>120.85458928724336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>
        <f>EXP(-LN(2)/35)*DF124+(1-EXP(-LN(2)/35))/(LN(2)/35)*DB125*DC125*VLOOKUP('Données projet'!$B$13,Paramètres!$A$1:$I$89,3,0)*0.475*44/12</f>
        <v>0</v>
      </c>
      <c r="DG125" s="21">
        <f>EXP(-LN(2)/25)*DG124+(1-EXP(-LN(2)/25))/(LN(2)/25)*Calculateur!DB125*Calculateur!DD125*VLOOKUP('Données projet'!$B$13,Paramètres!$A$1:$I$89,3,0)*0.475*44/12</f>
        <v>0</v>
      </c>
      <c r="DH125" s="21">
        <f>EXP(-LN(2)/2)*DH124+(1-EXP(-LN(2)/2))/(LN(2)/2)*DB125*DE125*VLOOKUP('Données projet'!$B$13,Paramètres!$A$1:$I$89,3,0)*0.475*44/12</f>
        <v>0</v>
      </c>
      <c r="DI125" s="22">
        <f t="shared" si="69"/>
        <v>0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425.38461538461536</v>
      </c>
      <c r="DP125" s="17">
        <f>DO125*VLOOKUP('Données projet'!$B$14,Paramètres!$A$1:$I$89,3,0)*VLOOKUP('Données projet'!$B$14,Paramètres!$A$1:$I$89,5,0)</f>
        <v>204.60999999999999</v>
      </c>
      <c r="DQ125" s="13">
        <f t="shared" si="97"/>
        <v>50.755958577224398</v>
      </c>
      <c r="DR125" s="20">
        <f t="shared" si="70"/>
        <v>444.76237785533249</v>
      </c>
      <c r="DS125" s="59">
        <f t="shared" si="71"/>
        <v>738.09571118866575</v>
      </c>
      <c r="DT125" s="59">
        <f ca="1">AVERAGE(OFFSET($DS$3,0,0,'Données projet'!$E$14+1,1))-AVERAGE(OFFSET($H$3,0,0,'Données projet'!$E$14+1,1))</f>
        <v>91.053246648097399</v>
      </c>
      <c r="DU125" s="59">
        <f t="shared" si="98"/>
        <v>64.716270355703955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>
        <f>EXP(-LN(2)/35)*EA124+(1-EXP(-LN(2)/35))/(LN(2)/35)*DW125*DX125*VLOOKUP('Données projet'!$B$14,Paramètres!$A$1:$I$89,3,0)*0.475*44/12</f>
        <v>0</v>
      </c>
      <c r="EB125" s="21">
        <f>EXP(-LN(2)/25)*EB124+(1-EXP(-LN(2)/25))/(LN(2)/25)*Calculateur!DW125*Calculateur!DY125*VLOOKUP('Données projet'!$B$14,Paramètres!$A$1:$I$89,3,0)*0.475*44/12</f>
        <v>0</v>
      </c>
      <c r="EC125" s="21">
        <f>EXP(-LN(2)/2)*EC124+(1-EXP(-LN(2)/2))/(LN(2)/2)*DW125*DZ125*VLOOKUP('Données projet'!$B$14,Paramètres!$A$1:$I$89,3,0)*0.475*44/12</f>
        <v>0</v>
      </c>
      <c r="ED125" s="22">
        <f t="shared" si="72"/>
        <v>0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553.99999999999955</v>
      </c>
      <c r="EK125" s="17">
        <f>EJ125*VLOOKUP('Données projet'!$B$15,Paramètres!$A$1:$I$89,3,0)*VLOOKUP('Données projet'!$B$15,Paramètres!$A$1:$I$89,5,0)</f>
        <v>331.29199999999975</v>
      </c>
      <c r="EL125" s="13">
        <f t="shared" si="99"/>
        <v>77.698110787752</v>
      </c>
      <c r="EM125" s="20">
        <f t="shared" si="73"/>
        <v>712.32444295533423</v>
      </c>
      <c r="EN125" s="59">
        <f t="shared" si="74"/>
        <v>1005.6577762886675</v>
      </c>
      <c r="EO125" s="59">
        <f ca="1">AVERAGE(OFFSET($EN$3,0,0,'Données projet'!$E$15+1,1))-AVERAGE(OFFSET($H$3,0,0,'Données projet'!$E$15+1,1))</f>
        <v>316.58509520829671</v>
      </c>
      <c r="EP125" s="59">
        <f t="shared" si="100"/>
        <v>240.71332110643596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>
        <f>EXP(-LN(2)/35)*EV124+(1-EXP(-LN(2)/35))/(LN(2)/35)*ER125*ES125*VLOOKUP('Données projet'!$B$15,Paramètres!$A$1:$I$89,3,0)*0.475*44/12</f>
        <v>0.4098468081367202</v>
      </c>
      <c r="EW125" s="21">
        <f>EXP(-LN(2)/25)*EW124+(1-EXP(-LN(2)/25))/(LN(2)/25)*Calculateur!ER125*Calculateur!ET125*VLOOKUP('Données projet'!$B$15,Paramètres!$A$1:$I$89,3,0)*0.475*44/12</f>
        <v>1.1912137089819139</v>
      </c>
      <c r="EX125" s="21">
        <f>EXP(-LN(2)/2)*EX124+(1-EXP(-LN(2)/2))/(LN(2)/2)*ER125*EU125*VLOOKUP('Données projet'!$B$15,Paramètres!$A$1:$I$89,3,0)*0.475*44/12</f>
        <v>3.1177681691674667E-13</v>
      </c>
      <c r="EY125" s="22">
        <f t="shared" si="75"/>
        <v>1.6010605171189458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497</v>
      </c>
      <c r="FF125" s="17">
        <f>FE125*VLOOKUP('Données projet'!$B$16,Paramètres!$A$1:$I$89,3,0)*VLOOKUP('Données projet'!$B$16,Paramètres!$A$1:$I$89,5,0)</f>
        <v>297.20600000000002</v>
      </c>
      <c r="FG125" s="13">
        <f t="shared" si="101"/>
        <v>70.590415164571112</v>
      </c>
      <c r="FH125" s="20">
        <f t="shared" si="76"/>
        <v>640.57875641162809</v>
      </c>
      <c r="FI125" s="59">
        <f t="shared" si="77"/>
        <v>933.91208974496135</v>
      </c>
      <c r="FJ125" s="59">
        <f ca="1">AVERAGE(OFFSET($FI$3,0,0,'Données projet'!$E$16+1,1))-AVERAGE(OFFSET($H$3,0,0,'Données projet'!$E$16+1,1))</f>
        <v>270.30888762640245</v>
      </c>
      <c r="FK125" s="59">
        <f t="shared" si="102"/>
        <v>202.23783851977691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>
        <f>EXP(-LN(2)/35)*FQ124+(1-EXP(-LN(2)/35))/(LN(2)/35)*FM125*FN125*VLOOKUP('Données projet'!$B$16,Paramètres!$A$1:$I$89,3,0)*0.475*44/12</f>
        <v>0.34634941532680558</v>
      </c>
      <c r="FR125" s="21">
        <f>EXP(-LN(2)/25)*FR124+(1-EXP(-LN(2)/25))/(LN(2)/25)*Calculateur!FM125*Calculateur!FO125*VLOOKUP('Données projet'!$B$16,Paramètres!$A$1:$I$89,3,0)*0.475*44/12</f>
        <v>0.95928024790705491</v>
      </c>
      <c r="FS125" s="21">
        <f>EXP(-LN(2)/2)*FS124+(1-EXP(-LN(2)/2))/(LN(2)/2)*FM125*FP125*VLOOKUP('Données projet'!$B$16,Paramètres!$A$1:$I$89,3,0)*0.475*44/12</f>
        <v>2.6279577392731687E-13</v>
      </c>
      <c r="FT125" s="22">
        <f t="shared" si="78"/>
        <v>1.3056296632341233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-5.1159076974727213E-13</v>
      </c>
      <c r="GA125" s="17">
        <f>FZ125*VLOOKUP('Données projet'!$B$17,Paramètres!$A$1:$I$89,3,0)*VLOOKUP('Données projet'!$B$17,Paramètres!$A$1:$I$89,5,0)</f>
        <v>-4.0702161641092972E-13</v>
      </c>
      <c r="GB125" s="13" t="e">
        <f t="shared" si="103"/>
        <v>#NUM!</v>
      </c>
      <c r="GC125" s="20" t="e">
        <f t="shared" si="79"/>
        <v>#NUM!</v>
      </c>
      <c r="GD125" s="59" t="e">
        <f t="shared" si="80"/>
        <v>#NUM!</v>
      </c>
      <c r="GE125" s="59">
        <f ca="1">AVERAGE(OFFSET($GD$3,0,0,'Données projet'!$E$17+1,1))-AVERAGE(OFFSET($H$3,0,0,'Données projet'!$E$17+1,1))</f>
        <v>260.20517190557814</v>
      </c>
      <c r="GF125" s="59">
        <f t="shared" si="104"/>
        <v>307.22009971147133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>
        <f>EXP(-LN(2)/35)*GL124+(1-EXP(-LN(2)/35))/(LN(2)/35)*GH125*GI125*VLOOKUP('Données projet'!$B$17,Paramètres!$A$1:$I$89,3,0)*0.475*44/12</f>
        <v>0.5276390730594599</v>
      </c>
      <c r="GM125" s="21">
        <f>EXP(-LN(2)/25)*GM124+(1-EXP(-LN(2)/25))/(LN(2)/25)*Calculateur!GH125*Calculateur!GJ125*VLOOKUP('Données projet'!$B$17,Paramètres!$A$1:$I$89,3,0)*0.475*44/12</f>
        <v>1.6009529332930532</v>
      </c>
      <c r="GN125" s="21">
        <f>EXP(-LN(2)/2)*GN124+(1-EXP(-LN(2)/2))/(LN(2)/2)*GH125*GK125*VLOOKUP('Données projet'!$B$17,Paramètres!$A$1:$I$89,3,0)*0.475*44/12</f>
        <v>3.4161522325969836E-13</v>
      </c>
      <c r="GO125" s="21">
        <f t="shared" si="81"/>
        <v>2.1285920063528545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5.6843418860808015E-14</v>
      </c>
      <c r="GV125" s="17">
        <f>GU125*VLOOKUP('Données projet'!$B$18,Paramètres!$A$1:$I$89,3,0)*VLOOKUP('Données projet'!$B$18,Paramètres!$A$1:$I$89,5,0)</f>
        <v>4.5224624045658861E-14</v>
      </c>
      <c r="GW125" s="13">
        <f t="shared" si="105"/>
        <v>7.4514601661523691E-13</v>
      </c>
      <c r="GX125" s="20">
        <f t="shared" si="82"/>
        <v>1.3765621991510601E-12</v>
      </c>
      <c r="GY125" s="59">
        <f t="shared" si="83"/>
        <v>293.33333333333468</v>
      </c>
      <c r="GZ125" s="59">
        <f ca="1">AVERAGE(OFFSET($GY$3,0,0,'Données projet'!$E$18+1,1))-AVERAGE(OFFSET($H$3,0,0,'Données projet'!$E$18+1,1))</f>
        <v>199.58763537752952</v>
      </c>
      <c r="HA125" s="59">
        <f t="shared" si="106"/>
        <v>242.62852778451929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>
        <f>EXP(-LN(2)/35)*HG124+(1-EXP(-LN(2)/35))/(LN(2)/35)*HC125*HD125*VLOOKUP('Données projet'!$B$18,Paramètres!$A$1:$I$89,3,0)*0.475*44/12</f>
        <v>0</v>
      </c>
      <c r="HH125" s="21">
        <f>EXP(-LN(2)/25)*HH124+(1-EXP(-LN(2)/25))/(LN(2)/25)*Calculateur!HC125*Calculateur!HE125*VLOOKUP('Données projet'!$B$18,Paramètres!$A$1:$I$89,3,0)*0.475*44/12</f>
        <v>0.8022846037752015</v>
      </c>
      <c r="HI125" s="21">
        <f>EXP(-LN(2)/2)*HI124+(1-EXP(-LN(2)/2))/(LN(2)/2)*HC125*HF125*VLOOKUP('Données projet'!$B$18,Paramètres!$A$1:$I$89,3,0)*0.475*44/12</f>
        <v>1.5293094283521526E-13</v>
      </c>
      <c r="HJ125" s="22">
        <f t="shared" si="84"/>
        <v>0.80228460377535438</v>
      </c>
    </row>
    <row r="126" spans="1:218" x14ac:dyDescent="0.2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109.3716000000002</v>
      </c>
      <c r="D126" s="11">
        <f t="shared" si="86"/>
        <v>29.182879300506769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1069.5433489863697</v>
      </c>
      <c r="H126" s="67">
        <f t="shared" si="56"/>
        <v>534.64905144838292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-2.2737367544323206E-13</v>
      </c>
      <c r="O126" s="13">
        <f>N126*VLOOKUP('Données projet'!$B$9,Paramètres!$A$1:$I$89,3,0)*VLOOKUP('Données projet'!$B$9,Paramètres!$A$1:$I$89,5,0)</f>
        <v>-1.2710188457276673E-13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255.5374979188561</v>
      </c>
      <c r="T126" s="59">
        <f t="shared" si="88"/>
        <v>343.10418468620901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0.48987414392493495</v>
      </c>
      <c r="AA126" s="21">
        <f>EXP(-LN(2)/25)*AA125+(1-EXP(-LN(2)/25))/(LN(2)/25)*Calculateur!V126*Calculateur!X126*VLOOKUP('Données projet'!$B$9,Paramètres!$A$1:$I$89,3,0)*0.475*44/12</f>
        <v>1.2111790618494243</v>
      </c>
      <c r="AB126" s="21">
        <f>EXP(-LN(2)/2)*AB125+(1-EXP(-LN(2)/2))/(LN(2)/2)*V126*Y126*VLOOKUP('Données projet'!$B$9,Paramètres!$A$1:$I$89,3,0)*0.475*44/12</f>
        <v>1.700876969680793E-14</v>
      </c>
      <c r="AC126" s="22">
        <f t="shared" si="57"/>
        <v>1.7010532057743764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1.1368683772161603E-13</v>
      </c>
      <c r="AJ126" s="13">
        <f>AI126*VLOOKUP('Données projet'!$B$10,Paramètres!$A$1:$I$89,3,0)*VLOOKUP('Données projet'!$B$10,Paramètres!$A$1:$I$89,5,0)</f>
        <v>6.3550942286383367E-14</v>
      </c>
      <c r="AK126" s="13">
        <f t="shared" si="89"/>
        <v>1.0064464192543978E-12</v>
      </c>
      <c r="AL126" s="20">
        <f t="shared" si="58"/>
        <v>1.8635787380168604E-12</v>
      </c>
      <c r="AM126" s="59">
        <f t="shared" si="59"/>
        <v>293.33333333333519</v>
      </c>
      <c r="AN126" s="59">
        <f ca="1">AVERAGE(OFFSET($AM$3,0,0,'Données projet'!$E$10+1,1))-AVERAGE(OFFSET($H$3,0,0,'Données projet'!$E$10+1,1))</f>
        <v>224.7049802939942</v>
      </c>
      <c r="AO126" s="59">
        <f t="shared" si="90"/>
        <v>203.48513862195352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0.35371307355753645</v>
      </c>
      <c r="AV126" s="21">
        <f>EXP(-LN(2)/25)*AV125+(1-EXP(-LN(2)/25))/(LN(2)/25)*Calculateur!AQ126*Calculateur!AS126*VLOOKUP('Données projet'!$B$10,Paramètres!$A$1:$I$89,3,0)*0.475*44/12</f>
        <v>1.4816613410028057</v>
      </c>
      <c r="AW126" s="21">
        <f>EXP(-LN(2)/2)*AW125+(1-EXP(-LN(2)/2))/(LN(2)/2)*AQ126*AT126*VLOOKUP('Données projet'!$B$10,Paramètres!$A$1:$I$89,3,0)*0.475*44/12</f>
        <v>9.0041537628506607E-14</v>
      </c>
      <c r="AX126" s="21">
        <f t="shared" si="60"/>
        <v>1.8353744145604323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>
        <f>BD126*VLOOKUP('Données projet'!$B$11,Paramètres!$A$1:$I$89,3,0)*VLOOKUP('Données projet'!$B$11,Paramètres!$A$1:$I$89,5,0)</f>
        <v>0</v>
      </c>
      <c r="BF126" s="13" t="e">
        <f t="shared" si="91"/>
        <v>#NUM!</v>
      </c>
      <c r="BG126" s="20" t="e">
        <f t="shared" si="61"/>
        <v>#NUM!</v>
      </c>
      <c r="BH126" s="59" t="e">
        <f t="shared" si="62"/>
        <v>#NUM!</v>
      </c>
      <c r="BI126" s="59">
        <f ca="1">AVERAGE(OFFSET($BH$3,0,0,'Données projet'!$E$11+1,1))-AVERAGE(OFFSET($H$3,0,0,'Données projet'!$E$11+1,1))</f>
        <v>210.04871822652808</v>
      </c>
      <c r="BJ126" s="59">
        <f t="shared" si="92"/>
        <v>250.17540614049324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1.1574489052300523</v>
      </c>
      <c r="BQ126" s="21">
        <f>EXP(-LN(2)/25)*BQ125+(1-EXP(-LN(2)/25))/(LN(2)/25)*Calculateur!BL126*Calculateur!BN126*VLOOKUP('Données projet'!$B$11,Paramètres!$A$1:$I$89,3,0)*0.475*44/12</f>
        <v>2.1119943789342299</v>
      </c>
      <c r="BR126" s="21">
        <f>EXP(-LN(2)/2)*BR125+(1-EXP(-LN(2)/2))/(LN(2)/2)*BL126*BO126*VLOOKUP('Données projet'!$B$11,Paramètres!$A$1:$I$89,3,0)*0.475*44/12</f>
        <v>2.165862282356804E-13</v>
      </c>
      <c r="BS126" s="22">
        <f t="shared" si="63"/>
        <v>3.2694432841644989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2.2737367544323206E-13</v>
      </c>
      <c r="BZ126" s="13">
        <f>BY126*VLOOKUP('Données projet'!$B$12,Paramètres!$A$1:$I$89,3,0)*VLOOKUP('Données projet'!$B$12,Paramètres!$A$1:$I$89,5,0)</f>
        <v>1.2414602679200471E-13</v>
      </c>
      <c r="CA126" s="13">
        <f t="shared" si="93"/>
        <v>1.8186582995804361E-12</v>
      </c>
      <c r="CB126" s="20">
        <f t="shared" si="64"/>
        <v>3.3837175350986671E-12</v>
      </c>
      <c r="CC126" s="59">
        <f t="shared" si="65"/>
        <v>293.33333333333672</v>
      </c>
      <c r="CD126" s="59">
        <f ca="1">AVERAGE(OFFSET($CC$3,0,0,'Données projet'!$E$12+1,1))-AVERAGE(OFFSET($H$3,0,0,'Données projet'!$E$12+1,1))</f>
        <v>168.72306536277267</v>
      </c>
      <c r="CE126" s="59">
        <f t="shared" si="94"/>
        <v>203.35476578922339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0.48227037717918841</v>
      </c>
      <c r="CL126" s="21">
        <f>EXP(-LN(2)/25)*CL125+(1-EXP(-LN(2)/25))/(LN(2)/25)*Calculateur!CG126*Calculateur!CI126*VLOOKUP('Données projet'!$B$12,Paramètres!$A$1:$I$89,3,0)*0.475*44/12</f>
        <v>1.7442684737083902</v>
      </c>
      <c r="CM126" s="21">
        <f>EXP(-LN(2)/2)*CM125+(1-EXP(-LN(2)/2))/(LN(2)/2)*CG126*CJ126*VLOOKUP('Données projet'!$B$12,Paramètres!$A$1:$I$89,3,0)*0.475*44/12</f>
        <v>2.0121145968117082E-13</v>
      </c>
      <c r="CN126" s="22">
        <f t="shared" si="66"/>
        <v>2.2265388508877799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1277.6923076923067</v>
      </c>
      <c r="CU126" s="17">
        <f>CT126*VLOOKUP('Données projet'!$B$13,Paramètres!$A$1:$I$89,3,0)*VLOOKUP('Données projet'!$B$13,Paramètres!$A$1:$I$89,5,0)</f>
        <v>614.5699999999996</v>
      </c>
      <c r="CV126" s="13">
        <f t="shared" si="95"/>
        <v>134.13240620831178</v>
      </c>
      <c r="CW126" s="20">
        <f t="shared" si="67"/>
        <v>1303.9900241461421</v>
      </c>
      <c r="CX126" s="59">
        <f t="shared" si="68"/>
        <v>1597.3233574794754</v>
      </c>
      <c r="CY126" s="59">
        <f ca="1">AVERAGE(OFFSET($CX$3,0,0,'Données projet'!$E$13+1,1))-AVERAGE(OFFSET($H$3,0,0,'Données projet'!$E$13+1,1))</f>
        <v>304.15237106473313</v>
      </c>
      <c r="CZ126" s="59">
        <f t="shared" si="96"/>
        <v>120.85458928724336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>
        <f>EXP(-LN(2)/35)*DF125+(1-EXP(-LN(2)/35))/(LN(2)/35)*DB126*DC126*VLOOKUP('Données projet'!$B$13,Paramètres!$A$1:$I$89,3,0)*0.475*44/12</f>
        <v>0</v>
      </c>
      <c r="DG126" s="21">
        <f>EXP(-LN(2)/25)*DG125+(1-EXP(-LN(2)/25))/(LN(2)/25)*Calculateur!DB126*Calculateur!DD126*VLOOKUP('Données projet'!$B$13,Paramètres!$A$1:$I$89,3,0)*0.475*44/12</f>
        <v>0</v>
      </c>
      <c r="DH126" s="21">
        <f>EXP(-LN(2)/2)*DH125+(1-EXP(-LN(2)/2))/(LN(2)/2)*DB126*DE126*VLOOKUP('Données projet'!$B$13,Paramètres!$A$1:$I$89,3,0)*0.475*44/12</f>
        <v>0</v>
      </c>
      <c r="DI126" s="22">
        <f t="shared" si="69"/>
        <v>0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425.38461538461536</v>
      </c>
      <c r="DP126" s="17">
        <f>DO126*VLOOKUP('Données projet'!$B$14,Paramètres!$A$1:$I$89,3,0)*VLOOKUP('Données projet'!$B$14,Paramètres!$A$1:$I$89,5,0)</f>
        <v>204.60999999999999</v>
      </c>
      <c r="DQ126" s="13">
        <f t="shared" si="97"/>
        <v>50.755958577224398</v>
      </c>
      <c r="DR126" s="20">
        <f t="shared" si="70"/>
        <v>444.76237785533249</v>
      </c>
      <c r="DS126" s="59">
        <f t="shared" si="71"/>
        <v>738.09571118866575</v>
      </c>
      <c r="DT126" s="59">
        <f ca="1">AVERAGE(OFFSET($DS$3,0,0,'Données projet'!$E$14+1,1))-AVERAGE(OFFSET($H$3,0,0,'Données projet'!$E$14+1,1))</f>
        <v>91.053246648097399</v>
      </c>
      <c r="DU126" s="59">
        <f t="shared" si="98"/>
        <v>64.716270355703955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>
        <f>EXP(-LN(2)/35)*EA125+(1-EXP(-LN(2)/35))/(LN(2)/35)*DW126*DX126*VLOOKUP('Données projet'!$B$14,Paramètres!$A$1:$I$89,3,0)*0.475*44/12</f>
        <v>0</v>
      </c>
      <c r="EB126" s="21">
        <f>EXP(-LN(2)/25)*EB125+(1-EXP(-LN(2)/25))/(LN(2)/25)*Calculateur!DW126*Calculateur!DY126*VLOOKUP('Données projet'!$B$14,Paramètres!$A$1:$I$89,3,0)*0.475*44/12</f>
        <v>0</v>
      </c>
      <c r="EC126" s="21">
        <f>EXP(-LN(2)/2)*EC125+(1-EXP(-LN(2)/2))/(LN(2)/2)*DW126*DZ126*VLOOKUP('Données projet'!$B$14,Paramètres!$A$1:$I$89,3,0)*0.475*44/12</f>
        <v>0</v>
      </c>
      <c r="ED126" s="22">
        <f t="shared" si="72"/>
        <v>0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553.99999999999955</v>
      </c>
      <c r="EK126" s="17">
        <f>EJ126*VLOOKUP('Données projet'!$B$15,Paramètres!$A$1:$I$89,3,0)*VLOOKUP('Données projet'!$B$15,Paramètres!$A$1:$I$89,5,0)</f>
        <v>331.29199999999975</v>
      </c>
      <c r="EL126" s="13">
        <f t="shared" si="99"/>
        <v>77.698110787752</v>
      </c>
      <c r="EM126" s="20">
        <f t="shared" si="73"/>
        <v>712.32444295533423</v>
      </c>
      <c r="EN126" s="59">
        <f t="shared" si="74"/>
        <v>1005.6577762886675</v>
      </c>
      <c r="EO126" s="59">
        <f ca="1">AVERAGE(OFFSET($EN$3,0,0,'Données projet'!$E$15+1,1))-AVERAGE(OFFSET($H$3,0,0,'Données projet'!$E$15+1,1))</f>
        <v>316.58509520829671</v>
      </c>
      <c r="EP126" s="59">
        <f t="shared" si="100"/>
        <v>240.71332110643596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>
        <f>EXP(-LN(2)/35)*EV125+(1-EXP(-LN(2)/35))/(LN(2)/35)*ER126*ES126*VLOOKUP('Données projet'!$B$15,Paramètres!$A$1:$I$89,3,0)*0.475*44/12</f>
        <v>0.40180996221102844</v>
      </c>
      <c r="EW126" s="21">
        <f>EXP(-LN(2)/25)*EW125+(1-EXP(-LN(2)/25))/(LN(2)/25)*Calculateur!ER126*Calculateur!ET126*VLOOKUP('Données projet'!$B$15,Paramètres!$A$1:$I$89,3,0)*0.475*44/12</f>
        <v>1.1586399074665972</v>
      </c>
      <c r="EX126" s="21">
        <f>EXP(-LN(2)/2)*EX125+(1-EXP(-LN(2)/2))/(LN(2)/2)*ER126*EU126*VLOOKUP('Données projet'!$B$15,Paramètres!$A$1:$I$89,3,0)*0.475*44/12</f>
        <v>2.2045950145858828E-13</v>
      </c>
      <c r="EY126" s="22">
        <f t="shared" si="75"/>
        <v>1.5604498696778462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497</v>
      </c>
      <c r="FF126" s="17">
        <f>FE126*VLOOKUP('Données projet'!$B$16,Paramètres!$A$1:$I$89,3,0)*VLOOKUP('Données projet'!$B$16,Paramètres!$A$1:$I$89,5,0)</f>
        <v>297.20600000000002</v>
      </c>
      <c r="FG126" s="13">
        <f t="shared" si="101"/>
        <v>70.590415164571112</v>
      </c>
      <c r="FH126" s="20">
        <f t="shared" si="76"/>
        <v>640.57875641162809</v>
      </c>
      <c r="FI126" s="59">
        <f t="shared" si="77"/>
        <v>933.91208974496135</v>
      </c>
      <c r="FJ126" s="59">
        <f ca="1">AVERAGE(OFFSET($FI$3,0,0,'Données projet'!$E$16+1,1))-AVERAGE(OFFSET($H$3,0,0,'Données projet'!$E$16+1,1))</f>
        <v>270.30888762640245</v>
      </c>
      <c r="FK126" s="59">
        <f t="shared" si="102"/>
        <v>202.23783851977691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>
        <f>EXP(-LN(2)/35)*FQ125+(1-EXP(-LN(2)/35))/(LN(2)/35)*FM126*FN126*VLOOKUP('Données projet'!$B$16,Paramètres!$A$1:$I$89,3,0)*0.475*44/12</f>
        <v>0.33955771454453082</v>
      </c>
      <c r="FR126" s="21">
        <f>EXP(-LN(2)/25)*FR125+(1-EXP(-LN(2)/25))/(LN(2)/25)*Calculateur!FM126*Calculateur!FO126*VLOOKUP('Données projet'!$B$16,Paramètres!$A$1:$I$89,3,0)*0.475*44/12</f>
        <v>0.93304867908168077</v>
      </c>
      <c r="FS126" s="21">
        <f>EXP(-LN(2)/2)*FS125+(1-EXP(-LN(2)/2))/(LN(2)/2)*FM126*FP126*VLOOKUP('Données projet'!$B$16,Paramètres!$A$1:$I$89,3,0)*0.475*44/12</f>
        <v>1.8582467381117266E-13</v>
      </c>
      <c r="FT126" s="22">
        <f t="shared" si="78"/>
        <v>1.2726063936263974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-5.1159076974727213E-13</v>
      </c>
      <c r="GA126" s="17">
        <f>FZ126*VLOOKUP('Données projet'!$B$17,Paramètres!$A$1:$I$89,3,0)*VLOOKUP('Données projet'!$B$17,Paramètres!$A$1:$I$89,5,0)</f>
        <v>-4.0702161641092972E-13</v>
      </c>
      <c r="GB126" s="13" t="e">
        <f t="shared" si="103"/>
        <v>#NUM!</v>
      </c>
      <c r="GC126" s="20" t="e">
        <f t="shared" si="79"/>
        <v>#NUM!</v>
      </c>
      <c r="GD126" s="59" t="e">
        <f t="shared" si="80"/>
        <v>#NUM!</v>
      </c>
      <c r="GE126" s="59">
        <f ca="1">AVERAGE(OFFSET($GD$3,0,0,'Données projet'!$E$17+1,1))-AVERAGE(OFFSET($H$3,0,0,'Données projet'!$E$17+1,1))</f>
        <v>260.20517190557814</v>
      </c>
      <c r="GF126" s="59">
        <f t="shared" si="104"/>
        <v>307.22009971147133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>
        <f>EXP(-LN(2)/35)*GL125+(1-EXP(-LN(2)/35))/(LN(2)/35)*GH126*GI126*VLOOKUP('Données projet'!$B$17,Paramètres!$A$1:$I$89,3,0)*0.475*44/12</f>
        <v>0.51729239266482052</v>
      </c>
      <c r="GM126" s="21">
        <f>EXP(-LN(2)/25)*GM125+(1-EXP(-LN(2)/25))/(LN(2)/25)*Calculateur!GH126*Calculateur!GJ126*VLOOKUP('Données projet'!$B$17,Paramètres!$A$1:$I$89,3,0)*0.475*44/12</f>
        <v>1.5571747911416989</v>
      </c>
      <c r="GN126" s="21">
        <f>EXP(-LN(2)/2)*GN125+(1-EXP(-LN(2)/2))/(LN(2)/2)*GH126*GK126*VLOOKUP('Données projet'!$B$17,Paramètres!$A$1:$I$89,3,0)*0.475*44/12</f>
        <v>2.415584409234891E-13</v>
      </c>
      <c r="GO126" s="21">
        <f t="shared" si="81"/>
        <v>2.0744671838067612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5.6843418860808015E-14</v>
      </c>
      <c r="GV126" s="17">
        <f>GU126*VLOOKUP('Données projet'!$B$18,Paramètres!$A$1:$I$89,3,0)*VLOOKUP('Données projet'!$B$18,Paramètres!$A$1:$I$89,5,0)</f>
        <v>4.5224624045658861E-14</v>
      </c>
      <c r="GW126" s="13">
        <f t="shared" si="105"/>
        <v>7.4514601661523691E-13</v>
      </c>
      <c r="GX126" s="20">
        <f t="shared" si="82"/>
        <v>1.3765621991510601E-12</v>
      </c>
      <c r="GY126" s="59">
        <f t="shared" si="83"/>
        <v>293.33333333333468</v>
      </c>
      <c r="GZ126" s="59">
        <f ca="1">AVERAGE(OFFSET($GY$3,0,0,'Données projet'!$E$18+1,1))-AVERAGE(OFFSET($H$3,0,0,'Données projet'!$E$18+1,1))</f>
        <v>199.58763537752952</v>
      </c>
      <c r="HA126" s="59">
        <f t="shared" si="106"/>
        <v>242.62852778451929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>
        <f>EXP(-LN(2)/35)*HG125+(1-EXP(-LN(2)/35))/(LN(2)/35)*HC126*HD126*VLOOKUP('Données projet'!$B$18,Paramètres!$A$1:$I$89,3,0)*0.475*44/12</f>
        <v>0</v>
      </c>
      <c r="HH126" s="21">
        <f>EXP(-LN(2)/25)*HH125+(1-EXP(-LN(2)/25))/(LN(2)/25)*Calculateur!HC126*Calculateur!HE126*VLOOKUP('Données projet'!$B$18,Paramètres!$A$1:$I$89,3,0)*0.475*44/12</f>
        <v>0.78034608909465497</v>
      </c>
      <c r="HI126" s="21">
        <f>EXP(-LN(2)/2)*HI125+(1-EXP(-LN(2)/2))/(LN(2)/2)*HC126*HF126*VLOOKUP('Données projet'!$B$18,Paramètres!$A$1:$I$89,3,0)*0.475*44/12</f>
        <v>1.0813850673203297E-13</v>
      </c>
      <c r="HJ126" s="22">
        <f t="shared" si="84"/>
        <v>0.78034608909476311</v>
      </c>
    </row>
    <row r="127" spans="1:218" x14ac:dyDescent="0.2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110.2608000000002</v>
      </c>
      <c r="D127" s="11">
        <f t="shared" si="86"/>
        <v>29.392422615380852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1078.0248763292573</v>
      </c>
      <c r="H127" s="67">
        <f t="shared" si="56"/>
        <v>536.56269605512193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-2.2737367544323206E-13</v>
      </c>
      <c r="O127" s="13">
        <f>N127*VLOOKUP('Données projet'!$B$9,Paramètres!$A$1:$I$89,3,0)*VLOOKUP('Données projet'!$B$9,Paramètres!$A$1:$I$89,5,0)</f>
        <v>-1.2710188457276673E-13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255.5374979188561</v>
      </c>
      <c r="T127" s="59">
        <f t="shared" si="88"/>
        <v>343.10418468620901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0.48026801075629133</v>
      </c>
      <c r="AA127" s="21">
        <f>EXP(-LN(2)/25)*AA126+(1-EXP(-LN(2)/25))/(LN(2)/25)*Calculateur!V127*Calculateur!X127*VLOOKUP('Données projet'!$B$9,Paramètres!$A$1:$I$89,3,0)*0.475*44/12</f>
        <v>1.1780593067100131</v>
      </c>
      <c r="AB127" s="21">
        <f>EXP(-LN(2)/2)*AB126+(1-EXP(-LN(2)/2))/(LN(2)/2)*V127*Y127*VLOOKUP('Données projet'!$B$9,Paramètres!$A$1:$I$89,3,0)*0.475*44/12</f>
        <v>1.2027016392253146E-14</v>
      </c>
      <c r="AC127" s="22">
        <f t="shared" si="57"/>
        <v>1.6583273174663165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1.1368683772161603E-13</v>
      </c>
      <c r="AJ127" s="13">
        <f>AI127*VLOOKUP('Données projet'!$B$10,Paramètres!$A$1:$I$89,3,0)*VLOOKUP('Données projet'!$B$10,Paramètres!$A$1:$I$89,5,0)</f>
        <v>6.3550942286383367E-14</v>
      </c>
      <c r="AK127" s="13">
        <f t="shared" si="89"/>
        <v>1.0064464192543978E-12</v>
      </c>
      <c r="AL127" s="20">
        <f t="shared" si="58"/>
        <v>1.8635787380168604E-12</v>
      </c>
      <c r="AM127" s="59">
        <f t="shared" si="59"/>
        <v>293.33333333333519</v>
      </c>
      <c r="AN127" s="59">
        <f ca="1">AVERAGE(OFFSET($AM$3,0,0,'Données projet'!$E$10+1,1))-AVERAGE(OFFSET($H$3,0,0,'Données projet'!$E$10+1,1))</f>
        <v>224.7049802939942</v>
      </c>
      <c r="AO127" s="59">
        <f t="shared" si="90"/>
        <v>203.48513862195352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0.34677697592874512</v>
      </c>
      <c r="AV127" s="21">
        <f>EXP(-LN(2)/25)*AV126+(1-EXP(-LN(2)/25))/(LN(2)/25)*Calculateur!AQ127*Calculateur!AS127*VLOOKUP('Données projet'!$B$10,Paramètres!$A$1:$I$89,3,0)*0.475*44/12</f>
        <v>1.4411452337159003</v>
      </c>
      <c r="AW127" s="21">
        <f>EXP(-LN(2)/2)*AW126+(1-EXP(-LN(2)/2))/(LN(2)/2)*AQ127*AT127*VLOOKUP('Données projet'!$B$10,Paramètres!$A$1:$I$89,3,0)*0.475*44/12</f>
        <v>6.3668981845580707E-14</v>
      </c>
      <c r="AX127" s="21">
        <f t="shared" si="60"/>
        <v>1.7879222096447092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>
        <f>BD127*VLOOKUP('Données projet'!$B$11,Paramètres!$A$1:$I$89,3,0)*VLOOKUP('Données projet'!$B$11,Paramètres!$A$1:$I$89,5,0)</f>
        <v>0</v>
      </c>
      <c r="BF127" s="13" t="e">
        <f t="shared" si="91"/>
        <v>#NUM!</v>
      </c>
      <c r="BG127" s="20" t="e">
        <f t="shared" si="61"/>
        <v>#NUM!</v>
      </c>
      <c r="BH127" s="59" t="e">
        <f t="shared" si="62"/>
        <v>#NUM!</v>
      </c>
      <c r="BI127" s="59">
        <f ca="1">AVERAGE(OFFSET($BH$3,0,0,'Données projet'!$E$11+1,1))-AVERAGE(OFFSET($H$3,0,0,'Données projet'!$E$11+1,1))</f>
        <v>210.04871822652808</v>
      </c>
      <c r="BJ127" s="59">
        <f t="shared" si="92"/>
        <v>250.17540614049324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1.1347520381726139</v>
      </c>
      <c r="BQ127" s="21">
        <f>EXP(-LN(2)/25)*BQ126+(1-EXP(-LN(2)/25))/(LN(2)/25)*Calculateur!BL127*Calculateur!BN127*VLOOKUP('Données projet'!$B$11,Paramètres!$A$1:$I$89,3,0)*0.475*44/12</f>
        <v>2.054241781577316</v>
      </c>
      <c r="BR127" s="21">
        <f>EXP(-LN(2)/2)*BR126+(1-EXP(-LN(2)/2))/(LN(2)/2)*BL127*BO127*VLOOKUP('Données projet'!$B$11,Paramètres!$A$1:$I$89,3,0)*0.475*44/12</f>
        <v>1.531495906970669E-13</v>
      </c>
      <c r="BS127" s="22">
        <f t="shared" si="63"/>
        <v>3.1889938197500833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2.2737367544323206E-13</v>
      </c>
      <c r="BZ127" s="13">
        <f>BY127*VLOOKUP('Données projet'!$B$12,Paramètres!$A$1:$I$89,3,0)*VLOOKUP('Données projet'!$B$12,Paramètres!$A$1:$I$89,5,0)</f>
        <v>1.2414602679200471E-13</v>
      </c>
      <c r="CA127" s="13">
        <f t="shared" si="93"/>
        <v>1.8186582995804361E-12</v>
      </c>
      <c r="CB127" s="20">
        <f t="shared" si="64"/>
        <v>3.3837175350986671E-12</v>
      </c>
      <c r="CC127" s="59">
        <f t="shared" si="65"/>
        <v>293.33333333333672</v>
      </c>
      <c r="CD127" s="59">
        <f ca="1">AVERAGE(OFFSET($CC$3,0,0,'Données projet'!$E$12+1,1))-AVERAGE(OFFSET($H$3,0,0,'Données projet'!$E$12+1,1))</f>
        <v>168.72306536277267</v>
      </c>
      <c r="CE127" s="59">
        <f t="shared" si="94"/>
        <v>203.35476578922339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0.47281334923858914</v>
      </c>
      <c r="CL127" s="21">
        <f>EXP(-LN(2)/25)*CL126+(1-EXP(-LN(2)/25))/(LN(2)/25)*Calculateur!CG127*Calculateur!CI127*VLOOKUP('Données projet'!$B$12,Paramètres!$A$1:$I$89,3,0)*0.475*44/12</f>
        <v>1.6965713605677419</v>
      </c>
      <c r="CM127" s="21">
        <f>EXP(-LN(2)/2)*CM126+(1-EXP(-LN(2)/2))/(LN(2)/2)*CG127*CJ127*VLOOKUP('Données projet'!$B$12,Paramètres!$A$1:$I$89,3,0)*0.475*44/12</f>
        <v>1.4227798759299948E-13</v>
      </c>
      <c r="CN127" s="22">
        <f t="shared" si="66"/>
        <v>2.1693847098064731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1277.6923076923067</v>
      </c>
      <c r="CU127" s="17">
        <f>CT127*VLOOKUP('Données projet'!$B$13,Paramètres!$A$1:$I$89,3,0)*VLOOKUP('Données projet'!$B$13,Paramètres!$A$1:$I$89,5,0)</f>
        <v>614.5699999999996</v>
      </c>
      <c r="CV127" s="13">
        <f t="shared" si="95"/>
        <v>134.13240620831178</v>
      </c>
      <c r="CW127" s="20">
        <f t="shared" si="67"/>
        <v>1303.9900241461421</v>
      </c>
      <c r="CX127" s="59">
        <f t="shared" si="68"/>
        <v>1597.3233574794754</v>
      </c>
      <c r="CY127" s="59">
        <f ca="1">AVERAGE(OFFSET($CX$3,0,0,'Données projet'!$E$13+1,1))-AVERAGE(OFFSET($H$3,0,0,'Données projet'!$E$13+1,1))</f>
        <v>304.15237106473313</v>
      </c>
      <c r="CZ127" s="59">
        <f t="shared" si="96"/>
        <v>120.85458928724336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>
        <f>EXP(-LN(2)/35)*DF126+(1-EXP(-LN(2)/35))/(LN(2)/35)*DB127*DC127*VLOOKUP('Données projet'!$B$13,Paramètres!$A$1:$I$89,3,0)*0.475*44/12</f>
        <v>0</v>
      </c>
      <c r="DG127" s="21">
        <f>EXP(-LN(2)/25)*DG126+(1-EXP(-LN(2)/25))/(LN(2)/25)*Calculateur!DB127*Calculateur!DD127*VLOOKUP('Données projet'!$B$13,Paramètres!$A$1:$I$89,3,0)*0.475*44/12</f>
        <v>0</v>
      </c>
      <c r="DH127" s="21">
        <f>EXP(-LN(2)/2)*DH126+(1-EXP(-LN(2)/2))/(LN(2)/2)*DB127*DE127*VLOOKUP('Données projet'!$B$13,Paramètres!$A$1:$I$89,3,0)*0.475*44/12</f>
        <v>0</v>
      </c>
      <c r="DI127" s="22">
        <f t="shared" si="69"/>
        <v>0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425.38461538461536</v>
      </c>
      <c r="DP127" s="17">
        <f>DO127*VLOOKUP('Données projet'!$B$14,Paramètres!$A$1:$I$89,3,0)*VLOOKUP('Données projet'!$B$14,Paramètres!$A$1:$I$89,5,0)</f>
        <v>204.60999999999999</v>
      </c>
      <c r="DQ127" s="13">
        <f t="shared" si="97"/>
        <v>50.755958577224398</v>
      </c>
      <c r="DR127" s="20">
        <f t="shared" si="70"/>
        <v>444.76237785533249</v>
      </c>
      <c r="DS127" s="59">
        <f t="shared" si="71"/>
        <v>738.09571118866575</v>
      </c>
      <c r="DT127" s="59">
        <f ca="1">AVERAGE(OFFSET($DS$3,0,0,'Données projet'!$E$14+1,1))-AVERAGE(OFFSET($H$3,0,0,'Données projet'!$E$14+1,1))</f>
        <v>91.053246648097399</v>
      </c>
      <c r="DU127" s="59">
        <f t="shared" si="98"/>
        <v>64.716270355703955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>
        <f>EXP(-LN(2)/35)*EA126+(1-EXP(-LN(2)/35))/(LN(2)/35)*DW127*DX127*VLOOKUP('Données projet'!$B$14,Paramètres!$A$1:$I$89,3,0)*0.475*44/12</f>
        <v>0</v>
      </c>
      <c r="EB127" s="21">
        <f>EXP(-LN(2)/25)*EB126+(1-EXP(-LN(2)/25))/(LN(2)/25)*Calculateur!DW127*Calculateur!DY127*VLOOKUP('Données projet'!$B$14,Paramètres!$A$1:$I$89,3,0)*0.475*44/12</f>
        <v>0</v>
      </c>
      <c r="EC127" s="21">
        <f>EXP(-LN(2)/2)*EC126+(1-EXP(-LN(2)/2))/(LN(2)/2)*DW127*DZ127*VLOOKUP('Données projet'!$B$14,Paramètres!$A$1:$I$89,3,0)*0.475*44/12</f>
        <v>0</v>
      </c>
      <c r="ED127" s="22">
        <f t="shared" si="72"/>
        <v>0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553.99999999999955</v>
      </c>
      <c r="EK127" s="17">
        <f>EJ127*VLOOKUP('Données projet'!$B$15,Paramètres!$A$1:$I$89,3,0)*VLOOKUP('Données projet'!$B$15,Paramètres!$A$1:$I$89,5,0)</f>
        <v>331.29199999999975</v>
      </c>
      <c r="EL127" s="13">
        <f t="shared" si="99"/>
        <v>77.698110787752</v>
      </c>
      <c r="EM127" s="20">
        <f t="shared" si="73"/>
        <v>712.32444295533423</v>
      </c>
      <c r="EN127" s="59">
        <f t="shared" si="74"/>
        <v>1005.6577762886675</v>
      </c>
      <c r="EO127" s="59">
        <f ca="1">AVERAGE(OFFSET($EN$3,0,0,'Données projet'!$E$15+1,1))-AVERAGE(OFFSET($H$3,0,0,'Données projet'!$E$15+1,1))</f>
        <v>316.58509520829671</v>
      </c>
      <c r="EP127" s="59">
        <f t="shared" si="100"/>
        <v>240.71332110643596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>
        <f>EXP(-LN(2)/35)*EV126+(1-EXP(-LN(2)/35))/(LN(2)/35)*ER127*ES127*VLOOKUP('Données projet'!$B$15,Paramètres!$A$1:$I$89,3,0)*0.475*44/12</f>
        <v>0.39393071393194751</v>
      </c>
      <c r="EW127" s="21">
        <f>EXP(-LN(2)/25)*EW126+(1-EXP(-LN(2)/25))/(LN(2)/25)*Calculateur!ER127*Calculateur!ET127*VLOOKUP('Données projet'!$B$15,Paramètres!$A$1:$I$89,3,0)*0.475*44/12</f>
        <v>1.1269568382666983</v>
      </c>
      <c r="EX127" s="21">
        <f>EXP(-LN(2)/2)*EX126+(1-EXP(-LN(2)/2))/(LN(2)/2)*ER127*EU127*VLOOKUP('Données projet'!$B$15,Paramètres!$A$1:$I$89,3,0)*0.475*44/12</f>
        <v>1.5588840845837334E-13</v>
      </c>
      <c r="EY127" s="22">
        <f t="shared" si="75"/>
        <v>1.5208875521988017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497</v>
      </c>
      <c r="FF127" s="17">
        <f>FE127*VLOOKUP('Données projet'!$B$16,Paramètres!$A$1:$I$89,3,0)*VLOOKUP('Données projet'!$B$16,Paramètres!$A$1:$I$89,5,0)</f>
        <v>297.20600000000002</v>
      </c>
      <c r="FG127" s="13">
        <f t="shared" si="101"/>
        <v>70.590415164571112</v>
      </c>
      <c r="FH127" s="20">
        <f t="shared" si="76"/>
        <v>640.57875641162809</v>
      </c>
      <c r="FI127" s="59">
        <f t="shared" si="77"/>
        <v>933.91208974496135</v>
      </c>
      <c r="FJ127" s="59">
        <f ca="1">AVERAGE(OFFSET($FI$3,0,0,'Données projet'!$E$16+1,1))-AVERAGE(OFFSET($H$3,0,0,'Données projet'!$E$16+1,1))</f>
        <v>270.30888762640245</v>
      </c>
      <c r="FK127" s="59">
        <f t="shared" si="102"/>
        <v>202.23783851977691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>
        <f>EXP(-LN(2)/35)*FQ126+(1-EXP(-LN(2)/35))/(LN(2)/35)*FM127*FN127*VLOOKUP('Données projet'!$B$16,Paramètres!$A$1:$I$89,3,0)*0.475*44/12</f>
        <v>0.33289919487206804</v>
      </c>
      <c r="FR127" s="21">
        <f>EXP(-LN(2)/25)*FR126+(1-EXP(-LN(2)/25))/(LN(2)/25)*Calculateur!FM127*Calculateur!FO127*VLOOKUP('Données projet'!$B$16,Paramètres!$A$1:$I$89,3,0)*0.475*44/12</f>
        <v>0.90753441388529466</v>
      </c>
      <c r="FS127" s="21">
        <f>EXP(-LN(2)/2)*FS126+(1-EXP(-LN(2)/2))/(LN(2)/2)*FM127*FP127*VLOOKUP('Données projet'!$B$16,Paramètres!$A$1:$I$89,3,0)*0.475*44/12</f>
        <v>1.3139788696365844E-13</v>
      </c>
      <c r="FT127" s="22">
        <f t="shared" si="78"/>
        <v>1.2404336087574941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-5.1159076974727213E-13</v>
      </c>
      <c r="GA127" s="17">
        <f>FZ127*VLOOKUP('Données projet'!$B$17,Paramètres!$A$1:$I$89,3,0)*VLOOKUP('Données projet'!$B$17,Paramètres!$A$1:$I$89,5,0)</f>
        <v>-4.0702161641092972E-13</v>
      </c>
      <c r="GB127" s="13" t="e">
        <f t="shared" si="103"/>
        <v>#NUM!</v>
      </c>
      <c r="GC127" s="20" t="e">
        <f t="shared" si="79"/>
        <v>#NUM!</v>
      </c>
      <c r="GD127" s="59" t="e">
        <f t="shared" si="80"/>
        <v>#NUM!</v>
      </c>
      <c r="GE127" s="59">
        <f ca="1">AVERAGE(OFFSET($GD$3,0,0,'Données projet'!$E$17+1,1))-AVERAGE(OFFSET($H$3,0,0,'Données projet'!$E$17+1,1))</f>
        <v>260.20517190557814</v>
      </c>
      <c r="GF127" s="59">
        <f t="shared" si="104"/>
        <v>307.22009971147133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>
        <f>EXP(-LN(2)/35)*GL126+(1-EXP(-LN(2)/35))/(LN(2)/35)*GH127*GI127*VLOOKUP('Données projet'!$B$17,Paramètres!$A$1:$I$89,3,0)*0.475*44/12</f>
        <v>0.50714860436186815</v>
      </c>
      <c r="GM127" s="21">
        <f>EXP(-LN(2)/25)*GM126+(1-EXP(-LN(2)/25))/(LN(2)/25)*Calculateur!GH127*Calculateur!GJ127*VLOOKUP('Données projet'!$B$17,Paramètres!$A$1:$I$89,3,0)*0.475*44/12</f>
        <v>1.5145937645896659</v>
      </c>
      <c r="GN127" s="21">
        <f>EXP(-LN(2)/2)*GN126+(1-EXP(-LN(2)/2))/(LN(2)/2)*GH127*GK127*VLOOKUP('Données projet'!$B$17,Paramètres!$A$1:$I$89,3,0)*0.475*44/12</f>
        <v>1.7080761162984918E-13</v>
      </c>
      <c r="GO127" s="21">
        <f t="shared" si="81"/>
        <v>2.0217423689517049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5.6843418860808015E-14</v>
      </c>
      <c r="GV127" s="17">
        <f>GU127*VLOOKUP('Données projet'!$B$18,Paramètres!$A$1:$I$89,3,0)*VLOOKUP('Données projet'!$B$18,Paramètres!$A$1:$I$89,5,0)</f>
        <v>4.5224624045658861E-14</v>
      </c>
      <c r="GW127" s="13">
        <f t="shared" si="105"/>
        <v>7.4514601661523691E-13</v>
      </c>
      <c r="GX127" s="20">
        <f t="shared" si="82"/>
        <v>1.3765621991510601E-12</v>
      </c>
      <c r="GY127" s="59">
        <f t="shared" si="83"/>
        <v>293.33333333333468</v>
      </c>
      <c r="GZ127" s="59">
        <f ca="1">AVERAGE(OFFSET($GY$3,0,0,'Données projet'!$E$18+1,1))-AVERAGE(OFFSET($H$3,0,0,'Données projet'!$E$18+1,1))</f>
        <v>199.58763537752952</v>
      </c>
      <c r="HA127" s="59">
        <f t="shared" si="106"/>
        <v>242.62852778451929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>
        <f>EXP(-LN(2)/35)*HG126+(1-EXP(-LN(2)/35))/(LN(2)/35)*HC127*HD127*VLOOKUP('Données projet'!$B$18,Paramètres!$A$1:$I$89,3,0)*0.475*44/12</f>
        <v>0</v>
      </c>
      <c r="HH127" s="21">
        <f>EXP(-LN(2)/25)*HH126+(1-EXP(-LN(2)/25))/(LN(2)/25)*Calculateur!HC127*Calculateur!HE127*VLOOKUP('Données projet'!$B$18,Paramètres!$A$1:$I$89,3,0)*0.475*44/12</f>
        <v>0.75900748425174436</v>
      </c>
      <c r="HI127" s="21">
        <f>EXP(-LN(2)/2)*HI126+(1-EXP(-LN(2)/2))/(LN(2)/2)*HC127*HF127*VLOOKUP('Données projet'!$B$18,Paramètres!$A$1:$I$89,3,0)*0.475*44/12</f>
        <v>7.646547141760763E-14</v>
      </c>
      <c r="HJ127" s="22">
        <f t="shared" si="84"/>
        <v>0.75900748425182085</v>
      </c>
    </row>
    <row r="128" spans="1:218" x14ac:dyDescent="0.2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111.1500000000002</v>
      </c>
      <c r="D128" s="11">
        <f t="shared" si="86"/>
        <v>29.601769319956595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1086.5048859786139</v>
      </c>
      <c r="H128" s="67">
        <f t="shared" si="56"/>
        <v>538.47599823225801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-2.2737367544323206E-13</v>
      </c>
      <c r="O128" s="13">
        <f>N128*VLOOKUP('Données projet'!$B$9,Paramètres!$A$1:$I$89,3,0)*VLOOKUP('Données projet'!$B$9,Paramètres!$A$1:$I$89,5,0)</f>
        <v>-1.2710188457276673E-13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255.5374979188561</v>
      </c>
      <c r="T128" s="59">
        <f t="shared" si="88"/>
        <v>343.10418468620901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0.47085024799992214</v>
      </c>
      <c r="AA128" s="21">
        <f>EXP(-LN(2)/25)*AA127+(1-EXP(-LN(2)/25))/(LN(2)/25)*Calculateur!V128*Calculateur!X128*VLOOKUP('Données projet'!$B$9,Paramètres!$A$1:$I$89,3,0)*0.475*44/12</f>
        <v>1.1458452130165813</v>
      </c>
      <c r="AB128" s="21">
        <f>EXP(-LN(2)/2)*AB127+(1-EXP(-LN(2)/2))/(LN(2)/2)*V128*Y128*VLOOKUP('Données projet'!$B$9,Paramètres!$A$1:$I$89,3,0)*0.475*44/12</f>
        <v>8.504384848403965E-15</v>
      </c>
      <c r="AC128" s="22">
        <f t="shared" si="57"/>
        <v>1.6166954610165118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1.1368683772161603E-13</v>
      </c>
      <c r="AJ128" s="13">
        <f>AI128*VLOOKUP('Données projet'!$B$10,Paramètres!$A$1:$I$89,3,0)*VLOOKUP('Données projet'!$B$10,Paramètres!$A$1:$I$89,5,0)</f>
        <v>6.3550942286383367E-14</v>
      </c>
      <c r="AK128" s="13">
        <f t="shared" si="89"/>
        <v>1.0064464192543978E-12</v>
      </c>
      <c r="AL128" s="20">
        <f t="shared" si="58"/>
        <v>1.8635787380168604E-12</v>
      </c>
      <c r="AM128" s="59">
        <f t="shared" si="59"/>
        <v>293.33333333333519</v>
      </c>
      <c r="AN128" s="59">
        <f ca="1">AVERAGE(OFFSET($AM$3,0,0,'Données projet'!$E$10+1,1))-AVERAGE(OFFSET($H$3,0,0,'Données projet'!$E$10+1,1))</f>
        <v>224.7049802939942</v>
      </c>
      <c r="AO128" s="59">
        <f t="shared" si="90"/>
        <v>203.48513862195352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0.33997689094385258</v>
      </c>
      <c r="AV128" s="21">
        <f>EXP(-LN(2)/25)*AV127+(1-EXP(-LN(2)/25))/(LN(2)/25)*Calculateur!AQ128*Calculateur!AS128*VLOOKUP('Données projet'!$B$10,Paramètres!$A$1:$I$89,3,0)*0.475*44/12</f>
        <v>1.4017370415134049</v>
      </c>
      <c r="AW128" s="21">
        <f>EXP(-LN(2)/2)*AW127+(1-EXP(-LN(2)/2))/(LN(2)/2)*AQ128*AT128*VLOOKUP('Données projet'!$B$10,Paramètres!$A$1:$I$89,3,0)*0.475*44/12</f>
        <v>4.5020768814253304E-14</v>
      </c>
      <c r="AX128" s="21">
        <f t="shared" si="60"/>
        <v>1.7417139324573025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>
        <f>BD128*VLOOKUP('Données projet'!$B$11,Paramètres!$A$1:$I$89,3,0)*VLOOKUP('Données projet'!$B$11,Paramètres!$A$1:$I$89,5,0)</f>
        <v>0</v>
      </c>
      <c r="BF128" s="13" t="e">
        <f t="shared" si="91"/>
        <v>#NUM!</v>
      </c>
      <c r="BG128" s="20" t="e">
        <f t="shared" si="61"/>
        <v>#NUM!</v>
      </c>
      <c r="BH128" s="59" t="e">
        <f t="shared" si="62"/>
        <v>#NUM!</v>
      </c>
      <c r="BI128" s="59">
        <f ca="1">AVERAGE(OFFSET($BH$3,0,0,'Données projet'!$E$11+1,1))-AVERAGE(OFFSET($H$3,0,0,'Données projet'!$E$11+1,1))</f>
        <v>210.04871822652808</v>
      </c>
      <c r="BJ128" s="59">
        <f t="shared" si="92"/>
        <v>250.17540614049324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1.1125002428344501</v>
      </c>
      <c r="BQ128" s="21">
        <f>EXP(-LN(2)/25)*BQ127+(1-EXP(-LN(2)/25))/(LN(2)/25)*Calculateur!BL128*Calculateur!BN128*VLOOKUP('Données projet'!$B$11,Paramètres!$A$1:$I$89,3,0)*0.475*44/12</f>
        <v>1.998068432032204</v>
      </c>
      <c r="BR128" s="21">
        <f>EXP(-LN(2)/2)*BR127+(1-EXP(-LN(2)/2))/(LN(2)/2)*BL128*BO128*VLOOKUP('Données projet'!$B$11,Paramètres!$A$1:$I$89,3,0)*0.475*44/12</f>
        <v>1.082931141178402E-13</v>
      </c>
      <c r="BS128" s="22">
        <f t="shared" si="63"/>
        <v>3.1105686748667623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2.2737367544323206E-13</v>
      </c>
      <c r="BZ128" s="13">
        <f>BY128*VLOOKUP('Données projet'!$B$12,Paramètres!$A$1:$I$89,3,0)*VLOOKUP('Données projet'!$B$12,Paramètres!$A$1:$I$89,5,0)</f>
        <v>1.2414602679200471E-13</v>
      </c>
      <c r="CA128" s="13">
        <f t="shared" si="93"/>
        <v>1.8186582995804361E-12</v>
      </c>
      <c r="CB128" s="20">
        <f t="shared" si="64"/>
        <v>3.3837175350986671E-12</v>
      </c>
      <c r="CC128" s="59">
        <f t="shared" si="65"/>
        <v>293.33333333333672</v>
      </c>
      <c r="CD128" s="59">
        <f ca="1">AVERAGE(OFFSET($CC$3,0,0,'Données projet'!$E$12+1,1))-AVERAGE(OFFSET($H$3,0,0,'Données projet'!$E$12+1,1))</f>
        <v>168.72306536277267</v>
      </c>
      <c r="CE128" s="59">
        <f t="shared" si="94"/>
        <v>203.35476578922339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0.46354176784768752</v>
      </c>
      <c r="CL128" s="21">
        <f>EXP(-LN(2)/25)*CL127+(1-EXP(-LN(2)/25))/(LN(2)/25)*Calculateur!CG128*Calculateur!CI128*VLOOKUP('Données projet'!$B$12,Paramètres!$A$1:$I$89,3,0)*0.475*44/12</f>
        <v>1.6501785274942067</v>
      </c>
      <c r="CM128" s="21">
        <f>EXP(-LN(2)/2)*CM127+(1-EXP(-LN(2)/2))/(LN(2)/2)*CG128*CJ128*VLOOKUP('Données projet'!$B$12,Paramètres!$A$1:$I$89,3,0)*0.475*44/12</f>
        <v>1.0060572984058541E-13</v>
      </c>
      <c r="CN128" s="22">
        <f t="shared" si="66"/>
        <v>2.1137202953419951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1277.6923076923067</v>
      </c>
      <c r="CU128" s="17">
        <f>CT128*VLOOKUP('Données projet'!$B$13,Paramètres!$A$1:$I$89,3,0)*VLOOKUP('Données projet'!$B$13,Paramètres!$A$1:$I$89,5,0)</f>
        <v>614.5699999999996</v>
      </c>
      <c r="CV128" s="13">
        <f t="shared" si="95"/>
        <v>134.13240620831178</v>
      </c>
      <c r="CW128" s="20">
        <f t="shared" si="67"/>
        <v>1303.9900241461421</v>
      </c>
      <c r="CX128" s="59">
        <f t="shared" si="68"/>
        <v>1597.3233574794754</v>
      </c>
      <c r="CY128" s="59">
        <f ca="1">AVERAGE(OFFSET($CX$3,0,0,'Données projet'!$E$13+1,1))-AVERAGE(OFFSET($H$3,0,0,'Données projet'!$E$13+1,1))</f>
        <v>304.15237106473313</v>
      </c>
      <c r="CZ128" s="59">
        <f t="shared" si="96"/>
        <v>120.85458928724336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>
        <f>EXP(-LN(2)/35)*DF127+(1-EXP(-LN(2)/35))/(LN(2)/35)*DB128*DC128*VLOOKUP('Données projet'!$B$13,Paramètres!$A$1:$I$89,3,0)*0.475*44/12</f>
        <v>0</v>
      </c>
      <c r="DG128" s="21">
        <f>EXP(-LN(2)/25)*DG127+(1-EXP(-LN(2)/25))/(LN(2)/25)*Calculateur!DB128*Calculateur!DD128*VLOOKUP('Données projet'!$B$13,Paramètres!$A$1:$I$89,3,0)*0.475*44/12</f>
        <v>0</v>
      </c>
      <c r="DH128" s="21">
        <f>EXP(-LN(2)/2)*DH127+(1-EXP(-LN(2)/2))/(LN(2)/2)*DB128*DE128*VLOOKUP('Données projet'!$B$13,Paramètres!$A$1:$I$89,3,0)*0.475*44/12</f>
        <v>0</v>
      </c>
      <c r="DI128" s="22">
        <f t="shared" si="69"/>
        <v>0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425.38461538461536</v>
      </c>
      <c r="DP128" s="17">
        <f>DO128*VLOOKUP('Données projet'!$B$14,Paramètres!$A$1:$I$89,3,0)*VLOOKUP('Données projet'!$B$14,Paramètres!$A$1:$I$89,5,0)</f>
        <v>204.60999999999999</v>
      </c>
      <c r="DQ128" s="13">
        <f t="shared" si="97"/>
        <v>50.755958577224398</v>
      </c>
      <c r="DR128" s="20">
        <f t="shared" si="70"/>
        <v>444.76237785533249</v>
      </c>
      <c r="DS128" s="59">
        <f t="shared" si="71"/>
        <v>738.09571118866575</v>
      </c>
      <c r="DT128" s="59">
        <f ca="1">AVERAGE(OFFSET($DS$3,0,0,'Données projet'!$E$14+1,1))-AVERAGE(OFFSET($H$3,0,0,'Données projet'!$E$14+1,1))</f>
        <v>91.053246648097399</v>
      </c>
      <c r="DU128" s="59">
        <f t="shared" si="98"/>
        <v>64.716270355703955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>
        <f>EXP(-LN(2)/35)*EA127+(1-EXP(-LN(2)/35))/(LN(2)/35)*DW128*DX128*VLOOKUP('Données projet'!$B$14,Paramètres!$A$1:$I$89,3,0)*0.475*44/12</f>
        <v>0</v>
      </c>
      <c r="EB128" s="21">
        <f>EXP(-LN(2)/25)*EB127+(1-EXP(-LN(2)/25))/(LN(2)/25)*Calculateur!DW128*Calculateur!DY128*VLOOKUP('Données projet'!$B$14,Paramètres!$A$1:$I$89,3,0)*0.475*44/12</f>
        <v>0</v>
      </c>
      <c r="EC128" s="21">
        <f>EXP(-LN(2)/2)*EC127+(1-EXP(-LN(2)/2))/(LN(2)/2)*DW128*DZ128*VLOOKUP('Données projet'!$B$14,Paramètres!$A$1:$I$89,3,0)*0.475*44/12</f>
        <v>0</v>
      </c>
      <c r="ED128" s="22">
        <f t="shared" si="72"/>
        <v>0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553.99999999999955</v>
      </c>
      <c r="EK128" s="17">
        <f>EJ128*VLOOKUP('Données projet'!$B$15,Paramètres!$A$1:$I$89,3,0)*VLOOKUP('Données projet'!$B$15,Paramètres!$A$1:$I$89,5,0)</f>
        <v>331.29199999999975</v>
      </c>
      <c r="EL128" s="13">
        <f t="shared" si="99"/>
        <v>77.698110787752</v>
      </c>
      <c r="EM128" s="20">
        <f t="shared" si="73"/>
        <v>712.32444295533423</v>
      </c>
      <c r="EN128" s="59">
        <f t="shared" si="74"/>
        <v>1005.6577762886675</v>
      </c>
      <c r="EO128" s="59">
        <f ca="1">AVERAGE(OFFSET($EN$3,0,0,'Données projet'!$E$15+1,1))-AVERAGE(OFFSET($H$3,0,0,'Données projet'!$E$15+1,1))</f>
        <v>316.58509520829671</v>
      </c>
      <c r="EP128" s="59">
        <f t="shared" si="100"/>
        <v>240.71332110643596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>
        <f>EXP(-LN(2)/35)*EV127+(1-EXP(-LN(2)/35))/(LN(2)/35)*ER128*ES128*VLOOKUP('Données projet'!$B$15,Paramètres!$A$1:$I$89,3,0)*0.475*44/12</f>
        <v>0.38620597290575243</v>
      </c>
      <c r="EW128" s="21">
        <f>EXP(-LN(2)/25)*EW127+(1-EXP(-LN(2)/25))/(LN(2)/25)*Calculateur!ER128*Calculateur!ET128*VLOOKUP('Données projet'!$B$15,Paramètres!$A$1:$I$89,3,0)*0.475*44/12</f>
        <v>1.096140144260211</v>
      </c>
      <c r="EX128" s="21">
        <f>EXP(-LN(2)/2)*EX127+(1-EXP(-LN(2)/2))/(LN(2)/2)*ER128*EU128*VLOOKUP('Données projet'!$B$15,Paramètres!$A$1:$I$89,3,0)*0.475*44/12</f>
        <v>1.1022975072929414E-13</v>
      </c>
      <c r="EY128" s="22">
        <f t="shared" si="75"/>
        <v>1.4823461171660735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497</v>
      </c>
      <c r="FF128" s="17">
        <f>FE128*VLOOKUP('Données projet'!$B$16,Paramètres!$A$1:$I$89,3,0)*VLOOKUP('Données projet'!$B$16,Paramètres!$A$1:$I$89,5,0)</f>
        <v>297.20600000000002</v>
      </c>
      <c r="FG128" s="13">
        <f t="shared" si="101"/>
        <v>70.590415164571112</v>
      </c>
      <c r="FH128" s="20">
        <f t="shared" si="76"/>
        <v>640.57875641162809</v>
      </c>
      <c r="FI128" s="59">
        <f t="shared" si="77"/>
        <v>933.91208974496135</v>
      </c>
      <c r="FJ128" s="59">
        <f ca="1">AVERAGE(OFFSET($FI$3,0,0,'Données projet'!$E$16+1,1))-AVERAGE(OFFSET($H$3,0,0,'Données projet'!$E$16+1,1))</f>
        <v>270.30888762640245</v>
      </c>
      <c r="FK128" s="59">
        <f t="shared" si="102"/>
        <v>202.23783851977691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>
        <f>EXP(-LN(2)/35)*FQ127+(1-EXP(-LN(2)/35))/(LN(2)/35)*FM128*FN128*VLOOKUP('Données projet'!$B$16,Paramètres!$A$1:$I$89,3,0)*0.475*44/12</f>
        <v>0.32637124470908629</v>
      </c>
      <c r="FR128" s="21">
        <f>EXP(-LN(2)/25)*FR127+(1-EXP(-LN(2)/25))/(LN(2)/25)*Calculateur!FM128*Calculateur!FO128*VLOOKUP('Données projet'!$B$16,Paramètres!$A$1:$I$89,3,0)*0.475*44/12</f>
        <v>0.8827178376124406</v>
      </c>
      <c r="FS128" s="21">
        <f>EXP(-LN(2)/2)*FS127+(1-EXP(-LN(2)/2))/(LN(2)/2)*FM128*FP128*VLOOKUP('Données projet'!$B$16,Paramètres!$A$1:$I$89,3,0)*0.475*44/12</f>
        <v>9.2912336905586332E-14</v>
      </c>
      <c r="FT128" s="22">
        <f t="shared" si="78"/>
        <v>1.2090890823216198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-5.1159076974727213E-13</v>
      </c>
      <c r="GA128" s="17">
        <f>FZ128*VLOOKUP('Données projet'!$B$17,Paramètres!$A$1:$I$89,3,0)*VLOOKUP('Données projet'!$B$17,Paramètres!$A$1:$I$89,5,0)</f>
        <v>-4.0702161641092972E-13</v>
      </c>
      <c r="GB128" s="13" t="e">
        <f t="shared" si="103"/>
        <v>#NUM!</v>
      </c>
      <c r="GC128" s="20" t="e">
        <f t="shared" si="79"/>
        <v>#NUM!</v>
      </c>
      <c r="GD128" s="59" t="e">
        <f t="shared" si="80"/>
        <v>#NUM!</v>
      </c>
      <c r="GE128" s="59">
        <f ca="1">AVERAGE(OFFSET($GD$3,0,0,'Données projet'!$E$17+1,1))-AVERAGE(OFFSET($H$3,0,0,'Données projet'!$E$17+1,1))</f>
        <v>260.20517190557814</v>
      </c>
      <c r="GF128" s="59">
        <f t="shared" si="104"/>
        <v>307.22009971147133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>
        <f>EXP(-LN(2)/35)*GL127+(1-EXP(-LN(2)/35))/(LN(2)/35)*GH128*GI128*VLOOKUP('Données projet'!$B$17,Paramètres!$A$1:$I$89,3,0)*0.475*44/12</f>
        <v>0.49720372956043679</v>
      </c>
      <c r="GM128" s="21">
        <f>EXP(-LN(2)/25)*GM127+(1-EXP(-LN(2)/25))/(LN(2)/25)*Calculateur!GH128*Calculateur!GJ128*VLOOKUP('Données projet'!$B$17,Paramètres!$A$1:$I$89,3,0)*0.475*44/12</f>
        <v>1.473177118447937</v>
      </c>
      <c r="GN128" s="21">
        <f>EXP(-LN(2)/2)*GN127+(1-EXP(-LN(2)/2))/(LN(2)/2)*GH128*GK128*VLOOKUP('Données projet'!$B$17,Paramètres!$A$1:$I$89,3,0)*0.475*44/12</f>
        <v>1.2077922046174455E-13</v>
      </c>
      <c r="GO128" s="21">
        <f t="shared" si="81"/>
        <v>1.9703808480084946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5.6843418860808015E-14</v>
      </c>
      <c r="GV128" s="17">
        <f>GU128*VLOOKUP('Données projet'!$B$18,Paramètres!$A$1:$I$89,3,0)*VLOOKUP('Données projet'!$B$18,Paramètres!$A$1:$I$89,5,0)</f>
        <v>4.5224624045658861E-14</v>
      </c>
      <c r="GW128" s="13">
        <f t="shared" si="105"/>
        <v>7.4514601661523691E-13</v>
      </c>
      <c r="GX128" s="20">
        <f t="shared" si="82"/>
        <v>1.3765621991510601E-12</v>
      </c>
      <c r="GY128" s="59">
        <f t="shared" si="83"/>
        <v>293.33333333333468</v>
      </c>
      <c r="GZ128" s="59">
        <f ca="1">AVERAGE(OFFSET($GY$3,0,0,'Données projet'!$E$18+1,1))-AVERAGE(OFFSET($H$3,0,0,'Données projet'!$E$18+1,1))</f>
        <v>199.58763537752952</v>
      </c>
      <c r="HA128" s="59">
        <f t="shared" si="106"/>
        <v>242.62852778451929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>
        <f>EXP(-LN(2)/35)*HG127+(1-EXP(-LN(2)/35))/(LN(2)/35)*HC128*HD128*VLOOKUP('Données projet'!$B$18,Paramètres!$A$1:$I$89,3,0)*0.475*44/12</f>
        <v>0</v>
      </c>
      <c r="HH128" s="21">
        <f>EXP(-LN(2)/25)*HH127+(1-EXP(-LN(2)/25))/(LN(2)/25)*Calculateur!HC128*Calculateur!HE128*VLOOKUP('Données projet'!$B$18,Paramètres!$A$1:$I$89,3,0)*0.475*44/12</f>
        <v>0.73825238468041154</v>
      </c>
      <c r="HI128" s="21">
        <f>EXP(-LN(2)/2)*HI127+(1-EXP(-LN(2)/2))/(LN(2)/2)*HC128*HF128*VLOOKUP('Données projet'!$B$18,Paramètres!$A$1:$I$89,3,0)*0.475*44/12</f>
        <v>5.4069253366016483E-14</v>
      </c>
      <c r="HJ128" s="22">
        <f t="shared" si="84"/>
        <v>0.73825238468046561</v>
      </c>
    </row>
    <row r="129" spans="1:218" x14ac:dyDescent="0.2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112.03920000000021</v>
      </c>
      <c r="D129" s="11">
        <f t="shared" si="86"/>
        <v>29.810921169420254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1094.9833914832457</v>
      </c>
      <c r="H129" s="67">
        <f t="shared" si="56"/>
        <v>540.38896103674051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-2.2737367544323206E-13</v>
      </c>
      <c r="O129" s="13">
        <f>N129*VLOOKUP('Données projet'!$B$9,Paramètres!$A$1:$I$89,3,0)*VLOOKUP('Données projet'!$B$9,Paramètres!$A$1:$I$89,5,0)</f>
        <v>-1.2710188457276673E-13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255.5374979188561</v>
      </c>
      <c r="T129" s="59">
        <f t="shared" si="88"/>
        <v>343.10418468620901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0.46161716182693724</v>
      </c>
      <c r="AA129" s="21">
        <f>EXP(-LN(2)/25)*AA128+(1-EXP(-LN(2)/25))/(LN(2)/25)*Calculateur!V129*Calculateur!X129*VLOOKUP('Données projet'!$B$9,Paramètres!$A$1:$I$89,3,0)*0.475*44/12</f>
        <v>1.114512015409262</v>
      </c>
      <c r="AB129" s="21">
        <f>EXP(-LN(2)/2)*AB128+(1-EXP(-LN(2)/2))/(LN(2)/2)*V129*Y129*VLOOKUP('Données projet'!$B$9,Paramètres!$A$1:$I$89,3,0)*0.475*44/12</f>
        <v>6.0135081961265728E-15</v>
      </c>
      <c r="AC129" s="22">
        <f t="shared" si="57"/>
        <v>1.5761291772362054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1.1368683772161603E-13</v>
      </c>
      <c r="AJ129" s="13">
        <f>AI129*VLOOKUP('Données projet'!$B$10,Paramètres!$A$1:$I$89,3,0)*VLOOKUP('Données projet'!$B$10,Paramètres!$A$1:$I$89,5,0)</f>
        <v>6.3550942286383367E-14</v>
      </c>
      <c r="AK129" s="13">
        <f t="shared" si="89"/>
        <v>1.0064464192543978E-12</v>
      </c>
      <c r="AL129" s="20">
        <f t="shared" si="58"/>
        <v>1.8635787380168604E-12</v>
      </c>
      <c r="AM129" s="59">
        <f t="shared" si="59"/>
        <v>293.33333333333519</v>
      </c>
      <c r="AN129" s="59">
        <f ca="1">AVERAGE(OFFSET($AM$3,0,0,'Données projet'!$E$10+1,1))-AVERAGE(OFFSET($H$3,0,0,'Données projet'!$E$10+1,1))</f>
        <v>224.7049802939942</v>
      </c>
      <c r="AO129" s="59">
        <f t="shared" si="90"/>
        <v>203.48513862195352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0.33331015147787146</v>
      </c>
      <c r="AV129" s="21">
        <f>EXP(-LN(2)/25)*AV128+(1-EXP(-LN(2)/25))/(LN(2)/25)*Calculateur!AQ129*Calculateur!AS129*VLOOKUP('Données projet'!$B$10,Paramètres!$A$1:$I$89,3,0)*0.475*44/12</f>
        <v>1.3634064683990736</v>
      </c>
      <c r="AW129" s="21">
        <f>EXP(-LN(2)/2)*AW128+(1-EXP(-LN(2)/2))/(LN(2)/2)*AQ129*AT129*VLOOKUP('Données projet'!$B$10,Paramètres!$A$1:$I$89,3,0)*0.475*44/12</f>
        <v>3.1834490922790353E-14</v>
      </c>
      <c r="AX129" s="21">
        <f t="shared" si="60"/>
        <v>1.696716619876977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>
        <f>BD129*VLOOKUP('Données projet'!$B$11,Paramètres!$A$1:$I$89,3,0)*VLOOKUP('Données projet'!$B$11,Paramètres!$A$1:$I$89,5,0)</f>
        <v>0</v>
      </c>
      <c r="BF129" s="13" t="e">
        <f t="shared" si="91"/>
        <v>#NUM!</v>
      </c>
      <c r="BG129" s="20" t="e">
        <f t="shared" si="61"/>
        <v>#NUM!</v>
      </c>
      <c r="BH129" s="59" t="e">
        <f t="shared" si="62"/>
        <v>#NUM!</v>
      </c>
      <c r="BI129" s="59">
        <f ca="1">AVERAGE(OFFSET($BH$3,0,0,'Données projet'!$E$11+1,1))-AVERAGE(OFFSET($H$3,0,0,'Données projet'!$E$11+1,1))</f>
        <v>210.04871822652808</v>
      </c>
      <c r="BJ129" s="59">
        <f t="shared" si="92"/>
        <v>250.17540614049324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1.0906847916306126</v>
      </c>
      <c r="BQ129" s="21">
        <f>EXP(-LN(2)/25)*BQ128+(1-EXP(-LN(2)/25))/(LN(2)/25)*Calculateur!BL129*Calculateur!BN129*VLOOKUP('Données projet'!$B$11,Paramètres!$A$1:$I$89,3,0)*0.475*44/12</f>
        <v>1.9434311456844311</v>
      </c>
      <c r="BR129" s="21">
        <f>EXP(-LN(2)/2)*BR128+(1-EXP(-LN(2)/2))/(LN(2)/2)*BL129*BO129*VLOOKUP('Données projet'!$B$11,Paramètres!$A$1:$I$89,3,0)*0.475*44/12</f>
        <v>7.6574795348533449E-14</v>
      </c>
      <c r="BS129" s="22">
        <f t="shared" si="63"/>
        <v>3.0341159373151201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2.2737367544323206E-13</v>
      </c>
      <c r="BZ129" s="13">
        <f>BY129*VLOOKUP('Données projet'!$B$12,Paramètres!$A$1:$I$89,3,0)*VLOOKUP('Données projet'!$B$12,Paramètres!$A$1:$I$89,5,0)</f>
        <v>1.2414602679200471E-13</v>
      </c>
      <c r="CA129" s="13">
        <f t="shared" si="93"/>
        <v>1.8186582995804361E-12</v>
      </c>
      <c r="CB129" s="20">
        <f t="shared" si="64"/>
        <v>3.3837175350986671E-12</v>
      </c>
      <c r="CC129" s="59">
        <f t="shared" si="65"/>
        <v>293.33333333333672</v>
      </c>
      <c r="CD129" s="59">
        <f ca="1">AVERAGE(OFFSET($CC$3,0,0,'Données projet'!$E$12+1,1))-AVERAGE(OFFSET($H$3,0,0,'Données projet'!$E$12+1,1))</f>
        <v>168.72306536277267</v>
      </c>
      <c r="CE129" s="59">
        <f t="shared" si="94"/>
        <v>203.35476578922339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0.45445199651275525</v>
      </c>
      <c r="CL129" s="21">
        <f>EXP(-LN(2)/25)*CL128+(1-EXP(-LN(2)/25))/(LN(2)/25)*Calculateur!CG129*Calculateur!CI129*VLOOKUP('Données projet'!$B$12,Paramètres!$A$1:$I$89,3,0)*0.475*44/12</f>
        <v>1.6050543088807603</v>
      </c>
      <c r="CM129" s="21">
        <f>EXP(-LN(2)/2)*CM128+(1-EXP(-LN(2)/2))/(LN(2)/2)*CG129*CJ129*VLOOKUP('Données projet'!$B$12,Paramètres!$A$1:$I$89,3,0)*0.475*44/12</f>
        <v>7.1138993796499741E-14</v>
      </c>
      <c r="CN129" s="22">
        <f t="shared" si="66"/>
        <v>2.0595063053935867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1277.6923076923067</v>
      </c>
      <c r="CU129" s="17">
        <f>CT129*VLOOKUP('Données projet'!$B$13,Paramètres!$A$1:$I$89,3,0)*VLOOKUP('Données projet'!$B$13,Paramètres!$A$1:$I$89,5,0)</f>
        <v>614.5699999999996</v>
      </c>
      <c r="CV129" s="13">
        <f t="shared" si="95"/>
        <v>134.13240620831178</v>
      </c>
      <c r="CW129" s="20">
        <f t="shared" si="67"/>
        <v>1303.9900241461421</v>
      </c>
      <c r="CX129" s="59">
        <f t="shared" si="68"/>
        <v>1597.3233574794754</v>
      </c>
      <c r="CY129" s="59">
        <f ca="1">AVERAGE(OFFSET($CX$3,0,0,'Données projet'!$E$13+1,1))-AVERAGE(OFFSET($H$3,0,0,'Données projet'!$E$13+1,1))</f>
        <v>304.15237106473313</v>
      </c>
      <c r="CZ129" s="59">
        <f t="shared" si="96"/>
        <v>120.85458928724336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>
        <f>EXP(-LN(2)/35)*DF128+(1-EXP(-LN(2)/35))/(LN(2)/35)*DB129*DC129*VLOOKUP('Données projet'!$B$13,Paramètres!$A$1:$I$89,3,0)*0.475*44/12</f>
        <v>0</v>
      </c>
      <c r="DG129" s="21">
        <f>EXP(-LN(2)/25)*DG128+(1-EXP(-LN(2)/25))/(LN(2)/25)*Calculateur!DB129*Calculateur!DD129*VLOOKUP('Données projet'!$B$13,Paramètres!$A$1:$I$89,3,0)*0.475*44/12</f>
        <v>0</v>
      </c>
      <c r="DH129" s="21">
        <f>EXP(-LN(2)/2)*DH128+(1-EXP(-LN(2)/2))/(LN(2)/2)*DB129*DE129*VLOOKUP('Données projet'!$B$13,Paramètres!$A$1:$I$89,3,0)*0.475*44/12</f>
        <v>0</v>
      </c>
      <c r="DI129" s="22">
        <f t="shared" si="69"/>
        <v>0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425.38461538461536</v>
      </c>
      <c r="DP129" s="17">
        <f>DO129*VLOOKUP('Données projet'!$B$14,Paramètres!$A$1:$I$89,3,0)*VLOOKUP('Données projet'!$B$14,Paramètres!$A$1:$I$89,5,0)</f>
        <v>204.60999999999999</v>
      </c>
      <c r="DQ129" s="13">
        <f t="shared" si="97"/>
        <v>50.755958577224398</v>
      </c>
      <c r="DR129" s="20">
        <f t="shared" si="70"/>
        <v>444.76237785533249</v>
      </c>
      <c r="DS129" s="59">
        <f t="shared" si="71"/>
        <v>738.09571118866575</v>
      </c>
      <c r="DT129" s="59">
        <f ca="1">AVERAGE(OFFSET($DS$3,0,0,'Données projet'!$E$14+1,1))-AVERAGE(OFFSET($H$3,0,0,'Données projet'!$E$14+1,1))</f>
        <v>91.053246648097399</v>
      </c>
      <c r="DU129" s="59">
        <f t="shared" si="98"/>
        <v>64.716270355703955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>
        <f>EXP(-LN(2)/35)*EA128+(1-EXP(-LN(2)/35))/(LN(2)/35)*DW129*DX129*VLOOKUP('Données projet'!$B$14,Paramètres!$A$1:$I$89,3,0)*0.475*44/12</f>
        <v>0</v>
      </c>
      <c r="EB129" s="21">
        <f>EXP(-LN(2)/25)*EB128+(1-EXP(-LN(2)/25))/(LN(2)/25)*Calculateur!DW129*Calculateur!DY129*VLOOKUP('Données projet'!$B$14,Paramètres!$A$1:$I$89,3,0)*0.475*44/12</f>
        <v>0</v>
      </c>
      <c r="EC129" s="21">
        <f>EXP(-LN(2)/2)*EC128+(1-EXP(-LN(2)/2))/(LN(2)/2)*DW129*DZ129*VLOOKUP('Données projet'!$B$14,Paramètres!$A$1:$I$89,3,0)*0.475*44/12</f>
        <v>0</v>
      </c>
      <c r="ED129" s="22">
        <f t="shared" si="72"/>
        <v>0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553.99999999999955</v>
      </c>
      <c r="EK129" s="17">
        <f>EJ129*VLOOKUP('Données projet'!$B$15,Paramètres!$A$1:$I$89,3,0)*VLOOKUP('Données projet'!$B$15,Paramètres!$A$1:$I$89,5,0)</f>
        <v>331.29199999999975</v>
      </c>
      <c r="EL129" s="13">
        <f t="shared" si="99"/>
        <v>77.698110787752</v>
      </c>
      <c r="EM129" s="20">
        <f t="shared" si="73"/>
        <v>712.32444295533423</v>
      </c>
      <c r="EN129" s="59">
        <f t="shared" si="74"/>
        <v>1005.6577762886675</v>
      </c>
      <c r="EO129" s="59">
        <f ca="1">AVERAGE(OFFSET($EN$3,0,0,'Données projet'!$E$15+1,1))-AVERAGE(OFFSET($H$3,0,0,'Données projet'!$E$15+1,1))</f>
        <v>316.58509520829671</v>
      </c>
      <c r="EP129" s="59">
        <f t="shared" si="100"/>
        <v>240.71332110643596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>
        <f>EXP(-LN(2)/35)*EV128+(1-EXP(-LN(2)/35))/(LN(2)/35)*ER129*ES129*VLOOKUP('Données projet'!$B$15,Paramètres!$A$1:$I$89,3,0)*0.475*44/12</f>
        <v>0.37863270933945425</v>
      </c>
      <c r="EW129" s="21">
        <f>EXP(-LN(2)/25)*EW128+(1-EXP(-LN(2)/25))/(LN(2)/25)*Calculateur!ER129*Calculateur!ET129*VLOOKUP('Données projet'!$B$15,Paramètres!$A$1:$I$89,3,0)*0.475*44/12</f>
        <v>1.0661661343719107</v>
      </c>
      <c r="EX129" s="21">
        <f>EXP(-LN(2)/2)*EX128+(1-EXP(-LN(2)/2))/(LN(2)/2)*ER129*EU129*VLOOKUP('Données projet'!$B$15,Paramètres!$A$1:$I$89,3,0)*0.475*44/12</f>
        <v>7.7944204229186668E-14</v>
      </c>
      <c r="EY129" s="22">
        <f t="shared" si="75"/>
        <v>1.4447988437114427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497</v>
      </c>
      <c r="FF129" s="17">
        <f>FE129*VLOOKUP('Données projet'!$B$16,Paramètres!$A$1:$I$89,3,0)*VLOOKUP('Données projet'!$B$16,Paramètres!$A$1:$I$89,5,0)</f>
        <v>297.20600000000002</v>
      </c>
      <c r="FG129" s="13">
        <f t="shared" si="101"/>
        <v>70.590415164571112</v>
      </c>
      <c r="FH129" s="20">
        <f t="shared" si="76"/>
        <v>640.57875641162809</v>
      </c>
      <c r="FI129" s="59">
        <f t="shared" si="77"/>
        <v>933.91208974496135</v>
      </c>
      <c r="FJ129" s="59">
        <f ca="1">AVERAGE(OFFSET($FI$3,0,0,'Données projet'!$E$16+1,1))-AVERAGE(OFFSET($H$3,0,0,'Données projet'!$E$16+1,1))</f>
        <v>270.30888762640245</v>
      </c>
      <c r="FK129" s="59">
        <f t="shared" si="102"/>
        <v>202.23783851977691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>
        <f>EXP(-LN(2)/35)*FQ128+(1-EXP(-LN(2)/35))/(LN(2)/35)*FM129*FN129*VLOOKUP('Données projet'!$B$16,Paramètres!$A$1:$I$89,3,0)*0.475*44/12</f>
        <v>0.31997130366714416</v>
      </c>
      <c r="FR129" s="21">
        <f>EXP(-LN(2)/25)*FR128+(1-EXP(-LN(2)/25))/(LN(2)/25)*Calculateur!FM129*Calculateur!FO129*VLOOKUP('Données projet'!$B$16,Paramètres!$A$1:$I$89,3,0)*0.475*44/12</f>
        <v>0.85857987192281482</v>
      </c>
      <c r="FS129" s="21">
        <f>EXP(-LN(2)/2)*FS128+(1-EXP(-LN(2)/2))/(LN(2)/2)*FM129*FP129*VLOOKUP('Données projet'!$B$16,Paramètres!$A$1:$I$89,3,0)*0.475*44/12</f>
        <v>6.5698943481829218E-14</v>
      </c>
      <c r="FT129" s="22">
        <f t="shared" si="78"/>
        <v>1.1785511755900246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-5.1159076974727213E-13</v>
      </c>
      <c r="GA129" s="17">
        <f>FZ129*VLOOKUP('Données projet'!$B$17,Paramètres!$A$1:$I$89,3,0)*VLOOKUP('Données projet'!$B$17,Paramètres!$A$1:$I$89,5,0)</f>
        <v>-4.0702161641092972E-13</v>
      </c>
      <c r="GB129" s="13" t="e">
        <f t="shared" si="103"/>
        <v>#NUM!</v>
      </c>
      <c r="GC129" s="20" t="e">
        <f t="shared" si="79"/>
        <v>#NUM!</v>
      </c>
      <c r="GD129" s="59" t="e">
        <f t="shared" si="80"/>
        <v>#NUM!</v>
      </c>
      <c r="GE129" s="59">
        <f ca="1">AVERAGE(OFFSET($GD$3,0,0,'Données projet'!$E$17+1,1))-AVERAGE(OFFSET($H$3,0,0,'Données projet'!$E$17+1,1))</f>
        <v>260.20517190557814</v>
      </c>
      <c r="GF129" s="59">
        <f t="shared" si="104"/>
        <v>307.22009971147133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>
        <f>EXP(-LN(2)/35)*GL128+(1-EXP(-LN(2)/35))/(LN(2)/35)*GH129*GI129*VLOOKUP('Données projet'!$B$17,Paramètres!$A$1:$I$89,3,0)*0.475*44/12</f>
        <v>0.48745386768808679</v>
      </c>
      <c r="GM129" s="21">
        <f>EXP(-LN(2)/25)*GM128+(1-EXP(-LN(2)/25))/(LN(2)/25)*Calculateur!GH129*Calculateur!GJ129*VLOOKUP('Données projet'!$B$17,Paramètres!$A$1:$I$89,3,0)*0.475*44/12</f>
        <v>1.4328930126729604</v>
      </c>
      <c r="GN129" s="21">
        <f>EXP(-LN(2)/2)*GN128+(1-EXP(-LN(2)/2))/(LN(2)/2)*GH129*GK129*VLOOKUP('Données projet'!$B$17,Paramètres!$A$1:$I$89,3,0)*0.475*44/12</f>
        <v>8.5403805814924589E-14</v>
      </c>
      <c r="GO129" s="21">
        <f t="shared" si="81"/>
        <v>1.9203468803611328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5.6843418860808015E-14</v>
      </c>
      <c r="GV129" s="17">
        <f>GU129*VLOOKUP('Données projet'!$B$18,Paramètres!$A$1:$I$89,3,0)*VLOOKUP('Données projet'!$B$18,Paramètres!$A$1:$I$89,5,0)</f>
        <v>4.5224624045658861E-14</v>
      </c>
      <c r="GW129" s="13">
        <f t="shared" si="105"/>
        <v>7.4514601661523691E-13</v>
      </c>
      <c r="GX129" s="20">
        <f t="shared" si="82"/>
        <v>1.3765621991510601E-12</v>
      </c>
      <c r="GY129" s="59">
        <f t="shared" si="83"/>
        <v>293.33333333333468</v>
      </c>
      <c r="GZ129" s="59">
        <f ca="1">AVERAGE(OFFSET($GY$3,0,0,'Données projet'!$E$18+1,1))-AVERAGE(OFFSET($H$3,0,0,'Données projet'!$E$18+1,1))</f>
        <v>199.58763537752952</v>
      </c>
      <c r="HA129" s="59">
        <f t="shared" si="106"/>
        <v>242.62852778451929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>
        <f>EXP(-LN(2)/35)*HG128+(1-EXP(-LN(2)/35))/(LN(2)/35)*HC129*HD129*VLOOKUP('Données projet'!$B$18,Paramètres!$A$1:$I$89,3,0)*0.475*44/12</f>
        <v>0</v>
      </c>
      <c r="HH129" s="21">
        <f>EXP(-LN(2)/25)*HH128+(1-EXP(-LN(2)/25))/(LN(2)/25)*Calculateur!HC129*Calculateur!HE129*VLOOKUP('Données projet'!$B$18,Paramètres!$A$1:$I$89,3,0)*0.475*44/12</f>
        <v>0.71806483439832003</v>
      </c>
      <c r="HI129" s="21">
        <f>EXP(-LN(2)/2)*HI128+(1-EXP(-LN(2)/2))/(LN(2)/2)*HC129*HF129*VLOOKUP('Données projet'!$B$18,Paramètres!$A$1:$I$89,3,0)*0.475*44/12</f>
        <v>3.8232735708803815E-14</v>
      </c>
      <c r="HJ129" s="22">
        <f t="shared" si="84"/>
        <v>0.71806483439835822</v>
      </c>
    </row>
    <row r="130" spans="1:218" x14ac:dyDescent="0.2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112.92840000000021</v>
      </c>
      <c r="D130" s="11">
        <f t="shared" si="86"/>
        <v>30.019879889489037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1103.4604061644784</v>
      </c>
      <c r="H130" s="67">
        <f t="shared" si="56"/>
        <v>542.30158747419375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-2.2737367544323206E-13</v>
      </c>
      <c r="O130" s="13">
        <f>N130*VLOOKUP('Données projet'!$B$9,Paramètres!$A$1:$I$89,3,0)*VLOOKUP('Données projet'!$B$9,Paramètres!$A$1:$I$89,5,0)</f>
        <v>-1.2710188457276673E-13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255.5374979188561</v>
      </c>
      <c r="T130" s="59">
        <f t="shared" si="88"/>
        <v>343.10418468620901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0.45256513084217809</v>
      </c>
      <c r="AA130" s="21">
        <f>EXP(-LN(2)/25)*AA129+(1-EXP(-LN(2)/25))/(LN(2)/25)*Calculateur!V130*Calculateur!X130*VLOOKUP('Données projet'!$B$9,Paramètres!$A$1:$I$89,3,0)*0.475*44/12</f>
        <v>1.0840356257382562</v>
      </c>
      <c r="AB130" s="21">
        <f>EXP(-LN(2)/2)*AB129+(1-EXP(-LN(2)/2))/(LN(2)/2)*V130*Y130*VLOOKUP('Données projet'!$B$9,Paramètres!$A$1:$I$89,3,0)*0.475*44/12</f>
        <v>4.2521924242019825E-15</v>
      </c>
      <c r="AC130" s="22">
        <f t="shared" si="57"/>
        <v>1.5366007565804385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1.1368683772161603E-13</v>
      </c>
      <c r="AJ130" s="13">
        <f>AI130*VLOOKUP('Données projet'!$B$10,Paramètres!$A$1:$I$89,3,0)*VLOOKUP('Données projet'!$B$10,Paramètres!$A$1:$I$89,5,0)</f>
        <v>6.3550942286383367E-14</v>
      </c>
      <c r="AK130" s="13">
        <f t="shared" si="89"/>
        <v>1.0064464192543978E-12</v>
      </c>
      <c r="AL130" s="20">
        <f t="shared" si="58"/>
        <v>1.8635787380168604E-12</v>
      </c>
      <c r="AM130" s="59">
        <f t="shared" si="59"/>
        <v>293.33333333333519</v>
      </c>
      <c r="AN130" s="59">
        <f ca="1">AVERAGE(OFFSET($AM$3,0,0,'Données projet'!$E$10+1,1))-AVERAGE(OFFSET($H$3,0,0,'Données projet'!$E$10+1,1))</f>
        <v>224.7049802939942</v>
      </c>
      <c r="AO130" s="59">
        <f t="shared" si="90"/>
        <v>203.48513862195352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0.32677414270650867</v>
      </c>
      <c r="AV130" s="21">
        <f>EXP(-LN(2)/25)*AV129+(1-EXP(-LN(2)/25))/(LN(2)/25)*Calculateur!AQ130*Calculateur!AS130*VLOOKUP('Données projet'!$B$10,Paramètres!$A$1:$I$89,3,0)*0.475*44/12</f>
        <v>1.3261240468222708</v>
      </c>
      <c r="AW130" s="21">
        <f>EXP(-LN(2)/2)*AW129+(1-EXP(-LN(2)/2))/(LN(2)/2)*AQ130*AT130*VLOOKUP('Données projet'!$B$10,Paramètres!$A$1:$I$89,3,0)*0.475*44/12</f>
        <v>2.2510384407126652E-14</v>
      </c>
      <c r="AX130" s="21">
        <f t="shared" si="60"/>
        <v>1.652898189528802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>
        <f>BD130*VLOOKUP('Données projet'!$B$11,Paramètres!$A$1:$I$89,3,0)*VLOOKUP('Données projet'!$B$11,Paramètres!$A$1:$I$89,5,0)</f>
        <v>0</v>
      </c>
      <c r="BF130" s="13" t="e">
        <f t="shared" si="91"/>
        <v>#NUM!</v>
      </c>
      <c r="BG130" s="20" t="e">
        <f t="shared" si="61"/>
        <v>#NUM!</v>
      </c>
      <c r="BH130" s="59" t="e">
        <f t="shared" si="62"/>
        <v>#NUM!</v>
      </c>
      <c r="BI130" s="59">
        <f ca="1">AVERAGE(OFFSET($BH$3,0,0,'Données projet'!$E$11+1,1))-AVERAGE(OFFSET($H$3,0,0,'Données projet'!$E$11+1,1))</f>
        <v>210.04871822652808</v>
      </c>
      <c r="BJ130" s="59">
        <f t="shared" si="92"/>
        <v>250.17540614049324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1.0692971281187711</v>
      </c>
      <c r="BQ130" s="21">
        <f>EXP(-LN(2)/25)*BQ129+(1-EXP(-LN(2)/25))/(LN(2)/25)*Calculateur!BL130*Calculateur!BN130*VLOOKUP('Données projet'!$B$11,Paramètres!$A$1:$I$89,3,0)*0.475*44/12</f>
        <v>1.8902879188050881</v>
      </c>
      <c r="BR130" s="21">
        <f>EXP(-LN(2)/2)*BR129+(1-EXP(-LN(2)/2))/(LN(2)/2)*BL130*BO130*VLOOKUP('Données projet'!$B$11,Paramètres!$A$1:$I$89,3,0)*0.475*44/12</f>
        <v>5.41465570589201E-14</v>
      </c>
      <c r="BS130" s="22">
        <f t="shared" si="63"/>
        <v>2.9595850469239133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2.2737367544323206E-13</v>
      </c>
      <c r="BZ130" s="13">
        <f>BY130*VLOOKUP('Données projet'!$B$12,Paramètres!$A$1:$I$89,3,0)*VLOOKUP('Données projet'!$B$12,Paramètres!$A$1:$I$89,5,0)</f>
        <v>1.2414602679200471E-13</v>
      </c>
      <c r="CA130" s="13">
        <f t="shared" si="93"/>
        <v>1.8186582995804361E-12</v>
      </c>
      <c r="CB130" s="20">
        <f t="shared" si="64"/>
        <v>3.3837175350986671E-12</v>
      </c>
      <c r="CC130" s="59">
        <f t="shared" si="65"/>
        <v>293.33333333333672</v>
      </c>
      <c r="CD130" s="59">
        <f ca="1">AVERAGE(OFFSET($CC$3,0,0,'Données projet'!$E$12+1,1))-AVERAGE(OFFSET($H$3,0,0,'Données projet'!$E$12+1,1))</f>
        <v>168.72306536277267</v>
      </c>
      <c r="CE130" s="59">
        <f t="shared" si="94"/>
        <v>203.35476578922339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0.44554047004948794</v>
      </c>
      <c r="CL130" s="21">
        <f>EXP(-LN(2)/25)*CL129+(1-EXP(-LN(2)/25))/(LN(2)/25)*Calculateur!CG130*Calculateur!CI130*VLOOKUP('Données projet'!$B$12,Paramètres!$A$1:$I$89,3,0)*0.475*44/12</f>
        <v>1.5611640143982781</v>
      </c>
      <c r="CM130" s="21">
        <f>EXP(-LN(2)/2)*CM129+(1-EXP(-LN(2)/2))/(LN(2)/2)*CG130*CJ130*VLOOKUP('Données projet'!$B$12,Paramètres!$A$1:$I$89,3,0)*0.475*44/12</f>
        <v>5.0302864920292705E-14</v>
      </c>
      <c r="CN130" s="22">
        <f t="shared" si="66"/>
        <v>2.0067044844478161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1277.6923076923067</v>
      </c>
      <c r="CU130" s="17">
        <f>CT130*VLOOKUP('Données projet'!$B$13,Paramètres!$A$1:$I$89,3,0)*VLOOKUP('Données projet'!$B$13,Paramètres!$A$1:$I$89,5,0)</f>
        <v>614.5699999999996</v>
      </c>
      <c r="CV130" s="13">
        <f t="shared" si="95"/>
        <v>134.13240620831178</v>
      </c>
      <c r="CW130" s="20">
        <f t="shared" si="67"/>
        <v>1303.9900241461421</v>
      </c>
      <c r="CX130" s="59">
        <f t="shared" si="68"/>
        <v>1597.3233574794754</v>
      </c>
      <c r="CY130" s="59">
        <f ca="1">AVERAGE(OFFSET($CX$3,0,0,'Données projet'!$E$13+1,1))-AVERAGE(OFFSET($H$3,0,0,'Données projet'!$E$13+1,1))</f>
        <v>304.15237106473313</v>
      </c>
      <c r="CZ130" s="59">
        <f t="shared" si="96"/>
        <v>120.85458928724336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>
        <f>EXP(-LN(2)/35)*DF129+(1-EXP(-LN(2)/35))/(LN(2)/35)*DB130*DC130*VLOOKUP('Données projet'!$B$13,Paramètres!$A$1:$I$89,3,0)*0.475*44/12</f>
        <v>0</v>
      </c>
      <c r="DG130" s="21">
        <f>EXP(-LN(2)/25)*DG129+(1-EXP(-LN(2)/25))/(LN(2)/25)*Calculateur!DB130*Calculateur!DD130*VLOOKUP('Données projet'!$B$13,Paramètres!$A$1:$I$89,3,0)*0.475*44/12</f>
        <v>0</v>
      </c>
      <c r="DH130" s="21">
        <f>EXP(-LN(2)/2)*DH129+(1-EXP(-LN(2)/2))/(LN(2)/2)*DB130*DE130*VLOOKUP('Données projet'!$B$13,Paramètres!$A$1:$I$89,3,0)*0.475*44/12</f>
        <v>0</v>
      </c>
      <c r="DI130" s="22">
        <f t="shared" si="69"/>
        <v>0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425.38461538461536</v>
      </c>
      <c r="DP130" s="17">
        <f>DO130*VLOOKUP('Données projet'!$B$14,Paramètres!$A$1:$I$89,3,0)*VLOOKUP('Données projet'!$B$14,Paramètres!$A$1:$I$89,5,0)</f>
        <v>204.60999999999999</v>
      </c>
      <c r="DQ130" s="13">
        <f t="shared" si="97"/>
        <v>50.755958577224398</v>
      </c>
      <c r="DR130" s="20">
        <f t="shared" si="70"/>
        <v>444.76237785533249</v>
      </c>
      <c r="DS130" s="59">
        <f t="shared" si="71"/>
        <v>738.09571118866575</v>
      </c>
      <c r="DT130" s="59">
        <f ca="1">AVERAGE(OFFSET($DS$3,0,0,'Données projet'!$E$14+1,1))-AVERAGE(OFFSET($H$3,0,0,'Données projet'!$E$14+1,1))</f>
        <v>91.053246648097399</v>
      </c>
      <c r="DU130" s="59">
        <f t="shared" si="98"/>
        <v>64.716270355703955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>
        <f>EXP(-LN(2)/35)*EA129+(1-EXP(-LN(2)/35))/(LN(2)/35)*DW130*DX130*VLOOKUP('Données projet'!$B$14,Paramètres!$A$1:$I$89,3,0)*0.475*44/12</f>
        <v>0</v>
      </c>
      <c r="EB130" s="21">
        <f>EXP(-LN(2)/25)*EB129+(1-EXP(-LN(2)/25))/(LN(2)/25)*Calculateur!DW130*Calculateur!DY130*VLOOKUP('Données projet'!$B$14,Paramètres!$A$1:$I$89,3,0)*0.475*44/12</f>
        <v>0</v>
      </c>
      <c r="EC130" s="21">
        <f>EXP(-LN(2)/2)*EC129+(1-EXP(-LN(2)/2))/(LN(2)/2)*DW130*DZ130*VLOOKUP('Données projet'!$B$14,Paramètres!$A$1:$I$89,3,0)*0.475*44/12</f>
        <v>0</v>
      </c>
      <c r="ED130" s="22">
        <f t="shared" si="72"/>
        <v>0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553.99999999999955</v>
      </c>
      <c r="EK130" s="17">
        <f>EJ130*VLOOKUP('Données projet'!$B$15,Paramètres!$A$1:$I$89,3,0)*VLOOKUP('Données projet'!$B$15,Paramètres!$A$1:$I$89,5,0)</f>
        <v>331.29199999999975</v>
      </c>
      <c r="EL130" s="13">
        <f t="shared" si="99"/>
        <v>77.698110787752</v>
      </c>
      <c r="EM130" s="20">
        <f t="shared" si="73"/>
        <v>712.32444295533423</v>
      </c>
      <c r="EN130" s="59">
        <f t="shared" si="74"/>
        <v>1005.6577762886675</v>
      </c>
      <c r="EO130" s="59">
        <f ca="1">AVERAGE(OFFSET($EN$3,0,0,'Données projet'!$E$15+1,1))-AVERAGE(OFFSET($H$3,0,0,'Données projet'!$E$15+1,1))</f>
        <v>316.58509520829671</v>
      </c>
      <c r="EP130" s="59">
        <f t="shared" si="100"/>
        <v>240.71332110643596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>
        <f>EXP(-LN(2)/35)*EV129+(1-EXP(-LN(2)/35))/(LN(2)/35)*ER130*ES130*VLOOKUP('Données projet'!$B$15,Paramètres!$A$1:$I$89,3,0)*0.475*44/12</f>
        <v>0.3712079528524565</v>
      </c>
      <c r="EW130" s="21">
        <f>EXP(-LN(2)/25)*EW129+(1-EXP(-LN(2)/25))/(LN(2)/25)*Calculateur!ER130*Calculateur!ET130*VLOOKUP('Données projet'!$B$15,Paramètres!$A$1:$I$89,3,0)*0.475*44/12</f>
        <v>1.0370117653602704</v>
      </c>
      <c r="EX130" s="21">
        <f>EXP(-LN(2)/2)*EX129+(1-EXP(-LN(2)/2))/(LN(2)/2)*ER130*EU130*VLOOKUP('Données projet'!$B$15,Paramètres!$A$1:$I$89,3,0)*0.475*44/12</f>
        <v>5.511487536464707E-14</v>
      </c>
      <c r="EY130" s="22">
        <f t="shared" si="75"/>
        <v>1.408219718212782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497</v>
      </c>
      <c r="FF130" s="17">
        <f>FE130*VLOOKUP('Données projet'!$B$16,Paramètres!$A$1:$I$89,3,0)*VLOOKUP('Données projet'!$B$16,Paramètres!$A$1:$I$89,5,0)</f>
        <v>297.20600000000002</v>
      </c>
      <c r="FG130" s="13">
        <f t="shared" si="101"/>
        <v>70.590415164571112</v>
      </c>
      <c r="FH130" s="20">
        <f t="shared" si="76"/>
        <v>640.57875641162809</v>
      </c>
      <c r="FI130" s="59">
        <f t="shared" si="77"/>
        <v>933.91208974496135</v>
      </c>
      <c r="FJ130" s="59">
        <f ca="1">AVERAGE(OFFSET($FI$3,0,0,'Données projet'!$E$16+1,1))-AVERAGE(OFFSET($H$3,0,0,'Données projet'!$E$16+1,1))</f>
        <v>270.30888762640245</v>
      </c>
      <c r="FK130" s="59">
        <f t="shared" si="102"/>
        <v>202.23783851977691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>
        <f>EXP(-LN(2)/35)*FQ129+(1-EXP(-LN(2)/35))/(LN(2)/35)*FM130*FN130*VLOOKUP('Données projet'!$B$16,Paramètres!$A$1:$I$89,3,0)*0.475*44/12</f>
        <v>0.31369686156545595</v>
      </c>
      <c r="FR130" s="21">
        <f>EXP(-LN(2)/25)*FR129+(1-EXP(-LN(2)/25))/(LN(2)/25)*Calculateur!FM130*Calculateur!FO130*VLOOKUP('Données projet'!$B$16,Paramètres!$A$1:$I$89,3,0)*0.475*44/12</f>
        <v>0.83510196017433225</v>
      </c>
      <c r="FS130" s="21">
        <f>EXP(-LN(2)/2)*FS129+(1-EXP(-LN(2)/2))/(LN(2)/2)*FM130*FP130*VLOOKUP('Données projet'!$B$16,Paramètres!$A$1:$I$89,3,0)*0.475*44/12</f>
        <v>4.6456168452793166E-14</v>
      </c>
      <c r="FT130" s="22">
        <f t="shared" si="78"/>
        <v>1.1487988217398346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-5.1159076974727213E-13</v>
      </c>
      <c r="GA130" s="17">
        <f>FZ130*VLOOKUP('Données projet'!$B$17,Paramètres!$A$1:$I$89,3,0)*VLOOKUP('Données projet'!$B$17,Paramètres!$A$1:$I$89,5,0)</f>
        <v>-4.0702161641092972E-13</v>
      </c>
      <c r="GB130" s="13" t="e">
        <f t="shared" si="103"/>
        <v>#NUM!</v>
      </c>
      <c r="GC130" s="20" t="e">
        <f t="shared" si="79"/>
        <v>#NUM!</v>
      </c>
      <c r="GD130" s="59" t="e">
        <f t="shared" si="80"/>
        <v>#NUM!</v>
      </c>
      <c r="GE130" s="59">
        <f ca="1">AVERAGE(OFFSET($GD$3,0,0,'Données projet'!$E$17+1,1))-AVERAGE(OFFSET($H$3,0,0,'Données projet'!$E$17+1,1))</f>
        <v>260.20517190557814</v>
      </c>
      <c r="GF130" s="59">
        <f t="shared" si="104"/>
        <v>307.22009971147133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>
        <f>EXP(-LN(2)/35)*GL129+(1-EXP(-LN(2)/35))/(LN(2)/35)*GH130*GI130*VLOOKUP('Données projet'!$B$17,Paramètres!$A$1:$I$89,3,0)*0.475*44/12</f>
        <v>0.47789519466022506</v>
      </c>
      <c r="GM130" s="21">
        <f>EXP(-LN(2)/25)*GM129+(1-EXP(-LN(2)/25))/(LN(2)/25)*Calculateur!GH130*Calculateur!GJ130*VLOOKUP('Données projet'!$B$17,Paramètres!$A$1:$I$89,3,0)*0.475*44/12</f>
        <v>1.3937104778888496</v>
      </c>
      <c r="GN130" s="21">
        <f>EXP(-LN(2)/2)*GN129+(1-EXP(-LN(2)/2))/(LN(2)/2)*GH130*GK130*VLOOKUP('Données projet'!$B$17,Paramètres!$A$1:$I$89,3,0)*0.475*44/12</f>
        <v>6.0389610230872276E-14</v>
      </c>
      <c r="GO130" s="21">
        <f t="shared" si="81"/>
        <v>1.871605672549135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5.6843418860808015E-14</v>
      </c>
      <c r="GV130" s="17">
        <f>GU130*VLOOKUP('Données projet'!$B$18,Paramètres!$A$1:$I$89,3,0)*VLOOKUP('Données projet'!$B$18,Paramètres!$A$1:$I$89,5,0)</f>
        <v>4.5224624045658861E-14</v>
      </c>
      <c r="GW130" s="13">
        <f t="shared" si="105"/>
        <v>7.4514601661523691E-13</v>
      </c>
      <c r="GX130" s="20">
        <f t="shared" si="82"/>
        <v>1.3765621991510601E-12</v>
      </c>
      <c r="GY130" s="59">
        <f t="shared" si="83"/>
        <v>293.33333333333468</v>
      </c>
      <c r="GZ130" s="59">
        <f ca="1">AVERAGE(OFFSET($GY$3,0,0,'Données projet'!$E$18+1,1))-AVERAGE(OFFSET($H$3,0,0,'Données projet'!$E$18+1,1))</f>
        <v>199.58763537752952</v>
      </c>
      <c r="HA130" s="59">
        <f t="shared" si="106"/>
        <v>242.62852778451929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>
        <f>EXP(-LN(2)/35)*HG129+(1-EXP(-LN(2)/35))/(LN(2)/35)*HC130*HD130*VLOOKUP('Données projet'!$B$18,Paramètres!$A$1:$I$89,3,0)*0.475*44/12</f>
        <v>0</v>
      </c>
      <c r="HH130" s="21">
        <f>EXP(-LN(2)/25)*HH129+(1-EXP(-LN(2)/25))/(LN(2)/25)*Calculateur!HC130*Calculateur!HE130*VLOOKUP('Données projet'!$B$18,Paramètres!$A$1:$I$89,3,0)*0.475*44/12</f>
        <v>0.69842931374030948</v>
      </c>
      <c r="HI130" s="21">
        <f>EXP(-LN(2)/2)*HI129+(1-EXP(-LN(2)/2))/(LN(2)/2)*HC130*HF130*VLOOKUP('Données projet'!$B$18,Paramètres!$A$1:$I$89,3,0)*0.475*44/12</f>
        <v>2.7034626683008242E-14</v>
      </c>
      <c r="HJ130" s="22">
        <f t="shared" si="84"/>
        <v>0.69842931374033657</v>
      </c>
    </row>
    <row r="131" spans="1:218" x14ac:dyDescent="0.2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113.81760000000021</v>
      </c>
      <c r="D131" s="11">
        <f t="shared" si="86"/>
        <v>30.228647177134249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1111.9359431217397</v>
      </c>
      <c r="H131" s="67">
        <f t="shared" si="56"/>
        <v>544.21388050017583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-2.2737367544323206E-13</v>
      </c>
      <c r="O131" s="13">
        <f>N131*VLOOKUP('Données projet'!$B$9,Paramètres!$A$1:$I$89,3,0)*VLOOKUP('Données projet'!$B$9,Paramètres!$A$1:$I$89,5,0)</f>
        <v>-1.2710188457276673E-13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255.5374979188561</v>
      </c>
      <c r="T131" s="59">
        <f t="shared" si="88"/>
        <v>343.10418468620901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0.44369060466383636</v>
      </c>
      <c r="AA131" s="21">
        <f>EXP(-LN(2)/25)*AA130+(1-EXP(-LN(2)/25))/(LN(2)/25)*Calculateur!V131*Calculateur!X131*VLOOKUP('Données projet'!$B$9,Paramètres!$A$1:$I$89,3,0)*0.475*44/12</f>
        <v>1.0543926145454876</v>
      </c>
      <c r="AB131" s="21">
        <f>EXP(-LN(2)/2)*AB130+(1-EXP(-LN(2)/2))/(LN(2)/2)*V131*Y131*VLOOKUP('Données projet'!$B$9,Paramètres!$A$1:$I$89,3,0)*0.475*44/12</f>
        <v>3.0067540980632864E-15</v>
      </c>
      <c r="AC131" s="22">
        <f t="shared" si="57"/>
        <v>1.498083219209327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1.1368683772161603E-13</v>
      </c>
      <c r="AJ131" s="13">
        <f>AI131*VLOOKUP('Données projet'!$B$10,Paramètres!$A$1:$I$89,3,0)*VLOOKUP('Données projet'!$B$10,Paramètres!$A$1:$I$89,5,0)</f>
        <v>6.3550942286383367E-14</v>
      </c>
      <c r="AK131" s="13">
        <f t="shared" si="89"/>
        <v>1.0064464192543978E-12</v>
      </c>
      <c r="AL131" s="20">
        <f t="shared" si="58"/>
        <v>1.8635787380168604E-12</v>
      </c>
      <c r="AM131" s="59">
        <f t="shared" si="59"/>
        <v>293.33333333333519</v>
      </c>
      <c r="AN131" s="59">
        <f ca="1">AVERAGE(OFFSET($AM$3,0,0,'Données projet'!$E$10+1,1))-AVERAGE(OFFSET($H$3,0,0,'Données projet'!$E$10+1,1))</f>
        <v>224.7049802939942</v>
      </c>
      <c r="AO131" s="59">
        <f t="shared" si="90"/>
        <v>203.48513862195352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0.32036630108058062</v>
      </c>
      <c r="AV131" s="21">
        <f>EXP(-LN(2)/25)*AV130+(1-EXP(-LN(2)/25))/(LN(2)/25)*Calculateur!AQ131*Calculateur!AS131*VLOOKUP('Données projet'!$B$10,Paramètres!$A$1:$I$89,3,0)*0.475*44/12</f>
        <v>1.2898611150240831</v>
      </c>
      <c r="AW131" s="21">
        <f>EXP(-LN(2)/2)*AW130+(1-EXP(-LN(2)/2))/(LN(2)/2)*AQ131*AT131*VLOOKUP('Données projet'!$B$10,Paramètres!$A$1:$I$89,3,0)*0.475*44/12</f>
        <v>1.5917245461395177E-14</v>
      </c>
      <c r="AX131" s="21">
        <f t="shared" si="60"/>
        <v>1.6102274161046797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>
        <f>BD131*VLOOKUP('Données projet'!$B$11,Paramètres!$A$1:$I$89,3,0)*VLOOKUP('Données projet'!$B$11,Paramètres!$A$1:$I$89,5,0)</f>
        <v>0</v>
      </c>
      <c r="BF131" s="13" t="e">
        <f t="shared" si="91"/>
        <v>#NUM!</v>
      </c>
      <c r="BG131" s="20" t="e">
        <f t="shared" si="61"/>
        <v>#NUM!</v>
      </c>
      <c r="BH131" s="59" t="e">
        <f t="shared" si="62"/>
        <v>#NUM!</v>
      </c>
      <c r="BI131" s="59">
        <f ca="1">AVERAGE(OFFSET($BH$3,0,0,'Données projet'!$E$11+1,1))-AVERAGE(OFFSET($H$3,0,0,'Données projet'!$E$11+1,1))</f>
        <v>210.04871822652808</v>
      </c>
      <c r="BJ131" s="59">
        <f t="shared" si="92"/>
        <v>250.17540614049324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1.04832886364321</v>
      </c>
      <c r="BQ131" s="21">
        <f>EXP(-LN(2)/25)*BQ130+(1-EXP(-LN(2)/25))/(LN(2)/25)*Calculateur!BL131*Calculateur!BN131*VLOOKUP('Données projet'!$B$11,Paramètres!$A$1:$I$89,3,0)*0.475*44/12</f>
        <v>1.8385978962594416</v>
      </c>
      <c r="BR131" s="21">
        <f>EXP(-LN(2)/2)*BR130+(1-EXP(-LN(2)/2))/(LN(2)/2)*BL131*BO131*VLOOKUP('Données projet'!$B$11,Paramètres!$A$1:$I$89,3,0)*0.475*44/12</f>
        <v>3.8287397674266725E-14</v>
      </c>
      <c r="BS131" s="22">
        <f t="shared" si="63"/>
        <v>2.88692675990269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2.2737367544323206E-13</v>
      </c>
      <c r="BZ131" s="13">
        <f>BY131*VLOOKUP('Données projet'!$B$12,Paramètres!$A$1:$I$89,3,0)*VLOOKUP('Données projet'!$B$12,Paramètres!$A$1:$I$89,5,0)</f>
        <v>1.2414602679200471E-13</v>
      </c>
      <c r="CA131" s="13">
        <f t="shared" si="93"/>
        <v>1.8186582995804361E-12</v>
      </c>
      <c r="CB131" s="20">
        <f t="shared" si="64"/>
        <v>3.3837175350986671E-12</v>
      </c>
      <c r="CC131" s="59">
        <f t="shared" si="65"/>
        <v>293.33333333333672</v>
      </c>
      <c r="CD131" s="59">
        <f ca="1">AVERAGE(OFFSET($CC$3,0,0,'Données projet'!$E$12+1,1))-AVERAGE(OFFSET($H$3,0,0,'Données projet'!$E$12+1,1))</f>
        <v>168.72306536277267</v>
      </c>
      <c r="CE131" s="59">
        <f t="shared" si="94"/>
        <v>203.35476578922339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0.43680369318467083</v>
      </c>
      <c r="CL131" s="21">
        <f>EXP(-LN(2)/25)*CL130+(1-EXP(-LN(2)/25))/(LN(2)/25)*Calculateur!CG131*Calculateur!CI131*VLOOKUP('Données projet'!$B$12,Paramètres!$A$1:$I$89,3,0)*0.475*44/12</f>
        <v>1.5184739023265097</v>
      </c>
      <c r="CM131" s="21">
        <f>EXP(-LN(2)/2)*CM130+(1-EXP(-LN(2)/2))/(LN(2)/2)*CG131*CJ131*VLOOKUP('Données projet'!$B$12,Paramètres!$A$1:$I$89,3,0)*0.475*44/12</f>
        <v>3.556949689824987E-14</v>
      </c>
      <c r="CN131" s="22">
        <f t="shared" si="66"/>
        <v>1.955277595511216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1277.6923076923067</v>
      </c>
      <c r="CU131" s="17">
        <f>CT131*VLOOKUP('Données projet'!$B$13,Paramètres!$A$1:$I$89,3,0)*VLOOKUP('Données projet'!$B$13,Paramètres!$A$1:$I$89,5,0)</f>
        <v>614.5699999999996</v>
      </c>
      <c r="CV131" s="13">
        <f t="shared" si="95"/>
        <v>134.13240620831178</v>
      </c>
      <c r="CW131" s="20">
        <f t="shared" si="67"/>
        <v>1303.9900241461421</v>
      </c>
      <c r="CX131" s="59">
        <f t="shared" si="68"/>
        <v>1597.3233574794754</v>
      </c>
      <c r="CY131" s="59">
        <f ca="1">AVERAGE(OFFSET($CX$3,0,0,'Données projet'!$E$13+1,1))-AVERAGE(OFFSET($H$3,0,0,'Données projet'!$E$13+1,1))</f>
        <v>304.15237106473313</v>
      </c>
      <c r="CZ131" s="59">
        <f t="shared" si="96"/>
        <v>120.85458928724336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>
        <f>EXP(-LN(2)/35)*DF130+(1-EXP(-LN(2)/35))/(LN(2)/35)*DB131*DC131*VLOOKUP('Données projet'!$B$13,Paramètres!$A$1:$I$89,3,0)*0.475*44/12</f>
        <v>0</v>
      </c>
      <c r="DG131" s="21">
        <f>EXP(-LN(2)/25)*DG130+(1-EXP(-LN(2)/25))/(LN(2)/25)*Calculateur!DB131*Calculateur!DD131*VLOOKUP('Données projet'!$B$13,Paramètres!$A$1:$I$89,3,0)*0.475*44/12</f>
        <v>0</v>
      </c>
      <c r="DH131" s="21">
        <f>EXP(-LN(2)/2)*DH130+(1-EXP(-LN(2)/2))/(LN(2)/2)*DB131*DE131*VLOOKUP('Données projet'!$B$13,Paramètres!$A$1:$I$89,3,0)*0.475*44/12</f>
        <v>0</v>
      </c>
      <c r="DI131" s="22">
        <f t="shared" si="69"/>
        <v>0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425.38461538461536</v>
      </c>
      <c r="DP131" s="17">
        <f>DO131*VLOOKUP('Données projet'!$B$14,Paramètres!$A$1:$I$89,3,0)*VLOOKUP('Données projet'!$B$14,Paramètres!$A$1:$I$89,5,0)</f>
        <v>204.60999999999999</v>
      </c>
      <c r="DQ131" s="13">
        <f t="shared" si="97"/>
        <v>50.755958577224398</v>
      </c>
      <c r="DR131" s="20">
        <f t="shared" si="70"/>
        <v>444.76237785533249</v>
      </c>
      <c r="DS131" s="59">
        <f t="shared" si="71"/>
        <v>738.09571118866575</v>
      </c>
      <c r="DT131" s="59">
        <f ca="1">AVERAGE(OFFSET($DS$3,0,0,'Données projet'!$E$14+1,1))-AVERAGE(OFFSET($H$3,0,0,'Données projet'!$E$14+1,1))</f>
        <v>91.053246648097399</v>
      </c>
      <c r="DU131" s="59">
        <f t="shared" si="98"/>
        <v>64.716270355703955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>
        <f>EXP(-LN(2)/35)*EA130+(1-EXP(-LN(2)/35))/(LN(2)/35)*DW131*DX131*VLOOKUP('Données projet'!$B$14,Paramètres!$A$1:$I$89,3,0)*0.475*44/12</f>
        <v>0</v>
      </c>
      <c r="EB131" s="21">
        <f>EXP(-LN(2)/25)*EB130+(1-EXP(-LN(2)/25))/(LN(2)/25)*Calculateur!DW131*Calculateur!DY131*VLOOKUP('Données projet'!$B$14,Paramètres!$A$1:$I$89,3,0)*0.475*44/12</f>
        <v>0</v>
      </c>
      <c r="EC131" s="21">
        <f>EXP(-LN(2)/2)*EC130+(1-EXP(-LN(2)/2))/(LN(2)/2)*DW131*DZ131*VLOOKUP('Données projet'!$B$14,Paramètres!$A$1:$I$89,3,0)*0.475*44/12</f>
        <v>0</v>
      </c>
      <c r="ED131" s="22">
        <f t="shared" si="72"/>
        <v>0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553.99999999999955</v>
      </c>
      <c r="EK131" s="17">
        <f>EJ131*VLOOKUP('Données projet'!$B$15,Paramètres!$A$1:$I$89,3,0)*VLOOKUP('Données projet'!$B$15,Paramètres!$A$1:$I$89,5,0)</f>
        <v>331.29199999999975</v>
      </c>
      <c r="EL131" s="13">
        <f t="shared" si="99"/>
        <v>77.698110787752</v>
      </c>
      <c r="EM131" s="20">
        <f t="shared" si="73"/>
        <v>712.32444295533423</v>
      </c>
      <c r="EN131" s="59">
        <f t="shared" si="74"/>
        <v>1005.6577762886675</v>
      </c>
      <c r="EO131" s="59">
        <f ca="1">AVERAGE(OFFSET($EN$3,0,0,'Données projet'!$E$15+1,1))-AVERAGE(OFFSET($H$3,0,0,'Données projet'!$E$15+1,1))</f>
        <v>316.58509520829671</v>
      </c>
      <c r="EP131" s="59">
        <f t="shared" si="100"/>
        <v>240.71332110643596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>
        <f>EXP(-LN(2)/35)*EV130+(1-EXP(-LN(2)/35))/(LN(2)/35)*ER131*ES131*VLOOKUP('Données projet'!$B$15,Paramètres!$A$1:$I$89,3,0)*0.475*44/12</f>
        <v>0.36392879131151451</v>
      </c>
      <c r="EW131" s="21">
        <f>EXP(-LN(2)/25)*EW130+(1-EXP(-LN(2)/25))/(LN(2)/25)*Calculateur!ER131*Calculateur!ET131*VLOOKUP('Données projet'!$B$15,Paramètres!$A$1:$I$89,3,0)*0.475*44/12</f>
        <v>1.0086546241024152</v>
      </c>
      <c r="EX131" s="21">
        <f>EXP(-LN(2)/2)*EX130+(1-EXP(-LN(2)/2))/(LN(2)/2)*ER131*EU131*VLOOKUP('Données projet'!$B$15,Paramètres!$A$1:$I$89,3,0)*0.475*44/12</f>
        <v>3.8972102114593334E-14</v>
      </c>
      <c r="EY131" s="22">
        <f t="shared" si="75"/>
        <v>1.3725834154139689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497</v>
      </c>
      <c r="FF131" s="17">
        <f>FE131*VLOOKUP('Données projet'!$B$16,Paramètres!$A$1:$I$89,3,0)*VLOOKUP('Données projet'!$B$16,Paramètres!$A$1:$I$89,5,0)</f>
        <v>297.20600000000002</v>
      </c>
      <c r="FG131" s="13">
        <f t="shared" si="101"/>
        <v>70.590415164571112</v>
      </c>
      <c r="FH131" s="20">
        <f t="shared" si="76"/>
        <v>640.57875641162809</v>
      </c>
      <c r="FI131" s="59">
        <f t="shared" si="77"/>
        <v>933.91208974496135</v>
      </c>
      <c r="FJ131" s="59">
        <f ca="1">AVERAGE(OFFSET($FI$3,0,0,'Données projet'!$E$16+1,1))-AVERAGE(OFFSET($H$3,0,0,'Données projet'!$E$16+1,1))</f>
        <v>270.30888762640245</v>
      </c>
      <c r="FK131" s="59">
        <f t="shared" si="102"/>
        <v>202.23783851977691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>
        <f>EXP(-LN(2)/35)*FQ130+(1-EXP(-LN(2)/35))/(LN(2)/35)*FM131*FN131*VLOOKUP('Données projet'!$B$16,Paramètres!$A$1:$I$89,3,0)*0.475*44/12</f>
        <v>0.30754545744635003</v>
      </c>
      <c r="FR131" s="21">
        <f>EXP(-LN(2)/25)*FR130+(1-EXP(-LN(2)/25))/(LN(2)/25)*Calculateur!FM131*Calculateur!FO131*VLOOKUP('Données projet'!$B$16,Paramètres!$A$1:$I$89,3,0)*0.475*44/12</f>
        <v>0.81226605315726175</v>
      </c>
      <c r="FS131" s="21">
        <f>EXP(-LN(2)/2)*FS130+(1-EXP(-LN(2)/2))/(LN(2)/2)*FM131*FP131*VLOOKUP('Données projet'!$B$16,Paramètres!$A$1:$I$89,3,0)*0.475*44/12</f>
        <v>3.2849471740914609E-14</v>
      </c>
      <c r="FT131" s="22">
        <f t="shared" si="78"/>
        <v>1.1198115106036446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-5.1159076974727213E-13</v>
      </c>
      <c r="GA131" s="17">
        <f>FZ131*VLOOKUP('Données projet'!$B$17,Paramètres!$A$1:$I$89,3,0)*VLOOKUP('Données projet'!$B$17,Paramètres!$A$1:$I$89,5,0)</f>
        <v>-4.0702161641092972E-13</v>
      </c>
      <c r="GB131" s="13" t="e">
        <f t="shared" si="103"/>
        <v>#NUM!</v>
      </c>
      <c r="GC131" s="20" t="e">
        <f t="shared" si="79"/>
        <v>#NUM!</v>
      </c>
      <c r="GD131" s="59" t="e">
        <f t="shared" si="80"/>
        <v>#NUM!</v>
      </c>
      <c r="GE131" s="59">
        <f ca="1">AVERAGE(OFFSET($GD$3,0,0,'Données projet'!$E$17+1,1))-AVERAGE(OFFSET($H$3,0,0,'Données projet'!$E$17+1,1))</f>
        <v>260.20517190557814</v>
      </c>
      <c r="GF131" s="59">
        <f t="shared" si="104"/>
        <v>307.22009971147133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>
        <f>EXP(-LN(2)/35)*GL130+(1-EXP(-LN(2)/35))/(LN(2)/35)*GH131*GI131*VLOOKUP('Données projet'!$B$17,Paramètres!$A$1:$I$89,3,0)*0.475*44/12</f>
        <v>0.46852396138022484</v>
      </c>
      <c r="GM131" s="21">
        <f>EXP(-LN(2)/25)*GM130+(1-EXP(-LN(2)/25))/(LN(2)/25)*Calculateur!GH131*Calculateur!GJ131*VLOOKUP('Données projet'!$B$17,Paramètres!$A$1:$I$89,3,0)*0.475*44/12</f>
        <v>1.3555993915789304</v>
      </c>
      <c r="GN131" s="21">
        <f>EXP(-LN(2)/2)*GN130+(1-EXP(-LN(2)/2))/(LN(2)/2)*GH131*GK131*VLOOKUP('Données projet'!$B$17,Paramètres!$A$1:$I$89,3,0)*0.475*44/12</f>
        <v>4.2701902907462295E-14</v>
      </c>
      <c r="GO131" s="21">
        <f t="shared" si="81"/>
        <v>1.8241233529591978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5.6843418860808015E-14</v>
      </c>
      <c r="GV131" s="17">
        <f>GU131*VLOOKUP('Données projet'!$B$18,Paramètres!$A$1:$I$89,3,0)*VLOOKUP('Données projet'!$B$18,Paramètres!$A$1:$I$89,5,0)</f>
        <v>4.5224624045658861E-14</v>
      </c>
      <c r="GW131" s="13">
        <f t="shared" si="105"/>
        <v>7.4514601661523691E-13</v>
      </c>
      <c r="GX131" s="20">
        <f t="shared" si="82"/>
        <v>1.3765621991510601E-12</v>
      </c>
      <c r="GY131" s="59">
        <f t="shared" si="83"/>
        <v>293.33333333333468</v>
      </c>
      <c r="GZ131" s="59">
        <f ca="1">AVERAGE(OFFSET($GY$3,0,0,'Données projet'!$E$18+1,1))-AVERAGE(OFFSET($H$3,0,0,'Données projet'!$E$18+1,1))</f>
        <v>199.58763537752952</v>
      </c>
      <c r="HA131" s="59">
        <f t="shared" si="106"/>
        <v>242.62852778451929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>
        <f>EXP(-LN(2)/35)*HG130+(1-EXP(-LN(2)/35))/(LN(2)/35)*HC131*HD131*VLOOKUP('Données projet'!$B$18,Paramètres!$A$1:$I$89,3,0)*0.475*44/12</f>
        <v>0</v>
      </c>
      <c r="HH131" s="21">
        <f>EXP(-LN(2)/25)*HH130+(1-EXP(-LN(2)/25))/(LN(2)/25)*Calculateur!HC131*Calculateur!HE131*VLOOKUP('Données projet'!$B$18,Paramètres!$A$1:$I$89,3,0)*0.475*44/12</f>
        <v>0.6793307274272794</v>
      </c>
      <c r="HI131" s="21">
        <f>EXP(-LN(2)/2)*HI130+(1-EXP(-LN(2)/2))/(LN(2)/2)*HC131*HF131*VLOOKUP('Données projet'!$B$18,Paramètres!$A$1:$I$89,3,0)*0.475*44/12</f>
        <v>1.9116367854401908E-14</v>
      </c>
      <c r="HJ131" s="22">
        <f t="shared" si="84"/>
        <v>0.6793307274272985</v>
      </c>
    </row>
    <row r="132" spans="1:218" x14ac:dyDescent="0.2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114.70680000000021</v>
      </c>
      <c r="D132" s="11">
        <f t="shared" si="86"/>
        <v>30.437224701280673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1120.4100152379581</v>
      </c>
      <c r="H132" s="67">
        <f t="shared" ref="H132:H195" si="110">(B132+E132+F132)*44/12+(C132+D132)*0.475*44/12</f>
        <v>546.12584302139749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-2.2737367544323206E-13</v>
      </c>
      <c r="O132" s="13">
        <f>N132*VLOOKUP('Données projet'!$B$9,Paramètres!$A$1:$I$89,3,0)*VLOOKUP('Données projet'!$B$9,Paramètres!$A$1:$I$89,5,0)</f>
        <v>-1.2710188457276673E-13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255.5374979188561</v>
      </c>
      <c r="T132" s="59">
        <f t="shared" si="88"/>
        <v>343.10418468620901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0.4349901025309254</v>
      </c>
      <c r="AA132" s="21">
        <f>EXP(-LN(2)/25)*AA131+(1-EXP(-LN(2)/25))/(LN(2)/25)*Calculateur!V132*Calculateur!X132*VLOOKUP('Données projet'!$B$9,Paramètres!$A$1:$I$89,3,0)*0.475*44/12</f>
        <v>1.0255601930526435</v>
      </c>
      <c r="AB132" s="21">
        <f>EXP(-LN(2)/2)*AB131+(1-EXP(-LN(2)/2))/(LN(2)/2)*V132*Y132*VLOOKUP('Données projet'!$B$9,Paramètres!$A$1:$I$89,3,0)*0.475*44/12</f>
        <v>2.1260962121009913E-15</v>
      </c>
      <c r="AC132" s="22">
        <f t="shared" ref="AC132:AC153" si="111">SUM(Z132:AB132)</f>
        <v>1.460550295583571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1.1368683772161603E-13</v>
      </c>
      <c r="AJ132" s="13">
        <f>AI132*VLOOKUP('Données projet'!$B$10,Paramètres!$A$1:$I$89,3,0)*VLOOKUP('Données projet'!$B$10,Paramètres!$A$1:$I$89,5,0)</f>
        <v>6.3550942286383367E-14</v>
      </c>
      <c r="AK132" s="13">
        <f t="shared" si="89"/>
        <v>1.0064464192543978E-12</v>
      </c>
      <c r="AL132" s="20">
        <f t="shared" ref="AL132:AL153" si="112">(AJ132+AK132)*0.475*44/12</f>
        <v>1.8635787380168604E-12</v>
      </c>
      <c r="AM132" s="59">
        <f t="shared" ref="AM132:AM195" si="113">AL132+(AD132+AE132)*44/12</f>
        <v>293.33333333333519</v>
      </c>
      <c r="AN132" s="59">
        <f ca="1">AVERAGE(OFFSET($AM$3,0,0,'Données projet'!$E$10+1,1))-AVERAGE(OFFSET($H$3,0,0,'Données projet'!$E$10+1,1))</f>
        <v>224.7049802939942</v>
      </c>
      <c r="AO132" s="59">
        <f t="shared" si="90"/>
        <v>203.48513862195352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0.31408411332053954</v>
      </c>
      <c r="AV132" s="21">
        <f>EXP(-LN(2)/25)*AV131+(1-EXP(-LN(2)/25))/(LN(2)/25)*Calculateur!AQ132*Calculateur!AS132*VLOOKUP('Données projet'!$B$10,Paramètres!$A$1:$I$89,3,0)*0.475*44/12</f>
        <v>1.2545897950029015</v>
      </c>
      <c r="AW132" s="21">
        <f>EXP(-LN(2)/2)*AW131+(1-EXP(-LN(2)/2))/(LN(2)/2)*AQ132*AT132*VLOOKUP('Données projet'!$B$10,Paramètres!$A$1:$I$89,3,0)*0.475*44/12</f>
        <v>1.1255192203563326E-14</v>
      </c>
      <c r="AX132" s="21">
        <f t="shared" ref="AX132:AX153" si="114">SUM(AU132:AW132)</f>
        <v>1.5686739083234522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>
        <f>BD132*VLOOKUP('Données projet'!$B$11,Paramètres!$A$1:$I$89,3,0)*VLOOKUP('Données projet'!$B$11,Paramètres!$A$1:$I$89,5,0)</f>
        <v>0</v>
      </c>
      <c r="BF132" s="13" t="e">
        <f t="shared" si="91"/>
        <v>#NUM!</v>
      </c>
      <c r="BG132" s="20" t="e">
        <f t="shared" ref="BG132:BG153" si="115">(BE132+BF132)*0.475*44/12</f>
        <v>#NUM!</v>
      </c>
      <c r="BH132" s="59" t="e">
        <f t="shared" ref="BH132:BH195" si="116">BG132+(AY132+AZ132)*44/12</f>
        <v>#NUM!</v>
      </c>
      <c r="BI132" s="59">
        <f ca="1">AVERAGE(OFFSET($BH$3,0,0,'Données projet'!$E$11+1,1))-AVERAGE(OFFSET($H$3,0,0,'Données projet'!$E$11+1,1))</f>
        <v>210.04871822652808</v>
      </c>
      <c r="BJ132" s="59">
        <f t="shared" si="92"/>
        <v>250.17540614049324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1.0277717740446362</v>
      </c>
      <c r="BQ132" s="21">
        <f>EXP(-LN(2)/25)*BQ131+(1-EXP(-LN(2)/25))/(LN(2)/25)*Calculateur!BL132*Calculateur!BN132*VLOOKUP('Données projet'!$B$11,Paramètres!$A$1:$I$89,3,0)*0.475*44/12</f>
        <v>1.788321340098566</v>
      </c>
      <c r="BR132" s="21">
        <f>EXP(-LN(2)/2)*BR131+(1-EXP(-LN(2)/2))/(LN(2)/2)*BL132*BO132*VLOOKUP('Données projet'!$B$11,Paramètres!$A$1:$I$89,3,0)*0.475*44/12</f>
        <v>2.707327852946005E-14</v>
      </c>
      <c r="BS132" s="22">
        <f t="shared" ref="BS132:BS153" si="117">SUM(BP132:BR132)</f>
        <v>2.816093114143229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2.2737367544323206E-13</v>
      </c>
      <c r="BZ132" s="13">
        <f>BY132*VLOOKUP('Données projet'!$B$12,Paramètres!$A$1:$I$89,3,0)*VLOOKUP('Données projet'!$B$12,Paramètres!$A$1:$I$89,5,0)</f>
        <v>1.2414602679200471E-13</v>
      </c>
      <c r="CA132" s="13">
        <f t="shared" si="93"/>
        <v>1.8186582995804361E-12</v>
      </c>
      <c r="CB132" s="20">
        <f t="shared" ref="CB132:CB153" si="118">(BZ132+CA132)*0.475*44/12</f>
        <v>3.3837175350986671E-12</v>
      </c>
      <c r="CC132" s="59">
        <f t="shared" ref="CC132:CC195" si="119">CB132+(BT132+BU132)*44/12</f>
        <v>293.33333333333672</v>
      </c>
      <c r="CD132" s="59">
        <f ca="1">AVERAGE(OFFSET($CC$3,0,0,'Données projet'!$E$12+1,1))-AVERAGE(OFFSET($H$3,0,0,'Données projet'!$E$12+1,1))</f>
        <v>168.72306536277267</v>
      </c>
      <c r="CE132" s="59">
        <f t="shared" si="94"/>
        <v>203.35476578922339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0.4282382391852651</v>
      </c>
      <c r="CL132" s="21">
        <f>EXP(-LN(2)/25)*CL131+(1-EXP(-LN(2)/25))/(LN(2)/25)*Calculateur!CG132*Calculateur!CI132*VLOOKUP('Données projet'!$B$12,Paramètres!$A$1:$I$89,3,0)*0.475*44/12</f>
        <v>1.4769511536143194</v>
      </c>
      <c r="CM132" s="21">
        <f>EXP(-LN(2)/2)*CM131+(1-EXP(-LN(2)/2))/(LN(2)/2)*CG132*CJ132*VLOOKUP('Données projet'!$B$12,Paramètres!$A$1:$I$89,3,0)*0.475*44/12</f>
        <v>2.5151432460146352E-14</v>
      </c>
      <c r="CN132" s="22">
        <f t="shared" ref="CN132:CN153" si="120">SUM(CK132:CM132)</f>
        <v>1.9051893927996095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1277.6923076923067</v>
      </c>
      <c r="CU132" s="17">
        <f>CT132*VLOOKUP('Données projet'!$B$13,Paramètres!$A$1:$I$89,3,0)*VLOOKUP('Données projet'!$B$13,Paramètres!$A$1:$I$89,5,0)</f>
        <v>614.5699999999996</v>
      </c>
      <c r="CV132" s="13">
        <f t="shared" si="95"/>
        <v>134.13240620831178</v>
      </c>
      <c r="CW132" s="20">
        <f t="shared" ref="CW132:CW153" si="121">(CU132+CV132)*0.475*44/12</f>
        <v>1303.9900241461421</v>
      </c>
      <c r="CX132" s="59">
        <f t="shared" ref="CX132:CX195" si="122">CW132+(CO132+CP132)*44/12</f>
        <v>1597.3233574794754</v>
      </c>
      <c r="CY132" s="59">
        <f ca="1">AVERAGE(OFFSET($CX$3,0,0,'Données projet'!$E$13+1,1))-AVERAGE(OFFSET($H$3,0,0,'Données projet'!$E$13+1,1))</f>
        <v>304.15237106473313</v>
      </c>
      <c r="CZ132" s="59">
        <f t="shared" si="96"/>
        <v>120.85458928724336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>
        <f>EXP(-LN(2)/35)*DF131+(1-EXP(-LN(2)/35))/(LN(2)/35)*DB132*DC132*VLOOKUP('Données projet'!$B$13,Paramètres!$A$1:$I$89,3,0)*0.475*44/12</f>
        <v>0</v>
      </c>
      <c r="DG132" s="21">
        <f>EXP(-LN(2)/25)*DG131+(1-EXP(-LN(2)/25))/(LN(2)/25)*Calculateur!DB132*Calculateur!DD132*VLOOKUP('Données projet'!$B$13,Paramètres!$A$1:$I$89,3,0)*0.475*44/12</f>
        <v>0</v>
      </c>
      <c r="DH132" s="21">
        <f>EXP(-LN(2)/2)*DH131+(1-EXP(-LN(2)/2))/(LN(2)/2)*DB132*DE132*VLOOKUP('Données projet'!$B$13,Paramètres!$A$1:$I$89,3,0)*0.475*44/12</f>
        <v>0</v>
      </c>
      <c r="DI132" s="22">
        <f t="shared" ref="DI132:DI153" si="123">SUM(DF132:DH132)</f>
        <v>0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425.38461538461536</v>
      </c>
      <c r="DP132" s="17">
        <f>DO132*VLOOKUP('Données projet'!$B$14,Paramètres!$A$1:$I$89,3,0)*VLOOKUP('Données projet'!$B$14,Paramètres!$A$1:$I$89,5,0)</f>
        <v>204.60999999999999</v>
      </c>
      <c r="DQ132" s="13">
        <f t="shared" si="97"/>
        <v>50.755958577224398</v>
      </c>
      <c r="DR132" s="20">
        <f t="shared" ref="DR132:DR153" si="124">(DP132+DQ132)*0.475*44/12</f>
        <v>444.76237785533249</v>
      </c>
      <c r="DS132" s="59">
        <f t="shared" ref="DS132:DS195" si="125">DR132+(DJ132+DK132)*44/12</f>
        <v>738.09571118866575</v>
      </c>
      <c r="DT132" s="59">
        <f ca="1">AVERAGE(OFFSET($DS$3,0,0,'Données projet'!$E$14+1,1))-AVERAGE(OFFSET($H$3,0,0,'Données projet'!$E$14+1,1))</f>
        <v>91.053246648097399</v>
      </c>
      <c r="DU132" s="59">
        <f t="shared" si="98"/>
        <v>64.716270355703955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>
        <f>EXP(-LN(2)/35)*EA131+(1-EXP(-LN(2)/35))/(LN(2)/35)*DW132*DX132*VLOOKUP('Données projet'!$B$14,Paramètres!$A$1:$I$89,3,0)*0.475*44/12</f>
        <v>0</v>
      </c>
      <c r="EB132" s="21">
        <f>EXP(-LN(2)/25)*EB131+(1-EXP(-LN(2)/25))/(LN(2)/25)*Calculateur!DW132*Calculateur!DY132*VLOOKUP('Données projet'!$B$14,Paramètres!$A$1:$I$89,3,0)*0.475*44/12</f>
        <v>0</v>
      </c>
      <c r="EC132" s="21">
        <f>EXP(-LN(2)/2)*EC131+(1-EXP(-LN(2)/2))/(LN(2)/2)*DW132*DZ132*VLOOKUP('Données projet'!$B$14,Paramètres!$A$1:$I$89,3,0)*0.475*44/12</f>
        <v>0</v>
      </c>
      <c r="ED132" s="22">
        <f t="shared" ref="ED132:ED153" si="126">SUM(EA132:EC132)</f>
        <v>0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553.99999999999955</v>
      </c>
      <c r="EK132" s="17">
        <f>EJ132*VLOOKUP('Données projet'!$B$15,Paramètres!$A$1:$I$89,3,0)*VLOOKUP('Données projet'!$B$15,Paramètres!$A$1:$I$89,5,0)</f>
        <v>331.29199999999975</v>
      </c>
      <c r="EL132" s="13">
        <f t="shared" si="99"/>
        <v>77.698110787752</v>
      </c>
      <c r="EM132" s="20">
        <f t="shared" ref="EM132:EM153" si="127">(EK132+EL132)*0.475*44/12</f>
        <v>712.32444295533423</v>
      </c>
      <c r="EN132" s="59">
        <f t="shared" ref="EN132:EN195" si="128">EM132+(EE132+EF132)*44/12</f>
        <v>1005.6577762886675</v>
      </c>
      <c r="EO132" s="59">
        <f ca="1">AVERAGE(OFFSET($EN$3,0,0,'Données projet'!$E$15+1,1))-AVERAGE(OFFSET($H$3,0,0,'Données projet'!$E$15+1,1))</f>
        <v>316.58509520829671</v>
      </c>
      <c r="EP132" s="59">
        <f t="shared" si="100"/>
        <v>240.71332110643596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>
        <f>EXP(-LN(2)/35)*EV131+(1-EXP(-LN(2)/35))/(LN(2)/35)*ER132*ES132*VLOOKUP('Données projet'!$B$15,Paramètres!$A$1:$I$89,3,0)*0.475*44/12</f>
        <v>0.35679236968854022</v>
      </c>
      <c r="EW132" s="21">
        <f>EXP(-LN(2)/25)*EW131+(1-EXP(-LN(2)/25))/(LN(2)/25)*Calculateur!ER132*Calculateur!ET132*VLOOKUP('Données projet'!$B$15,Paramètres!$A$1:$I$89,3,0)*0.475*44/12</f>
        <v>0.98107291036349331</v>
      </c>
      <c r="EX132" s="21">
        <f>EXP(-LN(2)/2)*EX131+(1-EXP(-LN(2)/2))/(LN(2)/2)*ER132*EU132*VLOOKUP('Données projet'!$B$15,Paramètres!$A$1:$I$89,3,0)*0.475*44/12</f>
        <v>2.7557437682323535E-14</v>
      </c>
      <c r="EY132" s="22">
        <f t="shared" ref="EY132:EY153" si="129">SUM(EV132:EX132)</f>
        <v>1.337865280052061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497</v>
      </c>
      <c r="FF132" s="17">
        <f>FE132*VLOOKUP('Données projet'!$B$16,Paramètres!$A$1:$I$89,3,0)*VLOOKUP('Données projet'!$B$16,Paramètres!$A$1:$I$89,5,0)</f>
        <v>297.20600000000002</v>
      </c>
      <c r="FG132" s="13">
        <f t="shared" si="101"/>
        <v>70.590415164571112</v>
      </c>
      <c r="FH132" s="20">
        <f t="shared" ref="FH132:FH153" si="130">(FF132+FG132)*0.475*44/12</f>
        <v>640.57875641162809</v>
      </c>
      <c r="FI132" s="59">
        <f t="shared" ref="FI132:FI195" si="131">FH132+(EZ132+FA132)*44/12</f>
        <v>933.91208974496135</v>
      </c>
      <c r="FJ132" s="59">
        <f ca="1">AVERAGE(OFFSET($FI$3,0,0,'Données projet'!$E$16+1,1))-AVERAGE(OFFSET($H$3,0,0,'Données projet'!$E$16+1,1))</f>
        <v>270.30888762640245</v>
      </c>
      <c r="FK132" s="59">
        <f t="shared" si="102"/>
        <v>202.23783851977691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>
        <f>EXP(-LN(2)/35)*FQ131+(1-EXP(-LN(2)/35))/(LN(2)/35)*FM132*FN132*VLOOKUP('Données projet'!$B$16,Paramètres!$A$1:$I$89,3,0)*0.475*44/12</f>
        <v>0.30151467861003373</v>
      </c>
      <c r="FR132" s="21">
        <f>EXP(-LN(2)/25)*FR131+(1-EXP(-LN(2)/25))/(LN(2)/25)*Calculateur!FM132*Calculateur!FO132*VLOOKUP('Données projet'!$B$16,Paramètres!$A$1:$I$89,3,0)*0.475*44/12</f>
        <v>0.79005459521846111</v>
      </c>
      <c r="FS132" s="21">
        <f>EXP(-LN(2)/2)*FS131+(1-EXP(-LN(2)/2))/(LN(2)/2)*FM132*FP132*VLOOKUP('Données projet'!$B$16,Paramètres!$A$1:$I$89,3,0)*0.475*44/12</f>
        <v>2.3228084226396583E-14</v>
      </c>
      <c r="FT132" s="22">
        <f t="shared" ref="FT132:FT153" si="132">SUM(FQ132:FS132)</f>
        <v>1.0915692738285181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-5.1159076974727213E-13</v>
      </c>
      <c r="GA132" s="17">
        <f>FZ132*VLOOKUP('Données projet'!$B$17,Paramètres!$A$1:$I$89,3,0)*VLOOKUP('Données projet'!$B$17,Paramètres!$A$1:$I$89,5,0)</f>
        <v>-4.0702161641092972E-13</v>
      </c>
      <c r="GB132" s="13" t="e">
        <f t="shared" si="103"/>
        <v>#NUM!</v>
      </c>
      <c r="GC132" s="20" t="e">
        <f t="shared" ref="GC132:GC153" si="133">(GA132+GB132)*0.475*44/12</f>
        <v>#NUM!</v>
      </c>
      <c r="GD132" s="59" t="e">
        <f t="shared" ref="GD132:GD195" si="134">GC132+(FU132+FV132)*44/12</f>
        <v>#NUM!</v>
      </c>
      <c r="GE132" s="59">
        <f ca="1">AVERAGE(OFFSET($GD$3,0,0,'Données projet'!$E$17+1,1))-AVERAGE(OFFSET($H$3,0,0,'Données projet'!$E$17+1,1))</f>
        <v>260.20517190557814</v>
      </c>
      <c r="GF132" s="59">
        <f t="shared" si="104"/>
        <v>307.22009971147133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>
        <f>EXP(-LN(2)/35)*GL131+(1-EXP(-LN(2)/35))/(LN(2)/35)*GH132*GI132*VLOOKUP('Données projet'!$B$17,Paramètres!$A$1:$I$89,3,0)*0.475*44/12</f>
        <v>0.45933649226895751</v>
      </c>
      <c r="GM132" s="21">
        <f>EXP(-LN(2)/25)*GM131+(1-EXP(-LN(2)/25))/(LN(2)/25)*Calculateur!GH132*Calculateur!GJ132*VLOOKUP('Données projet'!$B$17,Paramètres!$A$1:$I$89,3,0)*0.475*44/12</f>
        <v>1.3185304549283308</v>
      </c>
      <c r="GN132" s="21">
        <f>EXP(-LN(2)/2)*GN131+(1-EXP(-LN(2)/2))/(LN(2)/2)*GH132*GK132*VLOOKUP('Données projet'!$B$17,Paramètres!$A$1:$I$89,3,0)*0.475*44/12</f>
        <v>3.0194805115436138E-14</v>
      </c>
      <c r="GO132" s="21">
        <f t="shared" ref="GO132:GO153" si="135">SUM(GL132:GN132)</f>
        <v>1.7778669471973185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5.6843418860808015E-14</v>
      </c>
      <c r="GV132" s="17">
        <f>GU132*VLOOKUP('Données projet'!$B$18,Paramètres!$A$1:$I$89,3,0)*VLOOKUP('Données projet'!$B$18,Paramètres!$A$1:$I$89,5,0)</f>
        <v>4.5224624045658861E-14</v>
      </c>
      <c r="GW132" s="13">
        <f t="shared" si="105"/>
        <v>7.4514601661523691E-13</v>
      </c>
      <c r="GX132" s="20">
        <f t="shared" ref="GX132:GX153" si="136">(GV132+GW132)*0.475*44/12</f>
        <v>1.3765621991510601E-12</v>
      </c>
      <c r="GY132" s="59">
        <f t="shared" ref="GY132:GY195" si="137">GX132+(GP132+GQ132)*44/12</f>
        <v>293.33333333333468</v>
      </c>
      <c r="GZ132" s="59">
        <f ca="1">AVERAGE(OFFSET($GY$3,0,0,'Données projet'!$E$18+1,1))-AVERAGE(OFFSET($H$3,0,0,'Données projet'!$E$18+1,1))</f>
        <v>199.58763537752952</v>
      </c>
      <c r="HA132" s="59">
        <f t="shared" si="106"/>
        <v>242.62852778451929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>
        <f>EXP(-LN(2)/35)*HG131+(1-EXP(-LN(2)/35))/(LN(2)/35)*HC132*HD132*VLOOKUP('Données projet'!$B$18,Paramètres!$A$1:$I$89,3,0)*0.475*44/12</f>
        <v>0</v>
      </c>
      <c r="HH132" s="21">
        <f>EXP(-LN(2)/25)*HH131+(1-EXP(-LN(2)/25))/(LN(2)/25)*Calculateur!HC132*Calculateur!HE132*VLOOKUP('Données projet'!$B$18,Paramètres!$A$1:$I$89,3,0)*0.475*44/12</f>
        <v>0.66075439296133009</v>
      </c>
      <c r="HI132" s="21">
        <f>EXP(-LN(2)/2)*HI131+(1-EXP(-LN(2)/2))/(LN(2)/2)*HC132*HF132*VLOOKUP('Données projet'!$B$18,Paramètres!$A$1:$I$89,3,0)*0.475*44/12</f>
        <v>1.3517313341504121E-14</v>
      </c>
      <c r="HJ132" s="22">
        <f t="shared" ref="HJ132:HJ153" si="138">SUM(HG132:HI132)</f>
        <v>0.66075439296134364</v>
      </c>
    </row>
    <row r="133" spans="1:218" x14ac:dyDescent="0.2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115.59600000000022</v>
      </c>
      <c r="D133" s="11">
        <f t="shared" ref="D133:D196" si="140">IFERROR(EXP(-1.0587+0.8836*LN(C133)+0.284),0)</f>
        <v>30.645614103483904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1128.8826351847899</v>
      </c>
      <c r="H133" s="67">
        <f t="shared" si="110"/>
        <v>548.03747789690146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-2.2737367544323206E-13</v>
      </c>
      <c r="O133" s="13">
        <f>N133*VLOOKUP('Données projet'!$B$9,Paramètres!$A$1:$I$89,3,0)*VLOOKUP('Données projet'!$B$9,Paramètres!$A$1:$I$89,5,0)</f>
        <v>-1.2710188457276673E-13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255.5374979188561</v>
      </c>
      <c r="T133" s="59">
        <f t="shared" ref="T133:T196" si="142">$T$3</f>
        <v>343.10418468620901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0.42646021193805855</v>
      </c>
      <c r="AA133" s="21">
        <f>EXP(-LN(2)/25)*AA132+(1-EXP(-LN(2)/25))/(LN(2)/25)*Calculateur!V133*Calculateur!X133*VLOOKUP('Données projet'!$B$9,Paramètres!$A$1:$I$89,3,0)*0.475*44/12</f>
        <v>0.99751619564175231</v>
      </c>
      <c r="AB133" s="21">
        <f>EXP(-LN(2)/2)*AB132+(1-EXP(-LN(2)/2))/(LN(2)/2)*V133*Y133*VLOOKUP('Données projet'!$B$9,Paramètres!$A$1:$I$89,3,0)*0.475*44/12</f>
        <v>1.5033770490316432E-15</v>
      </c>
      <c r="AC133" s="22">
        <f t="shared" si="111"/>
        <v>1.4239764075798125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1.1368683772161603E-13</v>
      </c>
      <c r="AJ133" s="13">
        <f>AI133*VLOOKUP('Données projet'!$B$10,Paramètres!$A$1:$I$89,3,0)*VLOOKUP('Données projet'!$B$10,Paramètres!$A$1:$I$89,5,0)</f>
        <v>6.3550942286383367E-14</v>
      </c>
      <c r="AK133" s="13">
        <f t="shared" ref="AK133:AK153" si="143">EXP(-1.0587+0.8836*LN(AJ133)+0.284)</f>
        <v>1.0064464192543978E-12</v>
      </c>
      <c r="AL133" s="20">
        <f t="shared" si="112"/>
        <v>1.8635787380168604E-12</v>
      </c>
      <c r="AM133" s="59">
        <f t="shared" si="113"/>
        <v>293.33333333333519</v>
      </c>
      <c r="AN133" s="59">
        <f ca="1">AVERAGE(OFFSET($AM$3,0,0,'Données projet'!$E$10+1,1))-AVERAGE(OFFSET($H$3,0,0,'Données projet'!$E$10+1,1))</f>
        <v>224.7049802939942</v>
      </c>
      <c r="AO133" s="59">
        <f t="shared" ref="AO133:AO196" si="144">$AO$3</f>
        <v>203.48513862195352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0.30792511543071666</v>
      </c>
      <c r="AV133" s="21">
        <f>EXP(-LN(2)/25)*AV132+(1-EXP(-LN(2)/25))/(LN(2)/25)*Calculateur!AQ133*Calculateur!AS133*VLOOKUP('Données projet'!$B$10,Paramètres!$A$1:$I$89,3,0)*0.475*44/12</f>
        <v>1.2202829710825371</v>
      </c>
      <c r="AW133" s="21">
        <f>EXP(-LN(2)/2)*AW132+(1-EXP(-LN(2)/2))/(LN(2)/2)*AQ133*AT133*VLOOKUP('Données projet'!$B$10,Paramètres!$A$1:$I$89,3,0)*0.475*44/12</f>
        <v>7.9586227306975884E-15</v>
      </c>
      <c r="AX133" s="21">
        <f t="shared" si="114"/>
        <v>1.5282080865132617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>
        <f>BD133*VLOOKUP('Données projet'!$B$11,Paramètres!$A$1:$I$89,3,0)*VLOOKUP('Données projet'!$B$11,Paramètres!$A$1:$I$89,5,0)</f>
        <v>0</v>
      </c>
      <c r="BF133" s="13" t="e">
        <f t="shared" ref="BF133:BF153" si="145">EXP(-1.0587+0.8836*LN(BE133)+0.284)</f>
        <v>#NUM!</v>
      </c>
      <c r="BG133" s="20" t="e">
        <f t="shared" si="115"/>
        <v>#NUM!</v>
      </c>
      <c r="BH133" s="59" t="e">
        <f t="shared" si="116"/>
        <v>#NUM!</v>
      </c>
      <c r="BI133" s="59">
        <f ca="1">AVERAGE(OFFSET($BH$3,0,0,'Données projet'!$E$11+1,1))-AVERAGE(OFFSET($H$3,0,0,'Données projet'!$E$11+1,1))</f>
        <v>210.04871822652808</v>
      </c>
      <c r="BJ133" s="59">
        <f t="shared" ref="BJ133:BJ196" si="146">$BJ$3</f>
        <v>250.17540614049324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1.0076177964345039</v>
      </c>
      <c r="BQ133" s="21">
        <f>EXP(-LN(2)/25)*BQ132+(1-EXP(-LN(2)/25))/(LN(2)/25)*Calculateur!BL133*Calculateur!BN133*VLOOKUP('Données projet'!$B$11,Paramètres!$A$1:$I$89,3,0)*0.475*44/12</f>
        <v>1.7394195990098387</v>
      </c>
      <c r="BR133" s="21">
        <f>EXP(-LN(2)/2)*BR132+(1-EXP(-LN(2)/2))/(LN(2)/2)*BL133*BO133*VLOOKUP('Données projet'!$B$11,Paramètres!$A$1:$I$89,3,0)*0.475*44/12</f>
        <v>1.9143698837133362E-14</v>
      </c>
      <c r="BS133" s="22">
        <f t="shared" si="117"/>
        <v>2.7470373954443619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2.2737367544323206E-13</v>
      </c>
      <c r="BZ133" s="13">
        <f>BY133*VLOOKUP('Données projet'!$B$12,Paramètres!$A$1:$I$89,3,0)*VLOOKUP('Données projet'!$B$12,Paramètres!$A$1:$I$89,5,0)</f>
        <v>1.2414602679200471E-13</v>
      </c>
      <c r="CA133" s="13">
        <f t="shared" ref="CA133:CA153" si="147">EXP(-1.0587+0.8836*LN(BZ133)+0.284)</f>
        <v>1.8186582995804361E-12</v>
      </c>
      <c r="CB133" s="20">
        <f t="shared" si="118"/>
        <v>3.3837175350986671E-12</v>
      </c>
      <c r="CC133" s="59">
        <f t="shared" si="119"/>
        <v>293.33333333333672</v>
      </c>
      <c r="CD133" s="59">
        <f ca="1">AVERAGE(OFFSET($CC$3,0,0,'Données projet'!$E$12+1,1))-AVERAGE(OFFSET($H$3,0,0,'Données projet'!$E$12+1,1))</f>
        <v>168.72306536277267</v>
      </c>
      <c r="CE133" s="59">
        <f t="shared" ref="CE133:CE196" si="148">$CE$3</f>
        <v>203.35476578922339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0.41984074851437664</v>
      </c>
      <c r="CL133" s="21">
        <f>EXP(-LN(2)/25)*CL132+(1-EXP(-LN(2)/25))/(LN(2)/25)*Calculateur!CG133*Calculateur!CI133*VLOOKUP('Données projet'!$B$12,Paramètres!$A$1:$I$89,3,0)*0.475*44/12</f>
        <v>1.4365638466492503</v>
      </c>
      <c r="CM133" s="21">
        <f>EXP(-LN(2)/2)*CM132+(1-EXP(-LN(2)/2))/(LN(2)/2)*CG133*CJ133*VLOOKUP('Données projet'!$B$12,Paramètres!$A$1:$I$89,3,0)*0.475*44/12</f>
        <v>1.7784748449124935E-14</v>
      </c>
      <c r="CN133" s="22">
        <f t="shared" si="120"/>
        <v>1.8564045951636448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1277.6923076923067</v>
      </c>
      <c r="CU133" s="17">
        <f>CT133*VLOOKUP('Données projet'!$B$13,Paramètres!$A$1:$I$89,3,0)*VLOOKUP('Données projet'!$B$13,Paramètres!$A$1:$I$89,5,0)</f>
        <v>614.5699999999996</v>
      </c>
      <c r="CV133" s="13">
        <f t="shared" ref="CV133:CV153" si="149">EXP(-1.0587+0.8836*LN(CU133)+0.284)</f>
        <v>134.13240620831178</v>
      </c>
      <c r="CW133" s="20">
        <f t="shared" si="121"/>
        <v>1303.9900241461421</v>
      </c>
      <c r="CX133" s="59">
        <f t="shared" si="122"/>
        <v>1597.3233574794754</v>
      </c>
      <c r="CY133" s="59">
        <f ca="1">AVERAGE(OFFSET($CX$3,0,0,'Données projet'!$E$13+1,1))-AVERAGE(OFFSET($H$3,0,0,'Données projet'!$E$13+1,1))</f>
        <v>304.15237106473313</v>
      </c>
      <c r="CZ133" s="59">
        <f t="shared" ref="CZ133:CZ196" si="150">$CZ$3</f>
        <v>120.85458928724336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>
        <f>EXP(-LN(2)/35)*DF132+(1-EXP(-LN(2)/35))/(LN(2)/35)*DB133*DC133*VLOOKUP('Données projet'!$B$13,Paramètres!$A$1:$I$89,3,0)*0.475*44/12</f>
        <v>0</v>
      </c>
      <c r="DG133" s="21">
        <f>EXP(-LN(2)/25)*DG132+(1-EXP(-LN(2)/25))/(LN(2)/25)*Calculateur!DB133*Calculateur!DD133*VLOOKUP('Données projet'!$B$13,Paramètres!$A$1:$I$89,3,0)*0.475*44/12</f>
        <v>0</v>
      </c>
      <c r="DH133" s="21">
        <f>EXP(-LN(2)/2)*DH132+(1-EXP(-LN(2)/2))/(LN(2)/2)*DB133*DE133*VLOOKUP('Données projet'!$B$13,Paramètres!$A$1:$I$89,3,0)*0.475*44/12</f>
        <v>0</v>
      </c>
      <c r="DI133" s="22">
        <f t="shared" si="123"/>
        <v>0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425.38461538461536</v>
      </c>
      <c r="DP133" s="17">
        <f>DO133*VLOOKUP('Données projet'!$B$14,Paramètres!$A$1:$I$89,3,0)*VLOOKUP('Données projet'!$B$14,Paramètres!$A$1:$I$89,5,0)</f>
        <v>204.60999999999999</v>
      </c>
      <c r="DQ133" s="13">
        <f t="shared" ref="DQ133:DQ153" si="151">EXP(-1.0587+0.8836*LN(DP133)+0.284)</f>
        <v>50.755958577224398</v>
      </c>
      <c r="DR133" s="20">
        <f t="shared" si="124"/>
        <v>444.76237785533249</v>
      </c>
      <c r="DS133" s="59">
        <f t="shared" si="125"/>
        <v>738.09571118866575</v>
      </c>
      <c r="DT133" s="59">
        <f ca="1">AVERAGE(OFFSET($DS$3,0,0,'Données projet'!$E$14+1,1))-AVERAGE(OFFSET($H$3,0,0,'Données projet'!$E$14+1,1))</f>
        <v>91.053246648097399</v>
      </c>
      <c r="DU133" s="59">
        <f t="shared" ref="DU133:DU196" si="152">$DU$3</f>
        <v>64.716270355703955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>
        <f>EXP(-LN(2)/35)*EA132+(1-EXP(-LN(2)/35))/(LN(2)/35)*DW133*DX133*VLOOKUP('Données projet'!$B$14,Paramètres!$A$1:$I$89,3,0)*0.475*44/12</f>
        <v>0</v>
      </c>
      <c r="EB133" s="21">
        <f>EXP(-LN(2)/25)*EB132+(1-EXP(-LN(2)/25))/(LN(2)/25)*Calculateur!DW133*Calculateur!DY133*VLOOKUP('Données projet'!$B$14,Paramètres!$A$1:$I$89,3,0)*0.475*44/12</f>
        <v>0</v>
      </c>
      <c r="EC133" s="21">
        <f>EXP(-LN(2)/2)*EC132+(1-EXP(-LN(2)/2))/(LN(2)/2)*DW133*DZ133*VLOOKUP('Données projet'!$B$14,Paramètres!$A$1:$I$89,3,0)*0.475*44/12</f>
        <v>0</v>
      </c>
      <c r="ED133" s="22">
        <f t="shared" si="126"/>
        <v>0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553.99999999999955</v>
      </c>
      <c r="EK133" s="17">
        <f>EJ133*VLOOKUP('Données projet'!$B$15,Paramètres!$A$1:$I$89,3,0)*VLOOKUP('Données projet'!$B$15,Paramètres!$A$1:$I$89,5,0)</f>
        <v>331.29199999999975</v>
      </c>
      <c r="EL133" s="13">
        <f t="shared" ref="EL133:EL153" si="153">EXP(-1.0587+0.8836*LN(EK133)+0.284)</f>
        <v>77.698110787752</v>
      </c>
      <c r="EM133" s="20">
        <f t="shared" si="127"/>
        <v>712.32444295533423</v>
      </c>
      <c r="EN133" s="59">
        <f t="shared" si="128"/>
        <v>1005.6577762886675</v>
      </c>
      <c r="EO133" s="59">
        <f ca="1">AVERAGE(OFFSET($EN$3,0,0,'Données projet'!$E$15+1,1))-AVERAGE(OFFSET($H$3,0,0,'Données projet'!$E$15+1,1))</f>
        <v>316.58509520829671</v>
      </c>
      <c r="EP133" s="59">
        <f t="shared" ref="EP133:EP196" si="154">$EP$3</f>
        <v>240.71332110643596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>
        <f>EXP(-LN(2)/35)*EV132+(1-EXP(-LN(2)/35))/(LN(2)/35)*ER133*ES133*VLOOKUP('Données projet'!$B$15,Paramètres!$A$1:$I$89,3,0)*0.475*44/12</f>
        <v>0.3497958889408051</v>
      </c>
      <c r="EW133" s="21">
        <f>EXP(-LN(2)/25)*EW132+(1-EXP(-LN(2)/25))/(LN(2)/25)*Calculateur!ER133*Calculateur!ET133*VLOOKUP('Données projet'!$B$15,Paramètres!$A$1:$I$89,3,0)*0.475*44/12</f>
        <v>0.95424542003722146</v>
      </c>
      <c r="EX133" s="21">
        <f>EXP(-LN(2)/2)*EX132+(1-EXP(-LN(2)/2))/(LN(2)/2)*ER133*EU133*VLOOKUP('Données projet'!$B$15,Paramètres!$A$1:$I$89,3,0)*0.475*44/12</f>
        <v>1.9486051057296667E-14</v>
      </c>
      <c r="EY133" s="22">
        <f t="shared" si="129"/>
        <v>1.304041308978046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497</v>
      </c>
      <c r="FF133" s="17">
        <f>FE133*VLOOKUP('Données projet'!$B$16,Paramètres!$A$1:$I$89,3,0)*VLOOKUP('Données projet'!$B$16,Paramètres!$A$1:$I$89,5,0)</f>
        <v>297.20600000000002</v>
      </c>
      <c r="FG133" s="13">
        <f t="shared" ref="FG133:FG153" si="155">EXP(-1.0587+0.8836*LN(FF133)+0.284)</f>
        <v>70.590415164571112</v>
      </c>
      <c r="FH133" s="20">
        <f t="shared" si="130"/>
        <v>640.57875641162809</v>
      </c>
      <c r="FI133" s="59">
        <f t="shared" si="131"/>
        <v>933.91208974496135</v>
      </c>
      <c r="FJ133" s="59">
        <f ca="1">AVERAGE(OFFSET($FI$3,0,0,'Données projet'!$E$16+1,1))-AVERAGE(OFFSET($H$3,0,0,'Données projet'!$E$16+1,1))</f>
        <v>270.30888762640245</v>
      </c>
      <c r="FK133" s="59">
        <f t="shared" ref="FK133:FK196" si="156">$FK$3</f>
        <v>202.23783851977691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>
        <f>EXP(-LN(2)/35)*FQ132+(1-EXP(-LN(2)/35))/(LN(2)/35)*FM133*FN133*VLOOKUP('Données projet'!$B$16,Paramètres!$A$1:$I$89,3,0)*0.475*44/12</f>
        <v>0.29560215966828574</v>
      </c>
      <c r="FR133" s="21">
        <f>EXP(-LN(2)/25)*FR132+(1-EXP(-LN(2)/25))/(LN(2)/25)*Calculateur!FM133*Calculateur!FO133*VLOOKUP('Données projet'!$B$16,Paramètres!$A$1:$I$89,3,0)*0.475*44/12</f>
        <v>0.76845051076504678</v>
      </c>
      <c r="FS133" s="21">
        <f>EXP(-LN(2)/2)*FS132+(1-EXP(-LN(2)/2))/(LN(2)/2)*FM133*FP133*VLOOKUP('Données projet'!$B$16,Paramètres!$A$1:$I$89,3,0)*0.475*44/12</f>
        <v>1.6424735870457305E-14</v>
      </c>
      <c r="FT133" s="22">
        <f t="shared" si="132"/>
        <v>1.0640526704333491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-5.1159076974727213E-13</v>
      </c>
      <c r="GA133" s="17">
        <f>FZ133*VLOOKUP('Données projet'!$B$17,Paramètres!$A$1:$I$89,3,0)*VLOOKUP('Données projet'!$B$17,Paramètres!$A$1:$I$89,5,0)</f>
        <v>-4.0702161641092972E-13</v>
      </c>
      <c r="GB133" s="13" t="e">
        <f t="shared" ref="GB133:GB153" si="157">EXP(-1.0587+0.8836*LN(GA133)+0.284)</f>
        <v>#NUM!</v>
      </c>
      <c r="GC133" s="20" t="e">
        <f t="shared" si="133"/>
        <v>#NUM!</v>
      </c>
      <c r="GD133" s="59" t="e">
        <f t="shared" si="134"/>
        <v>#NUM!</v>
      </c>
      <c r="GE133" s="59">
        <f ca="1">AVERAGE(OFFSET($GD$3,0,0,'Données projet'!$E$17+1,1))-AVERAGE(OFFSET($H$3,0,0,'Données projet'!$E$17+1,1))</f>
        <v>260.20517190557814</v>
      </c>
      <c r="GF133" s="59">
        <f t="shared" ref="GF133:GF196" si="158">$GF$3</f>
        <v>307.22009971147133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>
        <f>EXP(-LN(2)/35)*GL132+(1-EXP(-LN(2)/35))/(LN(2)/35)*GH133*GI133*VLOOKUP('Données projet'!$B$17,Paramètres!$A$1:$I$89,3,0)*0.475*44/12</f>
        <v>0.45032918382315928</v>
      </c>
      <c r="GM133" s="21">
        <f>EXP(-LN(2)/25)*GM132+(1-EXP(-LN(2)/25))/(LN(2)/25)*Calculateur!GH133*Calculateur!GJ133*VLOOKUP('Données projet'!$B$17,Paramètres!$A$1:$I$89,3,0)*0.475*44/12</f>
        <v>1.2824751702998125</v>
      </c>
      <c r="GN133" s="21">
        <f>EXP(-LN(2)/2)*GN132+(1-EXP(-LN(2)/2))/(LN(2)/2)*GH133*GK133*VLOOKUP('Données projet'!$B$17,Paramètres!$A$1:$I$89,3,0)*0.475*44/12</f>
        <v>2.1350951453731147E-14</v>
      </c>
      <c r="GO133" s="21">
        <f t="shared" si="135"/>
        <v>1.7328043541229932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5.6843418860808015E-14</v>
      </c>
      <c r="GV133" s="17">
        <f>GU133*VLOOKUP('Données projet'!$B$18,Paramètres!$A$1:$I$89,3,0)*VLOOKUP('Données projet'!$B$18,Paramètres!$A$1:$I$89,5,0)</f>
        <v>4.5224624045658861E-14</v>
      </c>
      <c r="GW133" s="13">
        <f t="shared" ref="GW133:GW153" si="159">EXP(-1.0587+0.8836*LN(GV133)+0.284)</f>
        <v>7.4514601661523691E-13</v>
      </c>
      <c r="GX133" s="20">
        <f t="shared" si="136"/>
        <v>1.3765621991510601E-12</v>
      </c>
      <c r="GY133" s="59">
        <f t="shared" si="137"/>
        <v>293.33333333333468</v>
      </c>
      <c r="GZ133" s="59">
        <f ca="1">AVERAGE(OFFSET($GY$3,0,0,'Données projet'!$E$18+1,1))-AVERAGE(OFFSET($H$3,0,0,'Données projet'!$E$18+1,1))</f>
        <v>199.58763537752952</v>
      </c>
      <c r="HA133" s="59">
        <f t="shared" ref="HA133:HA196" si="160">$HA$3</f>
        <v>242.62852778451929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>
        <f>EXP(-LN(2)/35)*HG132+(1-EXP(-LN(2)/35))/(LN(2)/35)*HC133*HD133*VLOOKUP('Données projet'!$B$18,Paramètres!$A$1:$I$89,3,0)*0.475*44/12</f>
        <v>0</v>
      </c>
      <c r="HH133" s="21">
        <f>EXP(-LN(2)/25)*HH132+(1-EXP(-LN(2)/25))/(LN(2)/25)*Calculateur!HC133*Calculateur!HE133*VLOOKUP('Données projet'!$B$18,Paramètres!$A$1:$I$89,3,0)*0.475*44/12</f>
        <v>0.64268602933823915</v>
      </c>
      <c r="HI133" s="21">
        <f>EXP(-LN(2)/2)*HI132+(1-EXP(-LN(2)/2))/(LN(2)/2)*HC133*HF133*VLOOKUP('Données projet'!$B$18,Paramètres!$A$1:$I$89,3,0)*0.475*44/12</f>
        <v>9.5581839272009538E-15</v>
      </c>
      <c r="HJ133" s="22">
        <f t="shared" si="138"/>
        <v>0.6426860293382487</v>
      </c>
    </row>
    <row r="134" spans="1:218" x14ac:dyDescent="0.2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116.48520000000022</v>
      </c>
      <c r="D134" s="11">
        <f t="shared" si="140"/>
        <v>30.853816998586289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1137.3538154276855</v>
      </c>
      <c r="H134" s="67">
        <f t="shared" si="110"/>
        <v>549.94878793920475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-2.2737367544323206E-13</v>
      </c>
      <c r="O134" s="13">
        <f>N134*VLOOKUP('Données projet'!$B$9,Paramètres!$A$1:$I$89,3,0)*VLOOKUP('Données projet'!$B$9,Paramètres!$A$1:$I$89,5,0)</f>
        <v>-1.2710188457276673E-13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255.5374979188561</v>
      </c>
      <c r="T134" s="59">
        <f t="shared" si="142"/>
        <v>343.10418468620901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0.41809758729699825</v>
      </c>
      <c r="AA134" s="21">
        <f>EXP(-LN(2)/25)*AA133+(1-EXP(-LN(2)/25))/(LN(2)/25)*Calculateur!V134*Calculateur!X134*VLOOKUP('Données projet'!$B$9,Paramètres!$A$1:$I$89,3,0)*0.475*44/12</f>
        <v>0.97023906281483174</v>
      </c>
      <c r="AB134" s="21">
        <f>EXP(-LN(2)/2)*AB133+(1-EXP(-LN(2)/2))/(LN(2)/2)*V134*Y134*VLOOKUP('Données projet'!$B$9,Paramètres!$A$1:$I$89,3,0)*0.475*44/12</f>
        <v>1.0630481060504956E-15</v>
      </c>
      <c r="AC134" s="22">
        <f t="shared" si="111"/>
        <v>1.388336650111831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1.1368683772161603E-13</v>
      </c>
      <c r="AJ134" s="13">
        <f>AI134*VLOOKUP('Données projet'!$B$10,Paramètres!$A$1:$I$89,3,0)*VLOOKUP('Données projet'!$B$10,Paramètres!$A$1:$I$89,5,0)</f>
        <v>6.3550942286383367E-14</v>
      </c>
      <c r="AK134" s="13">
        <f t="shared" si="143"/>
        <v>1.0064464192543978E-12</v>
      </c>
      <c r="AL134" s="20">
        <f t="shared" si="112"/>
        <v>1.8635787380168604E-12</v>
      </c>
      <c r="AM134" s="59">
        <f t="shared" si="113"/>
        <v>293.33333333333519</v>
      </c>
      <c r="AN134" s="59">
        <f ca="1">AVERAGE(OFFSET($AM$3,0,0,'Données projet'!$E$10+1,1))-AVERAGE(OFFSET($H$3,0,0,'Données projet'!$E$10+1,1))</f>
        <v>224.7049802939942</v>
      </c>
      <c r="AO134" s="59">
        <f t="shared" si="144"/>
        <v>203.48513862195352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0.30188689173289546</v>
      </c>
      <c r="AV134" s="21">
        <f>EXP(-LN(2)/25)*AV133+(1-EXP(-LN(2)/25))/(LN(2)/25)*Calculateur!AQ134*Calculateur!AS134*VLOOKUP('Données projet'!$B$10,Paramètres!$A$1:$I$89,3,0)*0.475*44/12</f>
        <v>1.1869142690663927</v>
      </c>
      <c r="AW134" s="21">
        <f>EXP(-LN(2)/2)*AW133+(1-EXP(-LN(2)/2))/(LN(2)/2)*AQ134*AT134*VLOOKUP('Données projet'!$B$10,Paramètres!$A$1:$I$89,3,0)*0.475*44/12</f>
        <v>5.627596101781663E-15</v>
      </c>
      <c r="AX134" s="21">
        <f t="shared" si="114"/>
        <v>1.4888011607992937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>
        <f>BD134*VLOOKUP('Données projet'!$B$11,Paramètres!$A$1:$I$89,3,0)*VLOOKUP('Données projet'!$B$11,Paramètres!$A$1:$I$89,5,0)</f>
        <v>0</v>
      </c>
      <c r="BF134" s="13" t="e">
        <f t="shared" si="145"/>
        <v>#NUM!</v>
      </c>
      <c r="BG134" s="20" t="e">
        <f t="shared" si="115"/>
        <v>#NUM!</v>
      </c>
      <c r="BH134" s="59" t="e">
        <f t="shared" si="116"/>
        <v>#NUM!</v>
      </c>
      <c r="BI134" s="59">
        <f ca="1">AVERAGE(OFFSET($BH$3,0,0,'Données projet'!$E$11+1,1))-AVERAGE(OFFSET($H$3,0,0,'Données projet'!$E$11+1,1))</f>
        <v>210.04871822652808</v>
      </c>
      <c r="BJ134" s="59">
        <f t="shared" si="146"/>
        <v>250.17540614049324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0.98785902603259379</v>
      </c>
      <c r="BQ134" s="21">
        <f>EXP(-LN(2)/25)*BQ133+(1-EXP(-LN(2)/25))/(LN(2)/25)*Calculateur!BL134*Calculateur!BN134*VLOOKUP('Données projet'!$B$11,Paramètres!$A$1:$I$89,3,0)*0.475*44/12</f>
        <v>1.6918550786028135</v>
      </c>
      <c r="BR134" s="21">
        <f>EXP(-LN(2)/2)*BR133+(1-EXP(-LN(2)/2))/(LN(2)/2)*BL134*BO134*VLOOKUP('Données projet'!$B$11,Paramètres!$A$1:$I$89,3,0)*0.475*44/12</f>
        <v>1.3536639264730025E-14</v>
      </c>
      <c r="BS134" s="22">
        <f t="shared" si="117"/>
        <v>2.6797141046354205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2.2737367544323206E-13</v>
      </c>
      <c r="BZ134" s="13">
        <f>BY134*VLOOKUP('Données projet'!$B$12,Paramètres!$A$1:$I$89,3,0)*VLOOKUP('Données projet'!$B$12,Paramètres!$A$1:$I$89,5,0)</f>
        <v>1.2414602679200471E-13</v>
      </c>
      <c r="CA134" s="13">
        <f t="shared" si="147"/>
        <v>1.8186582995804361E-12</v>
      </c>
      <c r="CB134" s="20">
        <f t="shared" si="118"/>
        <v>3.3837175350986671E-12</v>
      </c>
      <c r="CC134" s="59">
        <f t="shared" si="119"/>
        <v>293.33333333333672</v>
      </c>
      <c r="CD134" s="59">
        <f ca="1">AVERAGE(OFFSET($CC$3,0,0,'Données projet'!$E$12+1,1))-AVERAGE(OFFSET($H$3,0,0,'Données projet'!$E$12+1,1))</f>
        <v>168.72306536277267</v>
      </c>
      <c r="CE134" s="59">
        <f t="shared" si="148"/>
        <v>203.35476578922339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0.41160792751358077</v>
      </c>
      <c r="CL134" s="21">
        <f>EXP(-LN(2)/25)*CL133+(1-EXP(-LN(2)/25))/(LN(2)/25)*Calculateur!CG134*Calculateur!CI134*VLOOKUP('Données projet'!$B$12,Paramètres!$A$1:$I$89,3,0)*0.475*44/12</f>
        <v>1.3972809327170173</v>
      </c>
      <c r="CM134" s="21">
        <f>EXP(-LN(2)/2)*CM133+(1-EXP(-LN(2)/2))/(LN(2)/2)*CG134*CJ134*VLOOKUP('Données projet'!$B$12,Paramètres!$A$1:$I$89,3,0)*0.475*44/12</f>
        <v>1.2575716230073176E-14</v>
      </c>
      <c r="CN134" s="22">
        <f t="shared" si="120"/>
        <v>1.8088888602306106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1277.6923076923067</v>
      </c>
      <c r="CU134" s="17">
        <f>CT134*VLOOKUP('Données projet'!$B$13,Paramètres!$A$1:$I$89,3,0)*VLOOKUP('Données projet'!$B$13,Paramètres!$A$1:$I$89,5,0)</f>
        <v>614.5699999999996</v>
      </c>
      <c r="CV134" s="13">
        <f t="shared" si="149"/>
        <v>134.13240620831178</v>
      </c>
      <c r="CW134" s="20">
        <f t="shared" si="121"/>
        <v>1303.9900241461421</v>
      </c>
      <c r="CX134" s="59">
        <f t="shared" si="122"/>
        <v>1597.3233574794754</v>
      </c>
      <c r="CY134" s="59">
        <f ca="1">AVERAGE(OFFSET($CX$3,0,0,'Données projet'!$E$13+1,1))-AVERAGE(OFFSET($H$3,0,0,'Données projet'!$E$13+1,1))</f>
        <v>304.15237106473313</v>
      </c>
      <c r="CZ134" s="59">
        <f t="shared" si="150"/>
        <v>120.85458928724336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>
        <f>EXP(-LN(2)/35)*DF133+(1-EXP(-LN(2)/35))/(LN(2)/35)*DB134*DC134*VLOOKUP('Données projet'!$B$13,Paramètres!$A$1:$I$89,3,0)*0.475*44/12</f>
        <v>0</v>
      </c>
      <c r="DG134" s="21">
        <f>EXP(-LN(2)/25)*DG133+(1-EXP(-LN(2)/25))/(LN(2)/25)*Calculateur!DB134*Calculateur!DD134*VLOOKUP('Données projet'!$B$13,Paramètres!$A$1:$I$89,3,0)*0.475*44/12</f>
        <v>0</v>
      </c>
      <c r="DH134" s="21">
        <f>EXP(-LN(2)/2)*DH133+(1-EXP(-LN(2)/2))/(LN(2)/2)*DB134*DE134*VLOOKUP('Données projet'!$B$13,Paramètres!$A$1:$I$89,3,0)*0.475*44/12</f>
        <v>0</v>
      </c>
      <c r="DI134" s="22">
        <f t="shared" si="123"/>
        <v>0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425.38461538461536</v>
      </c>
      <c r="DP134" s="17">
        <f>DO134*VLOOKUP('Données projet'!$B$14,Paramètres!$A$1:$I$89,3,0)*VLOOKUP('Données projet'!$B$14,Paramètres!$A$1:$I$89,5,0)</f>
        <v>204.60999999999999</v>
      </c>
      <c r="DQ134" s="13">
        <f t="shared" si="151"/>
        <v>50.755958577224398</v>
      </c>
      <c r="DR134" s="20">
        <f t="shared" si="124"/>
        <v>444.76237785533249</v>
      </c>
      <c r="DS134" s="59">
        <f t="shared" si="125"/>
        <v>738.09571118866575</v>
      </c>
      <c r="DT134" s="59">
        <f ca="1">AVERAGE(OFFSET($DS$3,0,0,'Données projet'!$E$14+1,1))-AVERAGE(OFFSET($H$3,0,0,'Données projet'!$E$14+1,1))</f>
        <v>91.053246648097399</v>
      </c>
      <c r="DU134" s="59">
        <f t="shared" si="152"/>
        <v>64.716270355703955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>
        <f>EXP(-LN(2)/35)*EA133+(1-EXP(-LN(2)/35))/(LN(2)/35)*DW134*DX134*VLOOKUP('Données projet'!$B$14,Paramètres!$A$1:$I$89,3,0)*0.475*44/12</f>
        <v>0</v>
      </c>
      <c r="EB134" s="21">
        <f>EXP(-LN(2)/25)*EB133+(1-EXP(-LN(2)/25))/(LN(2)/25)*Calculateur!DW134*Calculateur!DY134*VLOOKUP('Données projet'!$B$14,Paramètres!$A$1:$I$89,3,0)*0.475*44/12</f>
        <v>0</v>
      </c>
      <c r="EC134" s="21">
        <f>EXP(-LN(2)/2)*EC133+(1-EXP(-LN(2)/2))/(LN(2)/2)*DW134*DZ134*VLOOKUP('Données projet'!$B$14,Paramètres!$A$1:$I$89,3,0)*0.475*44/12</f>
        <v>0</v>
      </c>
      <c r="ED134" s="22">
        <f t="shared" si="126"/>
        <v>0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553.99999999999955</v>
      </c>
      <c r="EK134" s="17">
        <f>EJ134*VLOOKUP('Données projet'!$B$15,Paramètres!$A$1:$I$89,3,0)*VLOOKUP('Données projet'!$B$15,Paramètres!$A$1:$I$89,5,0)</f>
        <v>331.29199999999975</v>
      </c>
      <c r="EL134" s="13">
        <f t="shared" si="153"/>
        <v>77.698110787752</v>
      </c>
      <c r="EM134" s="20">
        <f t="shared" si="127"/>
        <v>712.32444295533423</v>
      </c>
      <c r="EN134" s="59">
        <f t="shared" si="128"/>
        <v>1005.6577762886675</v>
      </c>
      <c r="EO134" s="59">
        <f ca="1">AVERAGE(OFFSET($EN$3,0,0,'Données projet'!$E$15+1,1))-AVERAGE(OFFSET($H$3,0,0,'Données projet'!$E$15+1,1))</f>
        <v>316.58509520829671</v>
      </c>
      <c r="EP134" s="59">
        <f t="shared" si="154"/>
        <v>240.71332110643596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>
        <f>EXP(-LN(2)/35)*EV133+(1-EXP(-LN(2)/35))/(LN(2)/35)*ER134*ES134*VLOOKUP('Données projet'!$B$15,Paramètres!$A$1:$I$89,3,0)*0.475*44/12</f>
        <v>0.34293660491310118</v>
      </c>
      <c r="EW134" s="21">
        <f>EXP(-LN(2)/25)*EW133+(1-EXP(-LN(2)/25))/(LN(2)/25)*Calculateur!ER134*Calculateur!ET134*VLOOKUP('Données projet'!$B$15,Paramètres!$A$1:$I$89,3,0)*0.475*44/12</f>
        <v>0.92815152884471797</v>
      </c>
      <c r="EX134" s="21">
        <f>EXP(-LN(2)/2)*EX133+(1-EXP(-LN(2)/2))/(LN(2)/2)*ER134*EU134*VLOOKUP('Données projet'!$B$15,Paramètres!$A$1:$I$89,3,0)*0.475*44/12</f>
        <v>1.3778718841161767E-14</v>
      </c>
      <c r="EY134" s="22">
        <f t="shared" si="129"/>
        <v>1.271088133757833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497</v>
      </c>
      <c r="FF134" s="17">
        <f>FE134*VLOOKUP('Données projet'!$B$16,Paramètres!$A$1:$I$89,3,0)*VLOOKUP('Données projet'!$B$16,Paramètres!$A$1:$I$89,5,0)</f>
        <v>297.20600000000002</v>
      </c>
      <c r="FG134" s="13">
        <f t="shared" si="155"/>
        <v>70.590415164571112</v>
      </c>
      <c r="FH134" s="20">
        <f t="shared" si="130"/>
        <v>640.57875641162809</v>
      </c>
      <c r="FI134" s="59">
        <f t="shared" si="131"/>
        <v>933.91208974496135</v>
      </c>
      <c r="FJ134" s="59">
        <f ca="1">AVERAGE(OFFSET($FI$3,0,0,'Données projet'!$E$16+1,1))-AVERAGE(OFFSET($H$3,0,0,'Données projet'!$E$16+1,1))</f>
        <v>270.30888762640245</v>
      </c>
      <c r="FK134" s="59">
        <f t="shared" si="156"/>
        <v>202.23783851977691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>
        <f>EXP(-LN(2)/35)*FQ133+(1-EXP(-LN(2)/35))/(LN(2)/35)*FM134*FN134*VLOOKUP('Données projet'!$B$16,Paramètres!$A$1:$I$89,3,0)*0.475*44/12</f>
        <v>0.28980558161670494</v>
      </c>
      <c r="FR134" s="21">
        <f>EXP(-LN(2)/25)*FR133+(1-EXP(-LN(2)/25))/(LN(2)/25)*Calculateur!FM134*Calculateur!FO134*VLOOKUP('Données projet'!$B$16,Paramètres!$A$1:$I$89,3,0)*0.475*44/12</f>
        <v>0.74743719113712048</v>
      </c>
      <c r="FS134" s="21">
        <f>EXP(-LN(2)/2)*FS133+(1-EXP(-LN(2)/2))/(LN(2)/2)*FM134*FP134*VLOOKUP('Données projet'!$B$16,Paramètres!$A$1:$I$89,3,0)*0.475*44/12</f>
        <v>1.1614042113198291E-14</v>
      </c>
      <c r="FT134" s="22">
        <f t="shared" si="132"/>
        <v>1.0372427727538369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-5.1159076974727213E-13</v>
      </c>
      <c r="GA134" s="17">
        <f>FZ134*VLOOKUP('Données projet'!$B$17,Paramètres!$A$1:$I$89,3,0)*VLOOKUP('Données projet'!$B$17,Paramètres!$A$1:$I$89,5,0)</f>
        <v>-4.0702161641092972E-13</v>
      </c>
      <c r="GB134" s="13" t="e">
        <f t="shared" si="157"/>
        <v>#NUM!</v>
      </c>
      <c r="GC134" s="20" t="e">
        <f t="shared" si="133"/>
        <v>#NUM!</v>
      </c>
      <c r="GD134" s="59" t="e">
        <f t="shared" si="134"/>
        <v>#NUM!</v>
      </c>
      <c r="GE134" s="59">
        <f ca="1">AVERAGE(OFFSET($GD$3,0,0,'Données projet'!$E$17+1,1))-AVERAGE(OFFSET($H$3,0,0,'Données projet'!$E$17+1,1))</f>
        <v>260.20517190557814</v>
      </c>
      <c r="GF134" s="59">
        <f t="shared" si="158"/>
        <v>307.22009971147133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>
        <f>EXP(-LN(2)/35)*GL133+(1-EXP(-LN(2)/35))/(LN(2)/35)*GH134*GI134*VLOOKUP('Données projet'!$B$17,Paramètres!$A$1:$I$89,3,0)*0.475*44/12</f>
        <v>0.44149850320206752</v>
      </c>
      <c r="GM134" s="21">
        <f>EXP(-LN(2)/25)*GM133+(1-EXP(-LN(2)/25))/(LN(2)/25)*Calculateur!GH134*Calculateur!GJ134*VLOOKUP('Données projet'!$B$17,Paramètres!$A$1:$I$89,3,0)*0.475*44/12</f>
        <v>1.247405819325526</v>
      </c>
      <c r="GN134" s="21">
        <f>EXP(-LN(2)/2)*GN133+(1-EXP(-LN(2)/2))/(LN(2)/2)*GH134*GK134*VLOOKUP('Données projet'!$B$17,Paramètres!$A$1:$I$89,3,0)*0.475*44/12</f>
        <v>1.5097402557718069E-14</v>
      </c>
      <c r="GO134" s="21">
        <f t="shared" si="135"/>
        <v>1.6889043225276086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5.6843418860808015E-14</v>
      </c>
      <c r="GV134" s="17">
        <f>GU134*VLOOKUP('Données projet'!$B$18,Paramètres!$A$1:$I$89,3,0)*VLOOKUP('Données projet'!$B$18,Paramètres!$A$1:$I$89,5,0)</f>
        <v>4.5224624045658861E-14</v>
      </c>
      <c r="GW134" s="13">
        <f t="shared" si="159"/>
        <v>7.4514601661523691E-13</v>
      </c>
      <c r="GX134" s="20">
        <f t="shared" si="136"/>
        <v>1.3765621991510601E-12</v>
      </c>
      <c r="GY134" s="59">
        <f t="shared" si="137"/>
        <v>293.33333333333468</v>
      </c>
      <c r="GZ134" s="59">
        <f ca="1">AVERAGE(OFFSET($GY$3,0,0,'Données projet'!$E$18+1,1))-AVERAGE(OFFSET($H$3,0,0,'Données projet'!$E$18+1,1))</f>
        <v>199.58763537752952</v>
      </c>
      <c r="HA134" s="59">
        <f t="shared" si="160"/>
        <v>242.62852778451929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>
        <f>EXP(-LN(2)/35)*HG133+(1-EXP(-LN(2)/35))/(LN(2)/35)*HC134*HD134*VLOOKUP('Données projet'!$B$18,Paramètres!$A$1:$I$89,3,0)*0.475*44/12</f>
        <v>0</v>
      </c>
      <c r="HH134" s="21">
        <f>EXP(-LN(2)/25)*HH133+(1-EXP(-LN(2)/25))/(LN(2)/25)*Calculateur!HC134*Calculateur!HE134*VLOOKUP('Données projet'!$B$18,Paramètres!$A$1:$I$89,3,0)*0.475*44/12</f>
        <v>0.62511174606859554</v>
      </c>
      <c r="HI134" s="21">
        <f>EXP(-LN(2)/2)*HI133+(1-EXP(-LN(2)/2))/(LN(2)/2)*HC134*HF134*VLOOKUP('Données projet'!$B$18,Paramètres!$A$1:$I$89,3,0)*0.475*44/12</f>
        <v>6.7586566707520604E-15</v>
      </c>
      <c r="HJ134" s="22">
        <f t="shared" si="138"/>
        <v>0.62511174606860231</v>
      </c>
    </row>
    <row r="135" spans="1:218" x14ac:dyDescent="0.2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117.37440000000022</v>
      </c>
      <c r="D135" s="11">
        <f t="shared" si="140"/>
        <v>31.061834975351932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1145.8235682307889</v>
      </c>
      <c r="H135" s="67">
        <f t="shared" si="110"/>
        <v>551.85977591540495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-2.2737367544323206E-13</v>
      </c>
      <c r="O135" s="13">
        <f>N135*VLOOKUP('Données projet'!$B$9,Paramètres!$A$1:$I$89,3,0)*VLOOKUP('Données projet'!$B$9,Paramètres!$A$1:$I$89,5,0)</f>
        <v>-1.2710188457276673E-13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255.5374979188561</v>
      </c>
      <c r="T135" s="59">
        <f t="shared" si="142"/>
        <v>343.10418468620901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0.40989894862445181</v>
      </c>
      <c r="AA135" s="21">
        <f>EXP(-LN(2)/25)*AA134+(1-EXP(-LN(2)/25))/(LN(2)/25)*Calculateur!V135*Calculateur!X135*VLOOKUP('Données projet'!$B$9,Paramètres!$A$1:$I$89,3,0)*0.475*44/12</f>
        <v>0.94370782461950542</v>
      </c>
      <c r="AB135" s="21">
        <f>EXP(-LN(2)/2)*AB134+(1-EXP(-LN(2)/2))/(LN(2)/2)*V135*Y135*VLOOKUP('Données projet'!$B$9,Paramètres!$A$1:$I$89,3,0)*0.475*44/12</f>
        <v>7.5168852451582159E-16</v>
      </c>
      <c r="AC135" s="22">
        <f t="shared" si="111"/>
        <v>1.3536067732439578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1.1368683772161603E-13</v>
      </c>
      <c r="AJ135" s="13">
        <f>AI135*VLOOKUP('Données projet'!$B$10,Paramètres!$A$1:$I$89,3,0)*VLOOKUP('Données projet'!$B$10,Paramètres!$A$1:$I$89,5,0)</f>
        <v>6.3550942286383367E-14</v>
      </c>
      <c r="AK135" s="13">
        <f t="shared" si="143"/>
        <v>1.0064464192543978E-12</v>
      </c>
      <c r="AL135" s="20">
        <f t="shared" si="112"/>
        <v>1.8635787380168604E-12</v>
      </c>
      <c r="AM135" s="59">
        <f t="shared" si="113"/>
        <v>293.33333333333519</v>
      </c>
      <c r="AN135" s="59">
        <f ca="1">AVERAGE(OFFSET($AM$3,0,0,'Données projet'!$E$10+1,1))-AVERAGE(OFFSET($H$3,0,0,'Données projet'!$E$10+1,1))</f>
        <v>224.7049802939942</v>
      </c>
      <c r="AO135" s="59">
        <f t="shared" si="144"/>
        <v>203.48513862195352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0.29596707391883575</v>
      </c>
      <c r="AV135" s="21">
        <f>EXP(-LN(2)/25)*AV134+(1-EXP(-LN(2)/25))/(LN(2)/25)*Calculateur!AQ135*Calculateur!AS135*VLOOKUP('Données projet'!$B$10,Paramètres!$A$1:$I$89,3,0)*0.475*44/12</f>
        <v>1.1544580359616636</v>
      </c>
      <c r="AW135" s="21">
        <f>EXP(-LN(2)/2)*AW134+(1-EXP(-LN(2)/2))/(LN(2)/2)*AQ135*AT135*VLOOKUP('Données projet'!$B$10,Paramètres!$A$1:$I$89,3,0)*0.475*44/12</f>
        <v>3.9793113653487942E-15</v>
      </c>
      <c r="AX135" s="21">
        <f t="shared" si="114"/>
        <v>1.4504251098805034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>
        <f>BD135*VLOOKUP('Données projet'!$B$11,Paramètres!$A$1:$I$89,3,0)*VLOOKUP('Données projet'!$B$11,Paramètres!$A$1:$I$89,5,0)</f>
        <v>0</v>
      </c>
      <c r="BF135" s="13" t="e">
        <f t="shared" si="145"/>
        <v>#NUM!</v>
      </c>
      <c r="BG135" s="20" t="e">
        <f t="shared" si="115"/>
        <v>#NUM!</v>
      </c>
      <c r="BH135" s="59" t="e">
        <f t="shared" si="116"/>
        <v>#NUM!</v>
      </c>
      <c r="BI135" s="59">
        <f ca="1">AVERAGE(OFFSET($BH$3,0,0,'Données projet'!$E$11+1,1))-AVERAGE(OFFSET($H$3,0,0,'Données projet'!$E$11+1,1))</f>
        <v>210.04871822652808</v>
      </c>
      <c r="BJ135" s="59">
        <f t="shared" si="146"/>
        <v>250.17540614049324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0.96848771306660519</v>
      </c>
      <c r="BQ135" s="21">
        <f>EXP(-LN(2)/25)*BQ134+(1-EXP(-LN(2)/25))/(LN(2)/25)*Calculateur!BL135*Calculateur!BN135*VLOOKUP('Données projet'!$B$11,Paramètres!$A$1:$I$89,3,0)*0.475*44/12</f>
        <v>1.6455912125076277</v>
      </c>
      <c r="BR135" s="21">
        <f>EXP(-LN(2)/2)*BR134+(1-EXP(-LN(2)/2))/(LN(2)/2)*BL135*BO135*VLOOKUP('Données projet'!$B$11,Paramètres!$A$1:$I$89,3,0)*0.475*44/12</f>
        <v>9.5718494185666812E-15</v>
      </c>
      <c r="BS135" s="22">
        <f t="shared" si="117"/>
        <v>2.6140789255742427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2.2737367544323206E-13</v>
      </c>
      <c r="BZ135" s="13">
        <f>BY135*VLOOKUP('Données projet'!$B$12,Paramètres!$A$1:$I$89,3,0)*VLOOKUP('Données projet'!$B$12,Paramètres!$A$1:$I$89,5,0)</f>
        <v>1.2414602679200471E-13</v>
      </c>
      <c r="CA135" s="13">
        <f t="shared" si="147"/>
        <v>1.8186582995804361E-12</v>
      </c>
      <c r="CB135" s="20">
        <f t="shared" si="118"/>
        <v>3.3837175350986671E-12</v>
      </c>
      <c r="CC135" s="59">
        <f t="shared" si="119"/>
        <v>293.33333333333672</v>
      </c>
      <c r="CD135" s="59">
        <f ca="1">AVERAGE(OFFSET($CC$3,0,0,'Données projet'!$E$12+1,1))-AVERAGE(OFFSET($H$3,0,0,'Données projet'!$E$12+1,1))</f>
        <v>168.72306536277267</v>
      </c>
      <c r="CE135" s="59">
        <f t="shared" si="148"/>
        <v>203.35476578922339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0.4035365471110855</v>
      </c>
      <c r="CL135" s="21">
        <f>EXP(-LN(2)/25)*CL134+(1-EXP(-LN(2)/25))/(LN(2)/25)*Calculateur!CG135*Calculateur!CI135*VLOOKUP('Données projet'!$B$12,Paramètres!$A$1:$I$89,3,0)*0.475*44/12</f>
        <v>1.3590722121320598</v>
      </c>
      <c r="CM135" s="21">
        <f>EXP(-LN(2)/2)*CM134+(1-EXP(-LN(2)/2))/(LN(2)/2)*CG135*CJ135*VLOOKUP('Données projet'!$B$12,Paramètres!$A$1:$I$89,3,0)*0.475*44/12</f>
        <v>8.8923742245624676E-15</v>
      </c>
      <c r="CN135" s="22">
        <f t="shared" si="120"/>
        <v>1.7626087592431541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1277.6923076923067</v>
      </c>
      <c r="CU135" s="17">
        <f>CT135*VLOOKUP('Données projet'!$B$13,Paramètres!$A$1:$I$89,3,0)*VLOOKUP('Données projet'!$B$13,Paramètres!$A$1:$I$89,5,0)</f>
        <v>614.5699999999996</v>
      </c>
      <c r="CV135" s="13">
        <f t="shared" si="149"/>
        <v>134.13240620831178</v>
      </c>
      <c r="CW135" s="20">
        <f t="shared" si="121"/>
        <v>1303.9900241461421</v>
      </c>
      <c r="CX135" s="59">
        <f t="shared" si="122"/>
        <v>1597.3233574794754</v>
      </c>
      <c r="CY135" s="59">
        <f ca="1">AVERAGE(OFFSET($CX$3,0,0,'Données projet'!$E$13+1,1))-AVERAGE(OFFSET($H$3,0,0,'Données projet'!$E$13+1,1))</f>
        <v>304.15237106473313</v>
      </c>
      <c r="CZ135" s="59">
        <f t="shared" si="150"/>
        <v>120.85458928724336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>
        <f>EXP(-LN(2)/35)*DF134+(1-EXP(-LN(2)/35))/(LN(2)/35)*DB135*DC135*VLOOKUP('Données projet'!$B$13,Paramètres!$A$1:$I$89,3,0)*0.475*44/12</f>
        <v>0</v>
      </c>
      <c r="DG135" s="21">
        <f>EXP(-LN(2)/25)*DG134+(1-EXP(-LN(2)/25))/(LN(2)/25)*Calculateur!DB135*Calculateur!DD135*VLOOKUP('Données projet'!$B$13,Paramètres!$A$1:$I$89,3,0)*0.475*44/12</f>
        <v>0</v>
      </c>
      <c r="DH135" s="21">
        <f>EXP(-LN(2)/2)*DH134+(1-EXP(-LN(2)/2))/(LN(2)/2)*DB135*DE135*VLOOKUP('Données projet'!$B$13,Paramètres!$A$1:$I$89,3,0)*0.475*44/12</f>
        <v>0</v>
      </c>
      <c r="DI135" s="22">
        <f t="shared" si="123"/>
        <v>0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425.38461538461536</v>
      </c>
      <c r="DP135" s="17">
        <f>DO135*VLOOKUP('Données projet'!$B$14,Paramètres!$A$1:$I$89,3,0)*VLOOKUP('Données projet'!$B$14,Paramètres!$A$1:$I$89,5,0)</f>
        <v>204.60999999999999</v>
      </c>
      <c r="DQ135" s="13">
        <f t="shared" si="151"/>
        <v>50.755958577224398</v>
      </c>
      <c r="DR135" s="20">
        <f t="shared" si="124"/>
        <v>444.76237785533249</v>
      </c>
      <c r="DS135" s="59">
        <f t="shared" si="125"/>
        <v>738.09571118866575</v>
      </c>
      <c r="DT135" s="59">
        <f ca="1">AVERAGE(OFFSET($DS$3,0,0,'Données projet'!$E$14+1,1))-AVERAGE(OFFSET($H$3,0,0,'Données projet'!$E$14+1,1))</f>
        <v>91.053246648097399</v>
      </c>
      <c r="DU135" s="59">
        <f t="shared" si="152"/>
        <v>64.716270355703955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>
        <f>EXP(-LN(2)/35)*EA134+(1-EXP(-LN(2)/35))/(LN(2)/35)*DW135*DX135*VLOOKUP('Données projet'!$B$14,Paramètres!$A$1:$I$89,3,0)*0.475*44/12</f>
        <v>0</v>
      </c>
      <c r="EB135" s="21">
        <f>EXP(-LN(2)/25)*EB134+(1-EXP(-LN(2)/25))/(LN(2)/25)*Calculateur!DW135*Calculateur!DY135*VLOOKUP('Données projet'!$B$14,Paramètres!$A$1:$I$89,3,0)*0.475*44/12</f>
        <v>0</v>
      </c>
      <c r="EC135" s="21">
        <f>EXP(-LN(2)/2)*EC134+(1-EXP(-LN(2)/2))/(LN(2)/2)*DW135*DZ135*VLOOKUP('Données projet'!$B$14,Paramètres!$A$1:$I$89,3,0)*0.475*44/12</f>
        <v>0</v>
      </c>
      <c r="ED135" s="22">
        <f t="shared" si="126"/>
        <v>0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553.99999999999955</v>
      </c>
      <c r="EK135" s="17">
        <f>EJ135*VLOOKUP('Données projet'!$B$15,Paramètres!$A$1:$I$89,3,0)*VLOOKUP('Données projet'!$B$15,Paramètres!$A$1:$I$89,5,0)</f>
        <v>331.29199999999975</v>
      </c>
      <c r="EL135" s="13">
        <f t="shared" si="153"/>
        <v>77.698110787752</v>
      </c>
      <c r="EM135" s="20">
        <f t="shared" si="127"/>
        <v>712.32444295533423</v>
      </c>
      <c r="EN135" s="59">
        <f t="shared" si="128"/>
        <v>1005.6577762886675</v>
      </c>
      <c r="EO135" s="59">
        <f ca="1">AVERAGE(OFFSET($EN$3,0,0,'Données projet'!$E$15+1,1))-AVERAGE(OFFSET($H$3,0,0,'Données projet'!$E$15+1,1))</f>
        <v>316.58509520829671</v>
      </c>
      <c r="EP135" s="59">
        <f t="shared" si="154"/>
        <v>240.71332110643596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>
        <f>EXP(-LN(2)/35)*EV134+(1-EXP(-LN(2)/35))/(LN(2)/35)*ER135*ES135*VLOOKUP('Données projet'!$B$15,Paramètres!$A$1:$I$89,3,0)*0.475*44/12</f>
        <v>0.3362118272614304</v>
      </c>
      <c r="EW135" s="21">
        <f>EXP(-LN(2)/25)*EW134+(1-EXP(-LN(2)/25))/(LN(2)/25)*Calculateur!ER135*Calculateur!ET135*VLOOKUP('Données projet'!$B$15,Paramètres!$A$1:$I$89,3,0)*0.475*44/12</f>
        <v>0.90277117647909155</v>
      </c>
      <c r="EX135" s="21">
        <f>EXP(-LN(2)/2)*EX134+(1-EXP(-LN(2)/2))/(LN(2)/2)*ER135*EU135*VLOOKUP('Données projet'!$B$15,Paramètres!$A$1:$I$89,3,0)*0.475*44/12</f>
        <v>9.7430255286483335E-15</v>
      </c>
      <c r="EY135" s="22">
        <f t="shared" si="129"/>
        <v>1.2389830037405316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497</v>
      </c>
      <c r="FF135" s="17">
        <f>FE135*VLOOKUP('Données projet'!$B$16,Paramètres!$A$1:$I$89,3,0)*VLOOKUP('Données projet'!$B$16,Paramètres!$A$1:$I$89,5,0)</f>
        <v>297.20600000000002</v>
      </c>
      <c r="FG135" s="13">
        <f t="shared" si="155"/>
        <v>70.590415164571112</v>
      </c>
      <c r="FH135" s="20">
        <f t="shared" si="130"/>
        <v>640.57875641162809</v>
      </c>
      <c r="FI135" s="59">
        <f t="shared" si="131"/>
        <v>933.91208974496135</v>
      </c>
      <c r="FJ135" s="59">
        <f ca="1">AVERAGE(OFFSET($FI$3,0,0,'Données projet'!$E$16+1,1))-AVERAGE(OFFSET($H$3,0,0,'Données projet'!$E$16+1,1))</f>
        <v>270.30888762640245</v>
      </c>
      <c r="FK135" s="59">
        <f t="shared" si="156"/>
        <v>202.23783851977691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>
        <f>EXP(-LN(2)/35)*FQ134+(1-EXP(-LN(2)/35))/(LN(2)/35)*FM135*FN135*VLOOKUP('Données projet'!$B$16,Paramètres!$A$1:$I$89,3,0)*0.475*44/12</f>
        <v>0.28412267092515214</v>
      </c>
      <c r="FR135" s="21">
        <f>EXP(-LN(2)/25)*FR134+(1-EXP(-LN(2)/25))/(LN(2)/25)*Calculateur!FM135*Calculateur!FO135*VLOOKUP('Données projet'!$B$16,Paramètres!$A$1:$I$89,3,0)*0.475*44/12</f>
        <v>0.72699848183946236</v>
      </c>
      <c r="FS135" s="21">
        <f>EXP(-LN(2)/2)*FS134+(1-EXP(-LN(2)/2))/(LN(2)/2)*FM135*FP135*VLOOKUP('Données projet'!$B$16,Paramètres!$A$1:$I$89,3,0)*0.475*44/12</f>
        <v>8.2123679352286523E-15</v>
      </c>
      <c r="FT135" s="22">
        <f t="shared" si="132"/>
        <v>1.0111211527646227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-5.1159076974727213E-13</v>
      </c>
      <c r="GA135" s="17">
        <f>FZ135*VLOOKUP('Données projet'!$B$17,Paramètres!$A$1:$I$89,3,0)*VLOOKUP('Données projet'!$B$17,Paramètres!$A$1:$I$89,5,0)</f>
        <v>-4.0702161641092972E-13</v>
      </c>
      <c r="GB135" s="13" t="e">
        <f t="shared" si="157"/>
        <v>#NUM!</v>
      </c>
      <c r="GC135" s="20" t="e">
        <f t="shared" si="133"/>
        <v>#NUM!</v>
      </c>
      <c r="GD135" s="59" t="e">
        <f t="shared" si="134"/>
        <v>#NUM!</v>
      </c>
      <c r="GE135" s="59">
        <f ca="1">AVERAGE(OFFSET($GD$3,0,0,'Données projet'!$E$17+1,1))-AVERAGE(OFFSET($H$3,0,0,'Données projet'!$E$17+1,1))</f>
        <v>260.20517190557814</v>
      </c>
      <c r="GF135" s="59">
        <f t="shared" si="158"/>
        <v>307.22009971147133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>
        <f>EXP(-LN(2)/35)*GL134+(1-EXP(-LN(2)/35))/(LN(2)/35)*GH135*GI135*VLOOKUP('Données projet'!$B$17,Paramètres!$A$1:$I$89,3,0)*0.475*44/12</f>
        <v>0.43284098684177197</v>
      </c>
      <c r="GM135" s="21">
        <f>EXP(-LN(2)/25)*GM134+(1-EXP(-LN(2)/25))/(LN(2)/25)*Calculateur!GH135*Calculateur!GJ135*VLOOKUP('Données projet'!$B$17,Paramètres!$A$1:$I$89,3,0)*0.475*44/12</f>
        <v>1.2132954415978483</v>
      </c>
      <c r="GN135" s="21">
        <f>EXP(-LN(2)/2)*GN134+(1-EXP(-LN(2)/2))/(LN(2)/2)*GH135*GK135*VLOOKUP('Données projet'!$B$17,Paramètres!$A$1:$I$89,3,0)*0.475*44/12</f>
        <v>1.0675475726865574E-14</v>
      </c>
      <c r="GO135" s="21">
        <f t="shared" si="135"/>
        <v>1.6461364284396309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5.6843418860808015E-14</v>
      </c>
      <c r="GV135" s="17">
        <f>GU135*VLOOKUP('Données projet'!$B$18,Paramètres!$A$1:$I$89,3,0)*VLOOKUP('Données projet'!$B$18,Paramètres!$A$1:$I$89,5,0)</f>
        <v>4.5224624045658861E-14</v>
      </c>
      <c r="GW135" s="13">
        <f t="shared" si="159"/>
        <v>7.4514601661523691E-13</v>
      </c>
      <c r="GX135" s="20">
        <f t="shared" si="136"/>
        <v>1.3765621991510601E-12</v>
      </c>
      <c r="GY135" s="59">
        <f t="shared" si="137"/>
        <v>293.33333333333468</v>
      </c>
      <c r="GZ135" s="59">
        <f ca="1">AVERAGE(OFFSET($GY$3,0,0,'Données projet'!$E$18+1,1))-AVERAGE(OFFSET($H$3,0,0,'Données projet'!$E$18+1,1))</f>
        <v>199.58763537752952</v>
      </c>
      <c r="HA135" s="59">
        <f t="shared" si="160"/>
        <v>242.62852778451929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>
        <f>EXP(-LN(2)/35)*HG134+(1-EXP(-LN(2)/35))/(LN(2)/35)*HC135*HD135*VLOOKUP('Données projet'!$B$18,Paramètres!$A$1:$I$89,3,0)*0.475*44/12</f>
        <v>0</v>
      </c>
      <c r="HH135" s="21">
        <f>EXP(-LN(2)/25)*HH134+(1-EXP(-LN(2)/25))/(LN(2)/25)*Calculateur!HC135*Calculateur!HE135*VLOOKUP('Données projet'!$B$18,Paramètres!$A$1:$I$89,3,0)*0.475*44/12</f>
        <v>0.60801803249915176</v>
      </c>
      <c r="HI135" s="21">
        <f>EXP(-LN(2)/2)*HI134+(1-EXP(-LN(2)/2))/(LN(2)/2)*HC135*HF135*VLOOKUP('Données projet'!$B$18,Paramètres!$A$1:$I$89,3,0)*0.475*44/12</f>
        <v>4.7790919636004769E-15</v>
      </c>
      <c r="HJ135" s="22">
        <f t="shared" si="138"/>
        <v>0.60801803249915654</v>
      </c>
    </row>
    <row r="136" spans="1:218" x14ac:dyDescent="0.2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118.26360000000022</v>
      </c>
      <c r="D136" s="11">
        <f t="shared" si="140"/>
        <v>31.26966959708238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1154.2919056616904</v>
      </c>
      <c r="H136" s="67">
        <f t="shared" si="110"/>
        <v>553.77044454825227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-2.2737367544323206E-13</v>
      </c>
      <c r="O136" s="13">
        <f>N136*VLOOKUP('Données projet'!$B$9,Paramètres!$A$1:$I$89,3,0)*VLOOKUP('Données projet'!$B$9,Paramètres!$A$1:$I$89,5,0)</f>
        <v>-1.2710188457276673E-13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255.5374979188561</v>
      </c>
      <c r="T136" s="59">
        <f t="shared" si="142"/>
        <v>343.10418468620901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0.40186108025559819</v>
      </c>
      <c r="AA136" s="21">
        <f>EXP(-LN(2)/25)*AA135+(1-EXP(-LN(2)/25))/(LN(2)/25)*Calculateur!V136*Calculateur!X136*VLOOKUP('Données projet'!$B$9,Paramètres!$A$1:$I$89,3,0)*0.475*44/12</f>
        <v>0.91790208452784738</v>
      </c>
      <c r="AB136" s="21">
        <f>EXP(-LN(2)/2)*AB135+(1-EXP(-LN(2)/2))/(LN(2)/2)*V136*Y136*VLOOKUP('Données projet'!$B$9,Paramètres!$A$1:$I$89,3,0)*0.475*44/12</f>
        <v>5.3152405302524782E-16</v>
      </c>
      <c r="AC136" s="22">
        <f t="shared" si="111"/>
        <v>1.319763164783446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1.1368683772161603E-13</v>
      </c>
      <c r="AJ136" s="13">
        <f>AI136*VLOOKUP('Données projet'!$B$10,Paramètres!$A$1:$I$89,3,0)*VLOOKUP('Données projet'!$B$10,Paramètres!$A$1:$I$89,5,0)</f>
        <v>6.3550942286383367E-14</v>
      </c>
      <c r="AK136" s="13">
        <f t="shared" si="143"/>
        <v>1.0064464192543978E-12</v>
      </c>
      <c r="AL136" s="20">
        <f t="shared" si="112"/>
        <v>1.8635787380168604E-12</v>
      </c>
      <c r="AM136" s="59">
        <f t="shared" si="113"/>
        <v>293.33333333333519</v>
      </c>
      <c r="AN136" s="59">
        <f ca="1">AVERAGE(OFFSET($AM$3,0,0,'Données projet'!$E$10+1,1))-AVERAGE(OFFSET($H$3,0,0,'Données projet'!$E$10+1,1))</f>
        <v>224.7049802939942</v>
      </c>
      <c r="AO136" s="59">
        <f t="shared" si="144"/>
        <v>203.48513862195352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0.2901633401213774</v>
      </c>
      <c r="AV136" s="21">
        <f>EXP(-LN(2)/25)*AV135+(1-EXP(-LN(2)/25))/(LN(2)/25)*Calculateur!AQ136*Calculateur!AS136*VLOOKUP('Données projet'!$B$10,Paramètres!$A$1:$I$89,3,0)*0.475*44/12</f>
        <v>1.1228893202579824</v>
      </c>
      <c r="AW136" s="21">
        <f>EXP(-LN(2)/2)*AW135+(1-EXP(-LN(2)/2))/(LN(2)/2)*AQ136*AT136*VLOOKUP('Données projet'!$B$10,Paramètres!$A$1:$I$89,3,0)*0.475*44/12</f>
        <v>2.8137980508908315E-15</v>
      </c>
      <c r="AX136" s="21">
        <f t="shared" si="114"/>
        <v>1.4130526603793627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>
        <f>BD136*VLOOKUP('Données projet'!$B$11,Paramètres!$A$1:$I$89,3,0)*VLOOKUP('Données projet'!$B$11,Paramètres!$A$1:$I$89,5,0)</f>
        <v>0</v>
      </c>
      <c r="BF136" s="13" t="e">
        <f t="shared" si="145"/>
        <v>#NUM!</v>
      </c>
      <c r="BG136" s="20" t="e">
        <f t="shared" si="115"/>
        <v>#NUM!</v>
      </c>
      <c r="BH136" s="59" t="e">
        <f t="shared" si="116"/>
        <v>#NUM!</v>
      </c>
      <c r="BI136" s="59">
        <f ca="1">AVERAGE(OFFSET($BH$3,0,0,'Données projet'!$E$11+1,1))-AVERAGE(OFFSET($H$3,0,0,'Données projet'!$E$11+1,1))</f>
        <v>210.04871822652808</v>
      </c>
      <c r="BJ136" s="59">
        <f t="shared" si="146"/>
        <v>250.17540614049324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0.94949625973254537</v>
      </c>
      <c r="BQ136" s="21">
        <f>EXP(-LN(2)/25)*BQ135+(1-EXP(-LN(2)/25))/(LN(2)/25)*Calculateur!BL136*Calculateur!BN136*VLOOKUP('Données projet'!$B$11,Paramètres!$A$1:$I$89,3,0)*0.475*44/12</f>
        <v>1.6005924342637259</v>
      </c>
      <c r="BR136" s="21">
        <f>EXP(-LN(2)/2)*BR135+(1-EXP(-LN(2)/2))/(LN(2)/2)*BL136*BO136*VLOOKUP('Données projet'!$B$11,Paramètres!$A$1:$I$89,3,0)*0.475*44/12</f>
        <v>6.7683196323650125E-15</v>
      </c>
      <c r="BS136" s="22">
        <f t="shared" si="117"/>
        <v>2.5500886939962779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2.2737367544323206E-13</v>
      </c>
      <c r="BZ136" s="13">
        <f>BY136*VLOOKUP('Données projet'!$B$12,Paramètres!$A$1:$I$89,3,0)*VLOOKUP('Données projet'!$B$12,Paramètres!$A$1:$I$89,5,0)</f>
        <v>1.2414602679200471E-13</v>
      </c>
      <c r="CA136" s="13">
        <f t="shared" si="147"/>
        <v>1.8186582995804361E-12</v>
      </c>
      <c r="CB136" s="20">
        <f t="shared" si="118"/>
        <v>3.3837175350986671E-12</v>
      </c>
      <c r="CC136" s="59">
        <f t="shared" si="119"/>
        <v>293.33333333333672</v>
      </c>
      <c r="CD136" s="59">
        <f ca="1">AVERAGE(OFFSET($CC$3,0,0,'Données projet'!$E$12+1,1))-AVERAGE(OFFSET($H$3,0,0,'Données projet'!$E$12+1,1))</f>
        <v>168.72306536277267</v>
      </c>
      <c r="CE136" s="59">
        <f t="shared" si="148"/>
        <v>203.35476578922339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0.39562344155522722</v>
      </c>
      <c r="CL136" s="21">
        <f>EXP(-LN(2)/25)*CL135+(1-EXP(-LN(2)/25))/(LN(2)/25)*Calculateur!CG136*Calculateur!CI136*VLOOKUP('Données projet'!$B$12,Paramètres!$A$1:$I$89,3,0)*0.475*44/12</f>
        <v>1.3219083110208072</v>
      </c>
      <c r="CM136" s="21">
        <f>EXP(-LN(2)/2)*CM135+(1-EXP(-LN(2)/2))/(LN(2)/2)*CG136*CJ136*VLOOKUP('Données projet'!$B$12,Paramètres!$A$1:$I$89,3,0)*0.475*44/12</f>
        <v>6.2878581150365881E-15</v>
      </c>
      <c r="CN136" s="22">
        <f t="shared" si="120"/>
        <v>1.7175317525760407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1277.6923076923067</v>
      </c>
      <c r="CU136" s="17">
        <f>CT136*VLOOKUP('Données projet'!$B$13,Paramètres!$A$1:$I$89,3,0)*VLOOKUP('Données projet'!$B$13,Paramètres!$A$1:$I$89,5,0)</f>
        <v>614.5699999999996</v>
      </c>
      <c r="CV136" s="13">
        <f t="shared" si="149"/>
        <v>134.13240620831178</v>
      </c>
      <c r="CW136" s="20">
        <f t="shared" si="121"/>
        <v>1303.9900241461421</v>
      </c>
      <c r="CX136" s="59">
        <f t="shared" si="122"/>
        <v>1597.3233574794754</v>
      </c>
      <c r="CY136" s="59">
        <f ca="1">AVERAGE(OFFSET($CX$3,0,0,'Données projet'!$E$13+1,1))-AVERAGE(OFFSET($H$3,0,0,'Données projet'!$E$13+1,1))</f>
        <v>304.15237106473313</v>
      </c>
      <c r="CZ136" s="59">
        <f t="shared" si="150"/>
        <v>120.85458928724336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>
        <f>EXP(-LN(2)/35)*DF135+(1-EXP(-LN(2)/35))/(LN(2)/35)*DB136*DC136*VLOOKUP('Données projet'!$B$13,Paramètres!$A$1:$I$89,3,0)*0.475*44/12</f>
        <v>0</v>
      </c>
      <c r="DG136" s="21">
        <f>EXP(-LN(2)/25)*DG135+(1-EXP(-LN(2)/25))/(LN(2)/25)*Calculateur!DB136*Calculateur!DD136*VLOOKUP('Données projet'!$B$13,Paramètres!$A$1:$I$89,3,0)*0.475*44/12</f>
        <v>0</v>
      </c>
      <c r="DH136" s="21">
        <f>EXP(-LN(2)/2)*DH135+(1-EXP(-LN(2)/2))/(LN(2)/2)*DB136*DE136*VLOOKUP('Données projet'!$B$13,Paramètres!$A$1:$I$89,3,0)*0.475*44/12</f>
        <v>0</v>
      </c>
      <c r="DI136" s="22">
        <f t="shared" si="123"/>
        <v>0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425.38461538461536</v>
      </c>
      <c r="DP136" s="17">
        <f>DO136*VLOOKUP('Données projet'!$B$14,Paramètres!$A$1:$I$89,3,0)*VLOOKUP('Données projet'!$B$14,Paramètres!$A$1:$I$89,5,0)</f>
        <v>204.60999999999999</v>
      </c>
      <c r="DQ136" s="13">
        <f t="shared" si="151"/>
        <v>50.755958577224398</v>
      </c>
      <c r="DR136" s="20">
        <f t="shared" si="124"/>
        <v>444.76237785533249</v>
      </c>
      <c r="DS136" s="59">
        <f t="shared" si="125"/>
        <v>738.09571118866575</v>
      </c>
      <c r="DT136" s="59">
        <f ca="1">AVERAGE(OFFSET($DS$3,0,0,'Données projet'!$E$14+1,1))-AVERAGE(OFFSET($H$3,0,0,'Données projet'!$E$14+1,1))</f>
        <v>91.053246648097399</v>
      </c>
      <c r="DU136" s="59">
        <f t="shared" si="152"/>
        <v>64.716270355703955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>
        <f>EXP(-LN(2)/35)*EA135+(1-EXP(-LN(2)/35))/(LN(2)/35)*DW136*DX136*VLOOKUP('Données projet'!$B$14,Paramètres!$A$1:$I$89,3,0)*0.475*44/12</f>
        <v>0</v>
      </c>
      <c r="EB136" s="21">
        <f>EXP(-LN(2)/25)*EB135+(1-EXP(-LN(2)/25))/(LN(2)/25)*Calculateur!DW136*Calculateur!DY136*VLOOKUP('Données projet'!$B$14,Paramètres!$A$1:$I$89,3,0)*0.475*44/12</f>
        <v>0</v>
      </c>
      <c r="EC136" s="21">
        <f>EXP(-LN(2)/2)*EC135+(1-EXP(-LN(2)/2))/(LN(2)/2)*DW136*DZ136*VLOOKUP('Données projet'!$B$14,Paramètres!$A$1:$I$89,3,0)*0.475*44/12</f>
        <v>0</v>
      </c>
      <c r="ED136" s="22">
        <f t="shared" si="126"/>
        <v>0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553.99999999999955</v>
      </c>
      <c r="EK136" s="17">
        <f>EJ136*VLOOKUP('Données projet'!$B$15,Paramètres!$A$1:$I$89,3,0)*VLOOKUP('Données projet'!$B$15,Paramètres!$A$1:$I$89,5,0)</f>
        <v>331.29199999999975</v>
      </c>
      <c r="EL136" s="13">
        <f t="shared" si="153"/>
        <v>77.698110787752</v>
      </c>
      <c r="EM136" s="20">
        <f t="shared" si="127"/>
        <v>712.32444295533423</v>
      </c>
      <c r="EN136" s="59">
        <f t="shared" si="128"/>
        <v>1005.6577762886675</v>
      </c>
      <c r="EO136" s="59">
        <f ca="1">AVERAGE(OFFSET($EN$3,0,0,'Données projet'!$E$15+1,1))-AVERAGE(OFFSET($H$3,0,0,'Données projet'!$E$15+1,1))</f>
        <v>316.58509520829671</v>
      </c>
      <c r="EP136" s="59">
        <f t="shared" si="154"/>
        <v>240.71332110643596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>
        <f>EXP(-LN(2)/35)*EV135+(1-EXP(-LN(2)/35))/(LN(2)/35)*ER136*ES136*VLOOKUP('Données projet'!$B$15,Paramètres!$A$1:$I$89,3,0)*0.475*44/12</f>
        <v>0.3296189183977995</v>
      </c>
      <c r="EW136" s="21">
        <f>EXP(-LN(2)/25)*EW135+(1-EXP(-LN(2)/25))/(LN(2)/25)*Calculateur!ER136*Calculateur!ET136*VLOOKUP('Données projet'!$B$15,Paramètres!$A$1:$I$89,3,0)*0.475*44/12</f>
        <v>0.87808485118359791</v>
      </c>
      <c r="EX136" s="21">
        <f>EXP(-LN(2)/2)*EX135+(1-EXP(-LN(2)/2))/(LN(2)/2)*ER136*EU136*VLOOKUP('Données projet'!$B$15,Paramètres!$A$1:$I$89,3,0)*0.475*44/12</f>
        <v>6.8893594205808837E-15</v>
      </c>
      <c r="EY136" s="22">
        <f t="shared" si="129"/>
        <v>1.2077037695814044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497</v>
      </c>
      <c r="FF136" s="17">
        <f>FE136*VLOOKUP('Données projet'!$B$16,Paramètres!$A$1:$I$89,3,0)*VLOOKUP('Données projet'!$B$16,Paramètres!$A$1:$I$89,5,0)</f>
        <v>297.20600000000002</v>
      </c>
      <c r="FG136" s="13">
        <f t="shared" si="155"/>
        <v>70.590415164571112</v>
      </c>
      <c r="FH136" s="20">
        <f t="shared" si="130"/>
        <v>640.57875641162809</v>
      </c>
      <c r="FI136" s="59">
        <f t="shared" si="131"/>
        <v>933.91208974496135</v>
      </c>
      <c r="FJ136" s="59">
        <f ca="1">AVERAGE(OFFSET($FI$3,0,0,'Données projet'!$E$16+1,1))-AVERAGE(OFFSET($H$3,0,0,'Données projet'!$E$16+1,1))</f>
        <v>270.30888762640245</v>
      </c>
      <c r="FK136" s="59">
        <f t="shared" si="156"/>
        <v>202.23783851977691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>
        <f>EXP(-LN(2)/35)*FQ135+(1-EXP(-LN(2)/35))/(LN(2)/35)*FM136*FN136*VLOOKUP('Données projet'!$B$16,Paramètres!$A$1:$I$89,3,0)*0.475*44/12</f>
        <v>0.27855119864602745</v>
      </c>
      <c r="FR136" s="21">
        <f>EXP(-LN(2)/25)*FR135+(1-EXP(-LN(2)/25))/(LN(2)/25)*Calculateur!FM136*Calculateur!FO136*VLOOKUP('Données projet'!$B$16,Paramètres!$A$1:$I$89,3,0)*0.475*44/12</f>
        <v>0.70711867012237373</v>
      </c>
      <c r="FS136" s="21">
        <f>EXP(-LN(2)/2)*FS135+(1-EXP(-LN(2)/2))/(LN(2)/2)*FM136*FP136*VLOOKUP('Données projet'!$B$16,Paramètres!$A$1:$I$89,3,0)*0.475*44/12</f>
        <v>5.8070210565991457E-15</v>
      </c>
      <c r="FT136" s="22">
        <f t="shared" si="132"/>
        <v>0.9856698687684069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-5.1159076974727213E-13</v>
      </c>
      <c r="GA136" s="17">
        <f>FZ136*VLOOKUP('Données projet'!$B$17,Paramètres!$A$1:$I$89,3,0)*VLOOKUP('Données projet'!$B$17,Paramètres!$A$1:$I$89,5,0)</f>
        <v>-4.0702161641092972E-13</v>
      </c>
      <c r="GB136" s="13" t="e">
        <f t="shared" si="157"/>
        <v>#NUM!</v>
      </c>
      <c r="GC136" s="20" t="e">
        <f t="shared" si="133"/>
        <v>#NUM!</v>
      </c>
      <c r="GD136" s="59" t="e">
        <f t="shared" si="134"/>
        <v>#NUM!</v>
      </c>
      <c r="GE136" s="59">
        <f ca="1">AVERAGE(OFFSET($GD$3,0,0,'Données projet'!$E$17+1,1))-AVERAGE(OFFSET($H$3,0,0,'Données projet'!$E$17+1,1))</f>
        <v>260.20517190557814</v>
      </c>
      <c r="GF136" s="59">
        <f t="shared" si="158"/>
        <v>307.22009971147133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>
        <f>EXP(-LN(2)/35)*GL135+(1-EXP(-LN(2)/35))/(LN(2)/35)*GH136*GI136*VLOOKUP('Données projet'!$B$17,Paramètres!$A$1:$I$89,3,0)*0.475*44/12</f>
        <v>0.42435323909673828</v>
      </c>
      <c r="GM136" s="21">
        <f>EXP(-LN(2)/25)*GM135+(1-EXP(-LN(2)/25))/(LN(2)/25)*Calculateur!GH136*Calculateur!GJ136*VLOOKUP('Données projet'!$B$17,Paramètres!$A$1:$I$89,3,0)*0.475*44/12</f>
        <v>1.1801178139429209</v>
      </c>
      <c r="GN136" s="21">
        <f>EXP(-LN(2)/2)*GN135+(1-EXP(-LN(2)/2))/(LN(2)/2)*GH136*GK136*VLOOKUP('Données projet'!$B$17,Paramètres!$A$1:$I$89,3,0)*0.475*44/12</f>
        <v>7.5487012788590345E-15</v>
      </c>
      <c r="GO136" s="21">
        <f t="shared" si="135"/>
        <v>1.6044710530396666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5.6843418860808015E-14</v>
      </c>
      <c r="GV136" s="17">
        <f>GU136*VLOOKUP('Données projet'!$B$18,Paramètres!$A$1:$I$89,3,0)*VLOOKUP('Données projet'!$B$18,Paramètres!$A$1:$I$89,5,0)</f>
        <v>4.5224624045658861E-14</v>
      </c>
      <c r="GW136" s="13">
        <f t="shared" si="159"/>
        <v>7.4514601661523691E-13</v>
      </c>
      <c r="GX136" s="20">
        <f t="shared" si="136"/>
        <v>1.3765621991510601E-12</v>
      </c>
      <c r="GY136" s="59">
        <f t="shared" si="137"/>
        <v>293.33333333333468</v>
      </c>
      <c r="GZ136" s="59">
        <f ca="1">AVERAGE(OFFSET($GY$3,0,0,'Données projet'!$E$18+1,1))-AVERAGE(OFFSET($H$3,0,0,'Données projet'!$E$18+1,1))</f>
        <v>199.58763537752952</v>
      </c>
      <c r="HA136" s="59">
        <f t="shared" si="160"/>
        <v>242.62852778451929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>
        <f>EXP(-LN(2)/35)*HG135+(1-EXP(-LN(2)/35))/(LN(2)/35)*HC136*HD136*VLOOKUP('Données projet'!$B$18,Paramètres!$A$1:$I$89,3,0)*0.475*44/12</f>
        <v>0</v>
      </c>
      <c r="HH136" s="21">
        <f>EXP(-LN(2)/25)*HH135+(1-EXP(-LN(2)/25))/(LN(2)/25)*Calculateur!HC136*Calculateur!HE136*VLOOKUP('Données projet'!$B$18,Paramètres!$A$1:$I$89,3,0)*0.475*44/12</f>
        <v>0.59139174742618372</v>
      </c>
      <c r="HI136" s="21">
        <f>EXP(-LN(2)/2)*HI135+(1-EXP(-LN(2)/2))/(LN(2)/2)*HC136*HF136*VLOOKUP('Données projet'!$B$18,Paramètres!$A$1:$I$89,3,0)*0.475*44/12</f>
        <v>3.3793283353760302E-15</v>
      </c>
      <c r="HJ136" s="22">
        <f t="shared" si="138"/>
        <v>0.59139174742618705</v>
      </c>
    </row>
    <row r="137" spans="1:218" x14ac:dyDescent="0.2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119.15280000000023</v>
      </c>
      <c r="D137" s="11">
        <f t="shared" si="140"/>
        <v>31.477322402212781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1162.7588395960302</v>
      </c>
      <c r="H137" s="67">
        <f t="shared" si="110"/>
        <v>555.68079651718767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-2.2737367544323206E-13</v>
      </c>
      <c r="O137" s="13">
        <f>N137*VLOOKUP('Données projet'!$B$9,Paramètres!$A$1:$I$89,3,0)*VLOOKUP('Données projet'!$B$9,Paramètres!$A$1:$I$89,5,0)</f>
        <v>-1.2710188457276673E-13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255.5374979188561</v>
      </c>
      <c r="T137" s="59">
        <f t="shared" si="142"/>
        <v>343.10418468620901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0.39398082958284214</v>
      </c>
      <c r="AA137" s="21">
        <f>EXP(-LN(2)/25)*AA136+(1-EXP(-LN(2)/25))/(LN(2)/25)*Calculateur!V137*Calculateur!X137*VLOOKUP('Données projet'!$B$9,Paramètres!$A$1:$I$89,3,0)*0.475*44/12</f>
        <v>0.89280200375606067</v>
      </c>
      <c r="AB137" s="21">
        <f>EXP(-LN(2)/2)*AB136+(1-EXP(-LN(2)/2))/(LN(2)/2)*V137*Y137*VLOOKUP('Données projet'!$B$9,Paramètres!$A$1:$I$89,3,0)*0.475*44/12</f>
        <v>3.758442622579108E-16</v>
      </c>
      <c r="AC137" s="22">
        <f t="shared" si="111"/>
        <v>1.2867828333389033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1.1368683772161603E-13</v>
      </c>
      <c r="AJ137" s="13">
        <f>AI137*VLOOKUP('Données projet'!$B$10,Paramètres!$A$1:$I$89,3,0)*VLOOKUP('Données projet'!$B$10,Paramètres!$A$1:$I$89,5,0)</f>
        <v>6.3550942286383367E-14</v>
      </c>
      <c r="AK137" s="13">
        <f t="shared" si="143"/>
        <v>1.0064464192543978E-12</v>
      </c>
      <c r="AL137" s="20">
        <f t="shared" si="112"/>
        <v>1.8635787380168604E-12</v>
      </c>
      <c r="AM137" s="59">
        <f t="shared" si="113"/>
        <v>293.33333333333519</v>
      </c>
      <c r="AN137" s="59">
        <f ca="1">AVERAGE(OFFSET($AM$3,0,0,'Données projet'!$E$10+1,1))-AVERAGE(OFFSET($H$3,0,0,'Données projet'!$E$10+1,1))</f>
        <v>224.7049802939942</v>
      </c>
      <c r="AO137" s="59">
        <f t="shared" si="144"/>
        <v>203.48513862195352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0.28447341400375914</v>
      </c>
      <c r="AV137" s="21">
        <f>EXP(-LN(2)/25)*AV136+(1-EXP(-LN(2)/25))/(LN(2)/25)*Calculateur!AQ137*Calculateur!AS137*VLOOKUP('Données projet'!$B$10,Paramètres!$A$1:$I$89,3,0)*0.475*44/12</f>
        <v>1.0921838527453449</v>
      </c>
      <c r="AW137" s="21">
        <f>EXP(-LN(2)/2)*AW136+(1-EXP(-LN(2)/2))/(LN(2)/2)*AQ137*AT137*VLOOKUP('Données projet'!$B$10,Paramètres!$A$1:$I$89,3,0)*0.475*44/12</f>
        <v>1.9896556826743971E-15</v>
      </c>
      <c r="AX137" s="21">
        <f t="shared" si="114"/>
        <v>1.3766572667491059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>
        <f>BD137*VLOOKUP('Données projet'!$B$11,Paramètres!$A$1:$I$89,3,0)*VLOOKUP('Données projet'!$B$11,Paramètres!$A$1:$I$89,5,0)</f>
        <v>0</v>
      </c>
      <c r="BF137" s="13" t="e">
        <f t="shared" si="145"/>
        <v>#NUM!</v>
      </c>
      <c r="BG137" s="20" t="e">
        <f t="shared" si="115"/>
        <v>#NUM!</v>
      </c>
      <c r="BH137" s="59" t="e">
        <f t="shared" si="116"/>
        <v>#NUM!</v>
      </c>
      <c r="BI137" s="59">
        <f ca="1">AVERAGE(OFFSET($BH$3,0,0,'Données projet'!$E$11+1,1))-AVERAGE(OFFSET($H$3,0,0,'Données projet'!$E$11+1,1))</f>
        <v>210.04871822652808</v>
      </c>
      <c r="BJ137" s="59">
        <f t="shared" si="146"/>
        <v>250.17540614049324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0.93087721721472372</v>
      </c>
      <c r="BQ137" s="21">
        <f>EXP(-LN(2)/25)*BQ136+(1-EXP(-LN(2)/25))/(LN(2)/25)*Calculateur!BL137*Calculateur!BN137*VLOOKUP('Données projet'!$B$11,Paramètres!$A$1:$I$89,3,0)*0.475*44/12</f>
        <v>1.5568241499772864</v>
      </c>
      <c r="BR137" s="21">
        <f>EXP(-LN(2)/2)*BR136+(1-EXP(-LN(2)/2))/(LN(2)/2)*BL137*BO137*VLOOKUP('Données projet'!$B$11,Paramètres!$A$1:$I$89,3,0)*0.475*44/12</f>
        <v>4.7859247092833406E-15</v>
      </c>
      <c r="BS137" s="22">
        <f t="shared" si="117"/>
        <v>2.487701367192015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2.2737367544323206E-13</v>
      </c>
      <c r="BZ137" s="13">
        <f>BY137*VLOOKUP('Données projet'!$B$12,Paramètres!$A$1:$I$89,3,0)*VLOOKUP('Données projet'!$B$12,Paramètres!$A$1:$I$89,5,0)</f>
        <v>1.2414602679200471E-13</v>
      </c>
      <c r="CA137" s="13">
        <f t="shared" si="147"/>
        <v>1.8186582995804361E-12</v>
      </c>
      <c r="CB137" s="20">
        <f t="shared" si="118"/>
        <v>3.3837175350986671E-12</v>
      </c>
      <c r="CC137" s="59">
        <f t="shared" si="119"/>
        <v>293.33333333333672</v>
      </c>
      <c r="CD137" s="59">
        <f ca="1">AVERAGE(OFFSET($CC$3,0,0,'Données projet'!$E$12+1,1))-AVERAGE(OFFSET($H$3,0,0,'Données projet'!$E$12+1,1))</f>
        <v>168.72306536277267</v>
      </c>
      <c r="CE137" s="59">
        <f t="shared" si="148"/>
        <v>203.35476578922339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0.38786550717280155</v>
      </c>
      <c r="CL137" s="21">
        <f>EXP(-LN(2)/25)*CL136+(1-EXP(-LN(2)/25))/(LN(2)/25)*Calculateur!CG137*Calculateur!CI137*VLOOKUP('Données projet'!$B$12,Paramètres!$A$1:$I$89,3,0)*0.475*44/12</f>
        <v>1.2857606587398065</v>
      </c>
      <c r="CM137" s="21">
        <f>EXP(-LN(2)/2)*CM136+(1-EXP(-LN(2)/2))/(LN(2)/2)*CG137*CJ137*VLOOKUP('Données projet'!$B$12,Paramètres!$A$1:$I$89,3,0)*0.475*44/12</f>
        <v>4.4461871122812338E-15</v>
      </c>
      <c r="CN137" s="22">
        <f t="shared" si="120"/>
        <v>1.6736261659126126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1277.6923076923067</v>
      </c>
      <c r="CU137" s="17">
        <f>CT137*VLOOKUP('Données projet'!$B$13,Paramètres!$A$1:$I$89,3,0)*VLOOKUP('Données projet'!$B$13,Paramètres!$A$1:$I$89,5,0)</f>
        <v>614.5699999999996</v>
      </c>
      <c r="CV137" s="13">
        <f t="shared" si="149"/>
        <v>134.13240620831178</v>
      </c>
      <c r="CW137" s="20">
        <f t="shared" si="121"/>
        <v>1303.9900241461421</v>
      </c>
      <c r="CX137" s="59">
        <f t="shared" si="122"/>
        <v>1597.3233574794754</v>
      </c>
      <c r="CY137" s="59">
        <f ca="1">AVERAGE(OFFSET($CX$3,0,0,'Données projet'!$E$13+1,1))-AVERAGE(OFFSET($H$3,0,0,'Données projet'!$E$13+1,1))</f>
        <v>304.15237106473313</v>
      </c>
      <c r="CZ137" s="59">
        <f t="shared" si="150"/>
        <v>120.85458928724336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>
        <f>EXP(-LN(2)/35)*DF136+(1-EXP(-LN(2)/35))/(LN(2)/35)*DB137*DC137*VLOOKUP('Données projet'!$B$13,Paramètres!$A$1:$I$89,3,0)*0.475*44/12</f>
        <v>0</v>
      </c>
      <c r="DG137" s="21">
        <f>EXP(-LN(2)/25)*DG136+(1-EXP(-LN(2)/25))/(LN(2)/25)*Calculateur!DB137*Calculateur!DD137*VLOOKUP('Données projet'!$B$13,Paramètres!$A$1:$I$89,3,0)*0.475*44/12</f>
        <v>0</v>
      </c>
      <c r="DH137" s="21">
        <f>EXP(-LN(2)/2)*DH136+(1-EXP(-LN(2)/2))/(LN(2)/2)*DB137*DE137*VLOOKUP('Données projet'!$B$13,Paramètres!$A$1:$I$89,3,0)*0.475*44/12</f>
        <v>0</v>
      </c>
      <c r="DI137" s="22">
        <f t="shared" si="123"/>
        <v>0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425.38461538461536</v>
      </c>
      <c r="DP137" s="17">
        <f>DO137*VLOOKUP('Données projet'!$B$14,Paramètres!$A$1:$I$89,3,0)*VLOOKUP('Données projet'!$B$14,Paramètres!$A$1:$I$89,5,0)</f>
        <v>204.60999999999999</v>
      </c>
      <c r="DQ137" s="13">
        <f t="shared" si="151"/>
        <v>50.755958577224398</v>
      </c>
      <c r="DR137" s="20">
        <f t="shared" si="124"/>
        <v>444.76237785533249</v>
      </c>
      <c r="DS137" s="59">
        <f t="shared" si="125"/>
        <v>738.09571118866575</v>
      </c>
      <c r="DT137" s="59">
        <f ca="1">AVERAGE(OFFSET($DS$3,0,0,'Données projet'!$E$14+1,1))-AVERAGE(OFFSET($H$3,0,0,'Données projet'!$E$14+1,1))</f>
        <v>91.053246648097399</v>
      </c>
      <c r="DU137" s="59">
        <f t="shared" si="152"/>
        <v>64.716270355703955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>
        <f>EXP(-LN(2)/35)*EA136+(1-EXP(-LN(2)/35))/(LN(2)/35)*DW137*DX137*VLOOKUP('Données projet'!$B$14,Paramètres!$A$1:$I$89,3,0)*0.475*44/12</f>
        <v>0</v>
      </c>
      <c r="EB137" s="21">
        <f>EXP(-LN(2)/25)*EB136+(1-EXP(-LN(2)/25))/(LN(2)/25)*Calculateur!DW137*Calculateur!DY137*VLOOKUP('Données projet'!$B$14,Paramètres!$A$1:$I$89,3,0)*0.475*44/12</f>
        <v>0</v>
      </c>
      <c r="EC137" s="21">
        <f>EXP(-LN(2)/2)*EC136+(1-EXP(-LN(2)/2))/(LN(2)/2)*DW137*DZ137*VLOOKUP('Données projet'!$B$14,Paramètres!$A$1:$I$89,3,0)*0.475*44/12</f>
        <v>0</v>
      </c>
      <c r="ED137" s="22">
        <f t="shared" si="126"/>
        <v>0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553.99999999999955</v>
      </c>
      <c r="EK137" s="17">
        <f>EJ137*VLOOKUP('Données projet'!$B$15,Paramètres!$A$1:$I$89,3,0)*VLOOKUP('Données projet'!$B$15,Paramètres!$A$1:$I$89,5,0)</f>
        <v>331.29199999999975</v>
      </c>
      <c r="EL137" s="13">
        <f t="shared" si="153"/>
        <v>77.698110787752</v>
      </c>
      <c r="EM137" s="20">
        <f t="shared" si="127"/>
        <v>712.32444295533423</v>
      </c>
      <c r="EN137" s="59">
        <f t="shared" si="128"/>
        <v>1005.6577762886675</v>
      </c>
      <c r="EO137" s="59">
        <f ca="1">AVERAGE(OFFSET($EN$3,0,0,'Données projet'!$E$15+1,1))-AVERAGE(OFFSET($H$3,0,0,'Données projet'!$E$15+1,1))</f>
        <v>316.58509520829671</v>
      </c>
      <c r="EP137" s="59">
        <f t="shared" si="154"/>
        <v>240.71332110643596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>
        <f>EXP(-LN(2)/35)*EV136+(1-EXP(-LN(2)/35))/(LN(2)/35)*ER137*ES137*VLOOKUP('Données projet'!$B$15,Paramètres!$A$1:$I$89,3,0)*0.475*44/12</f>
        <v>0.32315529245570707</v>
      </c>
      <c r="EW137" s="21">
        <f>EXP(-LN(2)/25)*EW136+(1-EXP(-LN(2)/25))/(LN(2)/25)*Calculateur!ER137*Calculateur!ET137*VLOOKUP('Données projet'!$B$15,Paramètres!$A$1:$I$89,3,0)*0.475*44/12</f>
        <v>0.85407357475150703</v>
      </c>
      <c r="EX137" s="21">
        <f>EXP(-LN(2)/2)*EX136+(1-EXP(-LN(2)/2))/(LN(2)/2)*ER137*EU137*VLOOKUP('Données projet'!$B$15,Paramètres!$A$1:$I$89,3,0)*0.475*44/12</f>
        <v>4.8715127643241667E-15</v>
      </c>
      <c r="EY137" s="22">
        <f t="shared" si="129"/>
        <v>1.1772288672072189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497</v>
      </c>
      <c r="FF137" s="17">
        <f>FE137*VLOOKUP('Données projet'!$B$16,Paramètres!$A$1:$I$89,3,0)*VLOOKUP('Données projet'!$B$16,Paramètres!$A$1:$I$89,5,0)</f>
        <v>297.20600000000002</v>
      </c>
      <c r="FG137" s="13">
        <f t="shared" si="155"/>
        <v>70.590415164571112</v>
      </c>
      <c r="FH137" s="20">
        <f t="shared" si="130"/>
        <v>640.57875641162809</v>
      </c>
      <c r="FI137" s="59">
        <f t="shared" si="131"/>
        <v>933.91208974496135</v>
      </c>
      <c r="FJ137" s="59">
        <f ca="1">AVERAGE(OFFSET($FI$3,0,0,'Données projet'!$E$16+1,1))-AVERAGE(OFFSET($H$3,0,0,'Données projet'!$E$16+1,1))</f>
        <v>270.30888762640245</v>
      </c>
      <c r="FK137" s="59">
        <f t="shared" si="156"/>
        <v>202.23783851977691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>
        <f>EXP(-LN(2)/35)*FQ136+(1-EXP(-LN(2)/35))/(LN(2)/35)*FM137*FN137*VLOOKUP('Données projet'!$B$16,Paramètres!$A$1:$I$89,3,0)*0.475*44/12</f>
        <v>0.27308897954003386</v>
      </c>
      <c r="FR137" s="21">
        <f>EXP(-LN(2)/25)*FR136+(1-EXP(-LN(2)/25))/(LN(2)/25)*Calculateur!FM137*Calculateur!FO137*VLOOKUP('Données projet'!$B$16,Paramètres!$A$1:$I$89,3,0)*0.475*44/12</f>
        <v>0.68778247290212269</v>
      </c>
      <c r="FS137" s="21">
        <f>EXP(-LN(2)/2)*FS136+(1-EXP(-LN(2)/2))/(LN(2)/2)*FM137*FP137*VLOOKUP('Données projet'!$B$16,Paramètres!$A$1:$I$89,3,0)*0.475*44/12</f>
        <v>4.1061839676143261E-15</v>
      </c>
      <c r="FT137" s="22">
        <f t="shared" si="132"/>
        <v>0.96087145244216066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-5.1159076974727213E-13</v>
      </c>
      <c r="GA137" s="17">
        <f>FZ137*VLOOKUP('Données projet'!$B$17,Paramètres!$A$1:$I$89,3,0)*VLOOKUP('Données projet'!$B$17,Paramètres!$A$1:$I$89,5,0)</f>
        <v>-4.0702161641092972E-13</v>
      </c>
      <c r="GB137" s="13" t="e">
        <f t="shared" si="157"/>
        <v>#NUM!</v>
      </c>
      <c r="GC137" s="20" t="e">
        <f t="shared" si="133"/>
        <v>#NUM!</v>
      </c>
      <c r="GD137" s="59" t="e">
        <f t="shared" si="134"/>
        <v>#NUM!</v>
      </c>
      <c r="GE137" s="59">
        <f ca="1">AVERAGE(OFFSET($GD$3,0,0,'Données projet'!$E$17+1,1))-AVERAGE(OFFSET($H$3,0,0,'Données projet'!$E$17+1,1))</f>
        <v>260.20517190557814</v>
      </c>
      <c r="GF137" s="59">
        <f t="shared" si="158"/>
        <v>307.22009971147133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>
        <f>EXP(-LN(2)/35)*GL136+(1-EXP(-LN(2)/35))/(LN(2)/35)*GH137*GI137*VLOOKUP('Données projet'!$B$17,Paramètres!$A$1:$I$89,3,0)*0.475*44/12</f>
        <v>0.41603193090796975</v>
      </c>
      <c r="GM137" s="21">
        <f>EXP(-LN(2)/25)*GM136+(1-EXP(-LN(2)/25))/(LN(2)/25)*Calculateur!GH137*Calculateur!GJ137*VLOOKUP('Données projet'!$B$17,Paramètres!$A$1:$I$89,3,0)*0.475*44/12</f>
        <v>1.1478474302609531</v>
      </c>
      <c r="GN137" s="21">
        <f>EXP(-LN(2)/2)*GN136+(1-EXP(-LN(2)/2))/(LN(2)/2)*GH137*GK137*VLOOKUP('Données projet'!$B$17,Paramètres!$A$1:$I$89,3,0)*0.475*44/12</f>
        <v>5.3377378634327868E-15</v>
      </c>
      <c r="GO137" s="21">
        <f t="shared" si="135"/>
        <v>1.5638793611689281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5.6843418860808015E-14</v>
      </c>
      <c r="GV137" s="17">
        <f>GU137*VLOOKUP('Données projet'!$B$18,Paramètres!$A$1:$I$89,3,0)*VLOOKUP('Données projet'!$B$18,Paramètres!$A$1:$I$89,5,0)</f>
        <v>4.5224624045658861E-14</v>
      </c>
      <c r="GW137" s="13">
        <f t="shared" si="159"/>
        <v>7.4514601661523691E-13</v>
      </c>
      <c r="GX137" s="20">
        <f t="shared" si="136"/>
        <v>1.3765621991510601E-12</v>
      </c>
      <c r="GY137" s="59">
        <f t="shared" si="137"/>
        <v>293.33333333333468</v>
      </c>
      <c r="GZ137" s="59">
        <f ca="1">AVERAGE(OFFSET($GY$3,0,0,'Données projet'!$E$18+1,1))-AVERAGE(OFFSET($H$3,0,0,'Données projet'!$E$18+1,1))</f>
        <v>199.58763537752952</v>
      </c>
      <c r="HA137" s="59">
        <f t="shared" si="160"/>
        <v>242.62852778451929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>
        <f>EXP(-LN(2)/35)*HG136+(1-EXP(-LN(2)/35))/(LN(2)/35)*HC137*HD137*VLOOKUP('Données projet'!$B$18,Paramètres!$A$1:$I$89,3,0)*0.475*44/12</f>
        <v>0</v>
      </c>
      <c r="HH137" s="21">
        <f>EXP(-LN(2)/25)*HH136+(1-EXP(-LN(2)/25))/(LN(2)/25)*Calculateur!HC137*Calculateur!HE137*VLOOKUP('Données projet'!$B$18,Paramètres!$A$1:$I$89,3,0)*0.475*44/12</f>
        <v>0.57522010899287435</v>
      </c>
      <c r="HI137" s="21">
        <f>EXP(-LN(2)/2)*HI136+(1-EXP(-LN(2)/2))/(LN(2)/2)*HC137*HF137*VLOOKUP('Données projet'!$B$18,Paramètres!$A$1:$I$89,3,0)*0.475*44/12</f>
        <v>2.3895459818002384E-15</v>
      </c>
      <c r="HJ137" s="22">
        <f t="shared" si="138"/>
        <v>0.57522010899287679</v>
      </c>
    </row>
    <row r="138" spans="1:218" x14ac:dyDescent="0.2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120.04200000000023</v>
      </c>
      <c r="D138" s="11">
        <f t="shared" si="140"/>
        <v>31.68479490489014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1171.2243817219608</v>
      </c>
      <c r="H138" s="67">
        <f t="shared" si="110"/>
        <v>557.59083445935073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-2.2737367544323206E-13</v>
      </c>
      <c r="O138" s="13">
        <f>N138*VLOOKUP('Données projet'!$B$9,Paramètres!$A$1:$I$89,3,0)*VLOOKUP('Données projet'!$B$9,Paramètres!$A$1:$I$89,5,0)</f>
        <v>-1.2710188457276673E-13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255.5374979188561</v>
      </c>
      <c r="T138" s="59">
        <f t="shared" si="142"/>
        <v>343.10418468620901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0.38625510581930056</v>
      </c>
      <c r="AA138" s="21">
        <f>EXP(-LN(2)/25)*AA137+(1-EXP(-LN(2)/25))/(LN(2)/25)*Calculateur!V138*Calculateur!X138*VLOOKUP('Données projet'!$B$9,Paramètres!$A$1:$I$89,3,0)*0.475*44/12</f>
        <v>0.86838828601293439</v>
      </c>
      <c r="AB138" s="21">
        <f>EXP(-LN(2)/2)*AB137+(1-EXP(-LN(2)/2))/(LN(2)/2)*V138*Y138*VLOOKUP('Données projet'!$B$9,Paramètres!$A$1:$I$89,3,0)*0.475*44/12</f>
        <v>2.6576202651262391E-16</v>
      </c>
      <c r="AC138" s="22">
        <f t="shared" si="111"/>
        <v>1.2546433918322351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1.1368683772161603E-13</v>
      </c>
      <c r="AJ138" s="13">
        <f>AI138*VLOOKUP('Données projet'!$B$10,Paramètres!$A$1:$I$89,3,0)*VLOOKUP('Données projet'!$B$10,Paramètres!$A$1:$I$89,5,0)</f>
        <v>6.3550942286383367E-14</v>
      </c>
      <c r="AK138" s="13">
        <f t="shared" si="143"/>
        <v>1.0064464192543978E-12</v>
      </c>
      <c r="AL138" s="20">
        <f t="shared" si="112"/>
        <v>1.8635787380168604E-12</v>
      </c>
      <c r="AM138" s="59">
        <f t="shared" si="113"/>
        <v>293.33333333333519</v>
      </c>
      <c r="AN138" s="59">
        <f ca="1">AVERAGE(OFFSET($AM$3,0,0,'Données projet'!$E$10+1,1))-AVERAGE(OFFSET($H$3,0,0,'Données projet'!$E$10+1,1))</f>
        <v>224.7049802939942</v>
      </c>
      <c r="AO138" s="59">
        <f t="shared" si="144"/>
        <v>203.48513862195352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0.27889506386679513</v>
      </c>
      <c r="AV138" s="21">
        <f>EXP(-LN(2)/25)*AV137+(1-EXP(-LN(2)/25))/(LN(2)/25)*Calculateur!AQ138*Calculateur!AS138*VLOOKUP('Données projet'!$B$10,Paramètres!$A$1:$I$89,3,0)*0.475*44/12</f>
        <v>1.0623180278565709</v>
      </c>
      <c r="AW138" s="21">
        <f>EXP(-LN(2)/2)*AW137+(1-EXP(-LN(2)/2))/(LN(2)/2)*AQ138*AT138*VLOOKUP('Données projet'!$B$10,Paramètres!$A$1:$I$89,3,0)*0.475*44/12</f>
        <v>1.4068990254454157E-15</v>
      </c>
      <c r="AX138" s="21">
        <f t="shared" si="114"/>
        <v>1.3412130917233673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>
        <f>BD138*VLOOKUP('Données projet'!$B$11,Paramètres!$A$1:$I$89,3,0)*VLOOKUP('Données projet'!$B$11,Paramètres!$A$1:$I$89,5,0)</f>
        <v>0</v>
      </c>
      <c r="BF138" s="13" t="e">
        <f t="shared" si="145"/>
        <v>#NUM!</v>
      </c>
      <c r="BG138" s="20" t="e">
        <f t="shared" si="115"/>
        <v>#NUM!</v>
      </c>
      <c r="BH138" s="59" t="e">
        <f t="shared" si="116"/>
        <v>#NUM!</v>
      </c>
      <c r="BI138" s="59">
        <f ca="1">AVERAGE(OFFSET($BH$3,0,0,'Données projet'!$E$11+1,1))-AVERAGE(OFFSET($H$3,0,0,'Données projet'!$E$11+1,1))</f>
        <v>210.04871822652808</v>
      </c>
      <c r="BJ138" s="59">
        <f t="shared" si="146"/>
        <v>250.17540614049324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0.91262328276418192</v>
      </c>
      <c r="BQ138" s="21">
        <f>EXP(-LN(2)/25)*BQ137+(1-EXP(-LN(2)/25))/(LN(2)/25)*Calculateur!BL138*Calculateur!BN138*VLOOKUP('Données projet'!$B$11,Paramètres!$A$1:$I$89,3,0)*0.475*44/12</f>
        <v>1.5142527117263336</v>
      </c>
      <c r="BR138" s="21">
        <f>EXP(-LN(2)/2)*BR137+(1-EXP(-LN(2)/2))/(LN(2)/2)*BL138*BO138*VLOOKUP('Données projet'!$B$11,Paramètres!$A$1:$I$89,3,0)*0.475*44/12</f>
        <v>3.3841598161825062E-15</v>
      </c>
      <c r="BS138" s="22">
        <f t="shared" si="117"/>
        <v>2.4268759944905192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2.2737367544323206E-13</v>
      </c>
      <c r="BZ138" s="13">
        <f>BY138*VLOOKUP('Données projet'!$B$12,Paramètres!$A$1:$I$89,3,0)*VLOOKUP('Données projet'!$B$12,Paramètres!$A$1:$I$89,5,0)</f>
        <v>1.2414602679200471E-13</v>
      </c>
      <c r="CA138" s="13">
        <f t="shared" si="147"/>
        <v>1.8186582995804361E-12</v>
      </c>
      <c r="CB138" s="20">
        <f t="shared" si="118"/>
        <v>3.3837175350986671E-12</v>
      </c>
      <c r="CC138" s="59">
        <f t="shared" si="119"/>
        <v>293.33333333333672</v>
      </c>
      <c r="CD138" s="59">
        <f ca="1">AVERAGE(OFFSET($CC$3,0,0,'Données projet'!$E$12+1,1))-AVERAGE(OFFSET($H$3,0,0,'Données projet'!$E$12+1,1))</f>
        <v>168.72306536277267</v>
      </c>
      <c r="CE138" s="59">
        <f t="shared" si="148"/>
        <v>203.35476578922339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0.38025970115174246</v>
      </c>
      <c r="CL138" s="21">
        <f>EXP(-LN(2)/25)*CL137+(1-EXP(-LN(2)/25))/(LN(2)/25)*Calculateur!CG138*Calculateur!CI138*VLOOKUP('Données projet'!$B$12,Paramètres!$A$1:$I$89,3,0)*0.475*44/12</f>
        <v>1.250601465911352</v>
      </c>
      <c r="CM138" s="21">
        <f>EXP(-LN(2)/2)*CM137+(1-EXP(-LN(2)/2))/(LN(2)/2)*CG138*CJ138*VLOOKUP('Données projet'!$B$12,Paramètres!$A$1:$I$89,3,0)*0.475*44/12</f>
        <v>3.143929057518294E-15</v>
      </c>
      <c r="CN138" s="22">
        <f t="shared" si="120"/>
        <v>1.6308611670630975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1277.6923076923067</v>
      </c>
      <c r="CU138" s="17">
        <f>CT138*VLOOKUP('Données projet'!$B$13,Paramètres!$A$1:$I$89,3,0)*VLOOKUP('Données projet'!$B$13,Paramètres!$A$1:$I$89,5,0)</f>
        <v>614.5699999999996</v>
      </c>
      <c r="CV138" s="13">
        <f t="shared" si="149"/>
        <v>134.13240620831178</v>
      </c>
      <c r="CW138" s="20">
        <f t="shared" si="121"/>
        <v>1303.9900241461421</v>
      </c>
      <c r="CX138" s="59">
        <f t="shared" si="122"/>
        <v>1597.3233574794754</v>
      </c>
      <c r="CY138" s="59">
        <f ca="1">AVERAGE(OFFSET($CX$3,0,0,'Données projet'!$E$13+1,1))-AVERAGE(OFFSET($H$3,0,0,'Données projet'!$E$13+1,1))</f>
        <v>304.15237106473313</v>
      </c>
      <c r="CZ138" s="59">
        <f t="shared" si="150"/>
        <v>120.85458928724336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>
        <f>EXP(-LN(2)/35)*DF137+(1-EXP(-LN(2)/35))/(LN(2)/35)*DB138*DC138*VLOOKUP('Données projet'!$B$13,Paramètres!$A$1:$I$89,3,0)*0.475*44/12</f>
        <v>0</v>
      </c>
      <c r="DG138" s="21">
        <f>EXP(-LN(2)/25)*DG137+(1-EXP(-LN(2)/25))/(LN(2)/25)*Calculateur!DB138*Calculateur!DD138*VLOOKUP('Données projet'!$B$13,Paramètres!$A$1:$I$89,3,0)*0.475*44/12</f>
        <v>0</v>
      </c>
      <c r="DH138" s="21">
        <f>EXP(-LN(2)/2)*DH137+(1-EXP(-LN(2)/2))/(LN(2)/2)*DB138*DE138*VLOOKUP('Données projet'!$B$13,Paramètres!$A$1:$I$89,3,0)*0.475*44/12</f>
        <v>0</v>
      </c>
      <c r="DI138" s="22">
        <f t="shared" si="123"/>
        <v>0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425.38461538461536</v>
      </c>
      <c r="DP138" s="17">
        <f>DO138*VLOOKUP('Données projet'!$B$14,Paramètres!$A$1:$I$89,3,0)*VLOOKUP('Données projet'!$B$14,Paramètres!$A$1:$I$89,5,0)</f>
        <v>204.60999999999999</v>
      </c>
      <c r="DQ138" s="13">
        <f t="shared" si="151"/>
        <v>50.755958577224398</v>
      </c>
      <c r="DR138" s="20">
        <f t="shared" si="124"/>
        <v>444.76237785533249</v>
      </c>
      <c r="DS138" s="59">
        <f t="shared" si="125"/>
        <v>738.09571118866575</v>
      </c>
      <c r="DT138" s="59">
        <f ca="1">AVERAGE(OFFSET($DS$3,0,0,'Données projet'!$E$14+1,1))-AVERAGE(OFFSET($H$3,0,0,'Données projet'!$E$14+1,1))</f>
        <v>91.053246648097399</v>
      </c>
      <c r="DU138" s="59">
        <f t="shared" si="152"/>
        <v>64.716270355703955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>
        <f>EXP(-LN(2)/35)*EA137+(1-EXP(-LN(2)/35))/(LN(2)/35)*DW138*DX138*VLOOKUP('Données projet'!$B$14,Paramètres!$A$1:$I$89,3,0)*0.475*44/12</f>
        <v>0</v>
      </c>
      <c r="EB138" s="21">
        <f>EXP(-LN(2)/25)*EB137+(1-EXP(-LN(2)/25))/(LN(2)/25)*Calculateur!DW138*Calculateur!DY138*VLOOKUP('Données projet'!$B$14,Paramètres!$A$1:$I$89,3,0)*0.475*44/12</f>
        <v>0</v>
      </c>
      <c r="EC138" s="21">
        <f>EXP(-LN(2)/2)*EC137+(1-EXP(-LN(2)/2))/(LN(2)/2)*DW138*DZ138*VLOOKUP('Données projet'!$B$14,Paramètres!$A$1:$I$89,3,0)*0.475*44/12</f>
        <v>0</v>
      </c>
      <c r="ED138" s="22">
        <f t="shared" si="126"/>
        <v>0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553.99999999999955</v>
      </c>
      <c r="EK138" s="17">
        <f>EJ138*VLOOKUP('Données projet'!$B$15,Paramètres!$A$1:$I$89,3,0)*VLOOKUP('Données projet'!$B$15,Paramètres!$A$1:$I$89,5,0)</f>
        <v>331.29199999999975</v>
      </c>
      <c r="EL138" s="13">
        <f t="shared" si="153"/>
        <v>77.698110787752</v>
      </c>
      <c r="EM138" s="20">
        <f t="shared" si="127"/>
        <v>712.32444295533423</v>
      </c>
      <c r="EN138" s="59">
        <f t="shared" si="128"/>
        <v>1005.6577762886675</v>
      </c>
      <c r="EO138" s="59">
        <f ca="1">AVERAGE(OFFSET($EN$3,0,0,'Données projet'!$E$15+1,1))-AVERAGE(OFFSET($H$3,0,0,'Données projet'!$E$15+1,1))</f>
        <v>316.58509520829671</v>
      </c>
      <c r="EP138" s="59">
        <f t="shared" si="154"/>
        <v>240.71332110643596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>
        <f>EXP(-LN(2)/35)*EV137+(1-EXP(-LN(2)/35))/(LN(2)/35)*ER138*ES138*VLOOKUP('Données projet'!$B$15,Paramètres!$A$1:$I$89,3,0)*0.475*44/12</f>
        <v>0.3168184142759165</v>
      </c>
      <c r="EW138" s="21">
        <f>EXP(-LN(2)/25)*EW137+(1-EXP(-LN(2)/25))/(LN(2)/25)*Calculateur!ER138*Calculateur!ET138*VLOOKUP('Données projet'!$B$15,Paramètres!$A$1:$I$89,3,0)*0.475*44/12</f>
        <v>0.83071888793614979</v>
      </c>
      <c r="EX138" s="21">
        <f>EXP(-LN(2)/2)*EX137+(1-EXP(-LN(2)/2))/(LN(2)/2)*ER138*EU138*VLOOKUP('Données projet'!$B$15,Paramètres!$A$1:$I$89,3,0)*0.475*44/12</f>
        <v>3.4446797102904419E-15</v>
      </c>
      <c r="EY138" s="22">
        <f t="shared" si="129"/>
        <v>1.1475373022120698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497</v>
      </c>
      <c r="FF138" s="17">
        <f>FE138*VLOOKUP('Données projet'!$B$16,Paramètres!$A$1:$I$89,3,0)*VLOOKUP('Données projet'!$B$16,Paramètres!$A$1:$I$89,5,0)</f>
        <v>297.20600000000002</v>
      </c>
      <c r="FG138" s="13">
        <f t="shared" si="155"/>
        <v>70.590415164571112</v>
      </c>
      <c r="FH138" s="20">
        <f t="shared" si="130"/>
        <v>640.57875641162809</v>
      </c>
      <c r="FI138" s="59">
        <f t="shared" si="131"/>
        <v>933.91208974496135</v>
      </c>
      <c r="FJ138" s="59">
        <f ca="1">AVERAGE(OFFSET($FI$3,0,0,'Données projet'!$E$16+1,1))-AVERAGE(OFFSET($H$3,0,0,'Données projet'!$E$16+1,1))</f>
        <v>270.30888762640245</v>
      </c>
      <c r="FK138" s="59">
        <f t="shared" si="156"/>
        <v>202.23783851977691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>
        <f>EXP(-LN(2)/35)*FQ137+(1-EXP(-LN(2)/35))/(LN(2)/35)*FM138*FN138*VLOOKUP('Données projet'!$B$16,Paramètres!$A$1:$I$89,3,0)*0.475*44/12</f>
        <v>0.2677338712190841</v>
      </c>
      <c r="FR138" s="21">
        <f>EXP(-LN(2)/25)*FR137+(1-EXP(-LN(2)/25))/(LN(2)/25)*Calculateur!FM138*Calculateur!FO138*VLOOKUP('Données projet'!$B$16,Paramètres!$A$1:$I$89,3,0)*0.475*44/12</f>
        <v>0.6689750250117058</v>
      </c>
      <c r="FS138" s="21">
        <f>EXP(-LN(2)/2)*FS137+(1-EXP(-LN(2)/2))/(LN(2)/2)*FM138*FP138*VLOOKUP('Données projet'!$B$16,Paramètres!$A$1:$I$89,3,0)*0.475*44/12</f>
        <v>2.9035105282995729E-15</v>
      </c>
      <c r="FT138" s="22">
        <f t="shared" si="132"/>
        <v>0.93670889623079279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-5.1159076974727213E-13</v>
      </c>
      <c r="GA138" s="17">
        <f>FZ138*VLOOKUP('Données projet'!$B$17,Paramètres!$A$1:$I$89,3,0)*VLOOKUP('Données projet'!$B$17,Paramètres!$A$1:$I$89,5,0)</f>
        <v>-4.0702161641092972E-13</v>
      </c>
      <c r="GB138" s="13" t="e">
        <f t="shared" si="157"/>
        <v>#NUM!</v>
      </c>
      <c r="GC138" s="20" t="e">
        <f t="shared" si="133"/>
        <v>#NUM!</v>
      </c>
      <c r="GD138" s="59" t="e">
        <f t="shared" si="134"/>
        <v>#NUM!</v>
      </c>
      <c r="GE138" s="59">
        <f ca="1">AVERAGE(OFFSET($GD$3,0,0,'Données projet'!$E$17+1,1))-AVERAGE(OFFSET($H$3,0,0,'Données projet'!$E$17+1,1))</f>
        <v>260.20517190557814</v>
      </c>
      <c r="GF138" s="59">
        <f t="shared" si="158"/>
        <v>307.22009971147133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>
        <f>EXP(-LN(2)/35)*GL137+(1-EXP(-LN(2)/35))/(LN(2)/35)*GH138*GI138*VLOOKUP('Données projet'!$B$17,Paramètres!$A$1:$I$89,3,0)*0.475*44/12</f>
        <v>0.40787379849728617</v>
      </c>
      <c r="GM138" s="21">
        <f>EXP(-LN(2)/25)*GM137+(1-EXP(-LN(2)/25))/(LN(2)/25)*Calculateur!GH138*Calculateur!GJ138*VLOOKUP('Données projet'!$B$17,Paramètres!$A$1:$I$89,3,0)*0.475*44/12</f>
        <v>1.1164594819177944</v>
      </c>
      <c r="GN138" s="21">
        <f>EXP(-LN(2)/2)*GN137+(1-EXP(-LN(2)/2))/(LN(2)/2)*GH138*GK138*VLOOKUP('Données projet'!$B$17,Paramètres!$A$1:$I$89,3,0)*0.475*44/12</f>
        <v>3.7743506394295173E-15</v>
      </c>
      <c r="GO138" s="21">
        <f t="shared" si="135"/>
        <v>1.5243332804150844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5.6843418860808015E-14</v>
      </c>
      <c r="GV138" s="17">
        <f>GU138*VLOOKUP('Données projet'!$B$18,Paramètres!$A$1:$I$89,3,0)*VLOOKUP('Données projet'!$B$18,Paramètres!$A$1:$I$89,5,0)</f>
        <v>4.5224624045658861E-14</v>
      </c>
      <c r="GW138" s="13">
        <f t="shared" si="159"/>
        <v>7.4514601661523691E-13</v>
      </c>
      <c r="GX138" s="20">
        <f t="shared" si="136"/>
        <v>1.3765621991510601E-12</v>
      </c>
      <c r="GY138" s="59">
        <f t="shared" si="137"/>
        <v>293.33333333333468</v>
      </c>
      <c r="GZ138" s="59">
        <f ca="1">AVERAGE(OFFSET($GY$3,0,0,'Données projet'!$E$18+1,1))-AVERAGE(OFFSET($H$3,0,0,'Données projet'!$E$18+1,1))</f>
        <v>199.58763537752952</v>
      </c>
      <c r="HA138" s="59">
        <f t="shared" si="160"/>
        <v>242.62852778451929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>
        <f>EXP(-LN(2)/35)*HG137+(1-EXP(-LN(2)/35))/(LN(2)/35)*HC138*HD138*VLOOKUP('Données projet'!$B$18,Paramètres!$A$1:$I$89,3,0)*0.475*44/12</f>
        <v>0</v>
      </c>
      <c r="HH138" s="21">
        <f>EXP(-LN(2)/25)*HH137+(1-EXP(-LN(2)/25))/(LN(2)/25)*Calculateur!HC138*Calculateur!HE138*VLOOKUP('Données projet'!$B$18,Paramètres!$A$1:$I$89,3,0)*0.475*44/12</f>
        <v>0.55949068486295339</v>
      </c>
      <c r="HI138" s="21">
        <f>EXP(-LN(2)/2)*HI137+(1-EXP(-LN(2)/2))/(LN(2)/2)*HC138*HF138*VLOOKUP('Données projet'!$B$18,Paramètres!$A$1:$I$89,3,0)*0.475*44/12</f>
        <v>1.6896641676880151E-15</v>
      </c>
      <c r="HJ138" s="22">
        <f t="shared" si="138"/>
        <v>0.55949068486295506</v>
      </c>
    </row>
    <row r="139" spans="1:218" x14ac:dyDescent="0.2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120.93120000000023</v>
      </c>
      <c r="D139" s="11">
        <f t="shared" si="140"/>
        <v>31.892088595533707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1179.6885435444726</v>
      </c>
      <c r="H139" s="67">
        <f t="shared" si="110"/>
        <v>559.50056097055494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-2.2737367544323206E-13</v>
      </c>
      <c r="O139" s="13">
        <f>N139*VLOOKUP('Données projet'!$B$9,Paramètres!$A$1:$I$89,3,0)*VLOOKUP('Données projet'!$B$9,Paramètres!$A$1:$I$89,5,0)</f>
        <v>-1.2710188457276673E-13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255.5374979188561</v>
      </c>
      <c r="T139" s="59">
        <f t="shared" si="142"/>
        <v>343.10418468620901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0.37868087878653584</v>
      </c>
      <c r="AA139" s="21">
        <f>EXP(-LN(2)/25)*AA138+(1-EXP(-LN(2)/25))/(LN(2)/25)*Calculateur!V139*Calculateur!X139*VLOOKUP('Données projet'!$B$9,Paramètres!$A$1:$I$89,3,0)*0.475*44/12</f>
        <v>0.84464216266535541</v>
      </c>
      <c r="AB139" s="21">
        <f>EXP(-LN(2)/2)*AB138+(1-EXP(-LN(2)/2))/(LN(2)/2)*V139*Y139*VLOOKUP('Données projet'!$B$9,Paramètres!$A$1:$I$89,3,0)*0.475*44/12</f>
        <v>1.879221311289554E-16</v>
      </c>
      <c r="AC139" s="22">
        <f t="shared" si="111"/>
        <v>1.2233230414518914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1.1368683772161603E-13</v>
      </c>
      <c r="AJ139" s="13">
        <f>AI139*VLOOKUP('Données projet'!$B$10,Paramètres!$A$1:$I$89,3,0)*VLOOKUP('Données projet'!$B$10,Paramètres!$A$1:$I$89,5,0)</f>
        <v>6.3550942286383367E-14</v>
      </c>
      <c r="AK139" s="13">
        <f t="shared" si="143"/>
        <v>1.0064464192543978E-12</v>
      </c>
      <c r="AL139" s="20">
        <f t="shared" si="112"/>
        <v>1.8635787380168604E-12</v>
      </c>
      <c r="AM139" s="59">
        <f t="shared" si="113"/>
        <v>293.33333333333519</v>
      </c>
      <c r="AN139" s="59">
        <f ca="1">AVERAGE(OFFSET($AM$3,0,0,'Données projet'!$E$10+1,1))-AVERAGE(OFFSET($H$3,0,0,'Données projet'!$E$10+1,1))</f>
        <v>224.7049802939942</v>
      </c>
      <c r="AO139" s="59">
        <f t="shared" si="144"/>
        <v>203.48513862195352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0.27342610177355936</v>
      </c>
      <c r="AV139" s="21">
        <f>EXP(-LN(2)/25)*AV138+(1-EXP(-LN(2)/25))/(LN(2)/25)*Calculateur!AQ139*Calculateur!AS139*VLOOKUP('Données projet'!$B$10,Paramètres!$A$1:$I$89,3,0)*0.475*44/12</f>
        <v>1.0332688855199559</v>
      </c>
      <c r="AW139" s="21">
        <f>EXP(-LN(2)/2)*AW138+(1-EXP(-LN(2)/2))/(LN(2)/2)*AQ139*AT139*VLOOKUP('Données projet'!$B$10,Paramètres!$A$1:$I$89,3,0)*0.475*44/12</f>
        <v>9.9482784133719854E-16</v>
      </c>
      <c r="AX139" s="21">
        <f t="shared" si="114"/>
        <v>1.3066949872935161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>
        <f>BD139*VLOOKUP('Données projet'!$B$11,Paramètres!$A$1:$I$89,3,0)*VLOOKUP('Données projet'!$B$11,Paramètres!$A$1:$I$89,5,0)</f>
        <v>0</v>
      </c>
      <c r="BF139" s="13" t="e">
        <f t="shared" si="145"/>
        <v>#NUM!</v>
      </c>
      <c r="BG139" s="20" t="e">
        <f t="shared" si="115"/>
        <v>#NUM!</v>
      </c>
      <c r="BH139" s="59" t="e">
        <f t="shared" si="116"/>
        <v>#NUM!</v>
      </c>
      <c r="BI139" s="59">
        <f ca="1">AVERAGE(OFFSET($BH$3,0,0,'Données projet'!$E$11+1,1))-AVERAGE(OFFSET($H$3,0,0,'Données projet'!$E$11+1,1))</f>
        <v>210.04871822652808</v>
      </c>
      <c r="BJ139" s="59">
        <f t="shared" si="146"/>
        <v>250.17540614049324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0.89472729683441465</v>
      </c>
      <c r="BQ139" s="21">
        <f>EXP(-LN(2)/25)*BQ138+(1-EXP(-LN(2)/25))/(LN(2)/25)*Calculateur!BL139*Calculateur!BN139*VLOOKUP('Données projet'!$B$11,Paramètres!$A$1:$I$89,3,0)*0.475*44/12</f>
        <v>1.4728453916930877</v>
      </c>
      <c r="BR139" s="21">
        <f>EXP(-LN(2)/2)*BR138+(1-EXP(-LN(2)/2))/(LN(2)/2)*BL139*BO139*VLOOKUP('Données projet'!$B$11,Paramètres!$A$1:$I$89,3,0)*0.475*44/12</f>
        <v>2.3929623546416703E-15</v>
      </c>
      <c r="BS139" s="22">
        <f t="shared" si="117"/>
        <v>2.3675726885275048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2.2737367544323206E-13</v>
      </c>
      <c r="BZ139" s="13">
        <f>BY139*VLOOKUP('Données projet'!$B$12,Paramètres!$A$1:$I$89,3,0)*VLOOKUP('Données projet'!$B$12,Paramètres!$A$1:$I$89,5,0)</f>
        <v>1.2414602679200471E-13</v>
      </c>
      <c r="CA139" s="13">
        <f t="shared" si="147"/>
        <v>1.8186582995804361E-12</v>
      </c>
      <c r="CB139" s="20">
        <f t="shared" si="118"/>
        <v>3.3837175350986671E-12</v>
      </c>
      <c r="CC139" s="59">
        <f t="shared" si="119"/>
        <v>293.33333333333672</v>
      </c>
      <c r="CD139" s="59">
        <f ca="1">AVERAGE(OFFSET($CC$3,0,0,'Données projet'!$E$12+1,1))-AVERAGE(OFFSET($H$3,0,0,'Données projet'!$E$12+1,1))</f>
        <v>168.72306536277267</v>
      </c>
      <c r="CE139" s="59">
        <f t="shared" si="148"/>
        <v>203.35476578922339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0.37280304034767275</v>
      </c>
      <c r="CL139" s="21">
        <f>EXP(-LN(2)/25)*CL138+(1-EXP(-LN(2)/25))/(LN(2)/25)*Calculateur!CG139*Calculateur!CI139*VLOOKUP('Données projet'!$B$12,Paramètres!$A$1:$I$89,3,0)*0.475*44/12</f>
        <v>1.2164037030597332</v>
      </c>
      <c r="CM139" s="21">
        <f>EXP(-LN(2)/2)*CM138+(1-EXP(-LN(2)/2))/(LN(2)/2)*CG139*CJ139*VLOOKUP('Données projet'!$B$12,Paramètres!$A$1:$I$89,3,0)*0.475*44/12</f>
        <v>2.2230935561406169E-15</v>
      </c>
      <c r="CN139" s="22">
        <f t="shared" si="120"/>
        <v>1.5892067434074082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1277.6923076923067</v>
      </c>
      <c r="CU139" s="17">
        <f>CT139*VLOOKUP('Données projet'!$B$13,Paramètres!$A$1:$I$89,3,0)*VLOOKUP('Données projet'!$B$13,Paramètres!$A$1:$I$89,5,0)</f>
        <v>614.5699999999996</v>
      </c>
      <c r="CV139" s="13">
        <f t="shared" si="149"/>
        <v>134.13240620831178</v>
      </c>
      <c r="CW139" s="20">
        <f t="shared" si="121"/>
        <v>1303.9900241461421</v>
      </c>
      <c r="CX139" s="59">
        <f t="shared" si="122"/>
        <v>1597.3233574794754</v>
      </c>
      <c r="CY139" s="59">
        <f ca="1">AVERAGE(OFFSET($CX$3,0,0,'Données projet'!$E$13+1,1))-AVERAGE(OFFSET($H$3,0,0,'Données projet'!$E$13+1,1))</f>
        <v>304.15237106473313</v>
      </c>
      <c r="CZ139" s="59">
        <f t="shared" si="150"/>
        <v>120.85458928724336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>
        <f>EXP(-LN(2)/35)*DF138+(1-EXP(-LN(2)/35))/(LN(2)/35)*DB139*DC139*VLOOKUP('Données projet'!$B$13,Paramètres!$A$1:$I$89,3,0)*0.475*44/12</f>
        <v>0</v>
      </c>
      <c r="DG139" s="21">
        <f>EXP(-LN(2)/25)*DG138+(1-EXP(-LN(2)/25))/(LN(2)/25)*Calculateur!DB139*Calculateur!DD139*VLOOKUP('Données projet'!$B$13,Paramètres!$A$1:$I$89,3,0)*0.475*44/12</f>
        <v>0</v>
      </c>
      <c r="DH139" s="21">
        <f>EXP(-LN(2)/2)*DH138+(1-EXP(-LN(2)/2))/(LN(2)/2)*DB139*DE139*VLOOKUP('Données projet'!$B$13,Paramètres!$A$1:$I$89,3,0)*0.475*44/12</f>
        <v>0</v>
      </c>
      <c r="DI139" s="22">
        <f t="shared" si="123"/>
        <v>0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425.38461538461536</v>
      </c>
      <c r="DP139" s="17">
        <f>DO139*VLOOKUP('Données projet'!$B$14,Paramètres!$A$1:$I$89,3,0)*VLOOKUP('Données projet'!$B$14,Paramètres!$A$1:$I$89,5,0)</f>
        <v>204.60999999999999</v>
      </c>
      <c r="DQ139" s="13">
        <f t="shared" si="151"/>
        <v>50.755958577224398</v>
      </c>
      <c r="DR139" s="20">
        <f t="shared" si="124"/>
        <v>444.76237785533249</v>
      </c>
      <c r="DS139" s="59">
        <f t="shared" si="125"/>
        <v>738.09571118866575</v>
      </c>
      <c r="DT139" s="59">
        <f ca="1">AVERAGE(OFFSET($DS$3,0,0,'Données projet'!$E$14+1,1))-AVERAGE(OFFSET($H$3,0,0,'Données projet'!$E$14+1,1))</f>
        <v>91.053246648097399</v>
      </c>
      <c r="DU139" s="59">
        <f t="shared" si="152"/>
        <v>64.716270355703955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>
        <f>EXP(-LN(2)/35)*EA138+(1-EXP(-LN(2)/35))/(LN(2)/35)*DW139*DX139*VLOOKUP('Données projet'!$B$14,Paramètres!$A$1:$I$89,3,0)*0.475*44/12</f>
        <v>0</v>
      </c>
      <c r="EB139" s="21">
        <f>EXP(-LN(2)/25)*EB138+(1-EXP(-LN(2)/25))/(LN(2)/25)*Calculateur!DW139*Calculateur!DY139*VLOOKUP('Données projet'!$B$14,Paramètres!$A$1:$I$89,3,0)*0.475*44/12</f>
        <v>0</v>
      </c>
      <c r="EC139" s="21">
        <f>EXP(-LN(2)/2)*EC138+(1-EXP(-LN(2)/2))/(LN(2)/2)*DW139*DZ139*VLOOKUP('Données projet'!$B$14,Paramètres!$A$1:$I$89,3,0)*0.475*44/12</f>
        <v>0</v>
      </c>
      <c r="ED139" s="22">
        <f t="shared" si="126"/>
        <v>0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553.99999999999955</v>
      </c>
      <c r="EK139" s="17">
        <f>EJ139*VLOOKUP('Données projet'!$B$15,Paramètres!$A$1:$I$89,3,0)*VLOOKUP('Données projet'!$B$15,Paramètres!$A$1:$I$89,5,0)</f>
        <v>331.29199999999975</v>
      </c>
      <c r="EL139" s="13">
        <f t="shared" si="153"/>
        <v>77.698110787752</v>
      </c>
      <c r="EM139" s="20">
        <f t="shared" si="127"/>
        <v>712.32444295533423</v>
      </c>
      <c r="EN139" s="59">
        <f t="shared" si="128"/>
        <v>1005.6577762886675</v>
      </c>
      <c r="EO139" s="59">
        <f ca="1">AVERAGE(OFFSET($EN$3,0,0,'Données projet'!$E$15+1,1))-AVERAGE(OFFSET($H$3,0,0,'Données projet'!$E$15+1,1))</f>
        <v>316.58509520829671</v>
      </c>
      <c r="EP139" s="59">
        <f t="shared" si="154"/>
        <v>240.71332110643596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>
        <f>EXP(-LN(2)/35)*EV138+(1-EXP(-LN(2)/35))/(LN(2)/35)*ER139*ES139*VLOOKUP('Données projet'!$B$15,Paramètres!$A$1:$I$89,3,0)*0.475*44/12</f>
        <v>0.31060579841211761</v>
      </c>
      <c r="EW139" s="21">
        <f>EXP(-LN(2)/25)*EW138+(1-EXP(-LN(2)/25))/(LN(2)/25)*Calculateur!ER139*Calculateur!ET139*VLOOKUP('Données projet'!$B$15,Paramètres!$A$1:$I$89,3,0)*0.475*44/12</f>
        <v>0.80800283625992808</v>
      </c>
      <c r="EX139" s="21">
        <f>EXP(-LN(2)/2)*EX138+(1-EXP(-LN(2)/2))/(LN(2)/2)*ER139*EU139*VLOOKUP('Données projet'!$B$15,Paramètres!$A$1:$I$89,3,0)*0.475*44/12</f>
        <v>2.4357563821620834E-15</v>
      </c>
      <c r="EY139" s="22">
        <f t="shared" si="129"/>
        <v>1.1186086346720481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497</v>
      </c>
      <c r="FF139" s="17">
        <f>FE139*VLOOKUP('Données projet'!$B$16,Paramètres!$A$1:$I$89,3,0)*VLOOKUP('Données projet'!$B$16,Paramètres!$A$1:$I$89,5,0)</f>
        <v>297.20600000000002</v>
      </c>
      <c r="FG139" s="13">
        <f t="shared" si="155"/>
        <v>70.590415164571112</v>
      </c>
      <c r="FH139" s="20">
        <f t="shared" si="130"/>
        <v>640.57875641162809</v>
      </c>
      <c r="FI139" s="59">
        <f t="shared" si="131"/>
        <v>933.91208974496135</v>
      </c>
      <c r="FJ139" s="59">
        <f ca="1">AVERAGE(OFFSET($FI$3,0,0,'Données projet'!$E$16+1,1))-AVERAGE(OFFSET($H$3,0,0,'Données projet'!$E$16+1,1))</f>
        <v>270.30888762640245</v>
      </c>
      <c r="FK139" s="59">
        <f t="shared" si="156"/>
        <v>202.23783851977691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>
        <f>EXP(-LN(2)/35)*FQ138+(1-EXP(-LN(2)/35))/(LN(2)/35)*FM139*FN139*VLOOKUP('Données projet'!$B$16,Paramètres!$A$1:$I$89,3,0)*0.475*44/12</f>
        <v>0.26248377330601463</v>
      </c>
      <c r="FR139" s="21">
        <f>EXP(-LN(2)/25)*FR138+(1-EXP(-LN(2)/25))/(LN(2)/25)*Calculateur!FM139*Calculateur!FO139*VLOOKUP('Données projet'!$B$16,Paramètres!$A$1:$I$89,3,0)*0.475*44/12</f>
        <v>0.65068186777289305</v>
      </c>
      <c r="FS139" s="21">
        <f>EXP(-LN(2)/2)*FS138+(1-EXP(-LN(2)/2))/(LN(2)/2)*FM139*FP139*VLOOKUP('Données projet'!$B$16,Paramètres!$A$1:$I$89,3,0)*0.475*44/12</f>
        <v>2.0530919838071631E-15</v>
      </c>
      <c r="FT139" s="22">
        <f t="shared" si="132"/>
        <v>0.91316564107890974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-5.1159076974727213E-13</v>
      </c>
      <c r="GA139" s="17">
        <f>FZ139*VLOOKUP('Données projet'!$B$17,Paramètres!$A$1:$I$89,3,0)*VLOOKUP('Données projet'!$B$17,Paramètres!$A$1:$I$89,5,0)</f>
        <v>-4.0702161641092972E-13</v>
      </c>
      <c r="GB139" s="13" t="e">
        <f t="shared" si="157"/>
        <v>#NUM!</v>
      </c>
      <c r="GC139" s="20" t="e">
        <f t="shared" si="133"/>
        <v>#NUM!</v>
      </c>
      <c r="GD139" s="59" t="e">
        <f t="shared" si="134"/>
        <v>#NUM!</v>
      </c>
      <c r="GE139" s="59">
        <f ca="1">AVERAGE(OFFSET($GD$3,0,0,'Données projet'!$E$17+1,1))-AVERAGE(OFFSET($H$3,0,0,'Données projet'!$E$17+1,1))</f>
        <v>260.20517190557814</v>
      </c>
      <c r="GF139" s="59">
        <f t="shared" si="158"/>
        <v>307.22009971147133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>
        <f>EXP(-LN(2)/35)*GL138+(1-EXP(-LN(2)/35))/(LN(2)/35)*GH139*GI139*VLOOKUP('Données projet'!$B$17,Paramètres!$A$1:$I$89,3,0)*0.475*44/12</f>
        <v>0.39987564208720666</v>
      </c>
      <c r="GM139" s="21">
        <f>EXP(-LN(2)/25)*GM138+(1-EXP(-LN(2)/25))/(LN(2)/25)*Calculateur!GH139*Calculateur!GJ139*VLOOKUP('Données projet'!$B$17,Paramètres!$A$1:$I$89,3,0)*0.475*44/12</f>
        <v>1.0859298386726999</v>
      </c>
      <c r="GN139" s="21">
        <f>EXP(-LN(2)/2)*GN138+(1-EXP(-LN(2)/2))/(LN(2)/2)*GH139*GK139*VLOOKUP('Données projet'!$B$17,Paramètres!$A$1:$I$89,3,0)*0.475*44/12</f>
        <v>2.6688689317163934E-15</v>
      </c>
      <c r="GO139" s="21">
        <f t="shared" si="135"/>
        <v>1.4858054807599093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5.6843418860808015E-14</v>
      </c>
      <c r="GV139" s="17">
        <f>GU139*VLOOKUP('Données projet'!$B$18,Paramètres!$A$1:$I$89,3,0)*VLOOKUP('Données projet'!$B$18,Paramètres!$A$1:$I$89,5,0)</f>
        <v>4.5224624045658861E-14</v>
      </c>
      <c r="GW139" s="13">
        <f t="shared" si="159"/>
        <v>7.4514601661523691E-13</v>
      </c>
      <c r="GX139" s="20">
        <f t="shared" si="136"/>
        <v>1.3765621991510601E-12</v>
      </c>
      <c r="GY139" s="59">
        <f t="shared" si="137"/>
        <v>293.33333333333468</v>
      </c>
      <c r="GZ139" s="59">
        <f ca="1">AVERAGE(OFFSET($GY$3,0,0,'Données projet'!$E$18+1,1))-AVERAGE(OFFSET($H$3,0,0,'Données projet'!$E$18+1,1))</f>
        <v>199.58763537752952</v>
      </c>
      <c r="HA139" s="59">
        <f t="shared" si="160"/>
        <v>242.62852778451929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>
        <f>EXP(-LN(2)/35)*HG138+(1-EXP(-LN(2)/35))/(LN(2)/35)*HC139*HD139*VLOOKUP('Données projet'!$B$18,Paramètres!$A$1:$I$89,3,0)*0.475*44/12</f>
        <v>0</v>
      </c>
      <c r="HH139" s="21">
        <f>EXP(-LN(2)/25)*HH138+(1-EXP(-LN(2)/25))/(LN(2)/25)*Calculateur!HC139*Calculateur!HE139*VLOOKUP('Données projet'!$B$18,Paramètres!$A$1:$I$89,3,0)*0.475*44/12</f>
        <v>0.54419138266303957</v>
      </c>
      <c r="HI139" s="21">
        <f>EXP(-LN(2)/2)*HI138+(1-EXP(-LN(2)/2))/(LN(2)/2)*HC139*HF139*VLOOKUP('Données projet'!$B$18,Paramètres!$A$1:$I$89,3,0)*0.475*44/12</f>
        <v>1.1947729909001192E-15</v>
      </c>
      <c r="HJ139" s="22">
        <f t="shared" si="138"/>
        <v>0.54419138266304079</v>
      </c>
    </row>
    <row r="140" spans="1:218" x14ac:dyDescent="0.2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121.82040000000023</v>
      </c>
      <c r="D140" s="11">
        <f t="shared" si="140"/>
        <v>32.09920494137846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1188.1513363895899</v>
      </c>
      <c r="H140" s="67">
        <f t="shared" si="110"/>
        <v>561.40997860623452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-2.2737367544323206E-13</v>
      </c>
      <c r="O140" s="13">
        <f>N140*VLOOKUP('Données projet'!$B$9,Paramètres!$A$1:$I$89,3,0)*VLOOKUP('Données projet'!$B$9,Paramètres!$A$1:$I$89,5,0)</f>
        <v>-1.2710188457276673E-13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255.5374979188561</v>
      </c>
      <c r="T140" s="59">
        <f t="shared" si="142"/>
        <v>343.10418468620901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0.37125517772606126</v>
      </c>
      <c r="AA140" s="21">
        <f>EXP(-LN(2)/25)*AA139+(1-EXP(-LN(2)/25))/(LN(2)/25)*Calculateur!V140*Calculateur!X140*VLOOKUP('Données projet'!$B$9,Paramètres!$A$1:$I$89,3,0)*0.475*44/12</f>
        <v>0.82154537830947039</v>
      </c>
      <c r="AB140" s="21">
        <f>EXP(-LN(2)/2)*AB139+(1-EXP(-LN(2)/2))/(LN(2)/2)*V140*Y140*VLOOKUP('Données projet'!$B$9,Paramètres!$A$1:$I$89,3,0)*0.475*44/12</f>
        <v>1.3288101325631195E-16</v>
      </c>
      <c r="AC140" s="22">
        <f t="shared" si="111"/>
        <v>1.1928005560355319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1.1368683772161603E-13</v>
      </c>
      <c r="AJ140" s="13">
        <f>AI140*VLOOKUP('Données projet'!$B$10,Paramètres!$A$1:$I$89,3,0)*VLOOKUP('Données projet'!$B$10,Paramètres!$A$1:$I$89,5,0)</f>
        <v>6.3550942286383367E-14</v>
      </c>
      <c r="AK140" s="13">
        <f t="shared" si="143"/>
        <v>1.0064464192543978E-12</v>
      </c>
      <c r="AL140" s="20">
        <f t="shared" si="112"/>
        <v>1.8635787380168604E-12</v>
      </c>
      <c r="AM140" s="59">
        <f t="shared" si="113"/>
        <v>293.33333333333519</v>
      </c>
      <c r="AN140" s="59">
        <f ca="1">AVERAGE(OFFSET($AM$3,0,0,'Données projet'!$E$10+1,1))-AVERAGE(OFFSET($H$3,0,0,'Données projet'!$E$10+1,1))</f>
        <v>224.7049802939942</v>
      </c>
      <c r="AO140" s="59">
        <f t="shared" si="144"/>
        <v>203.48513862195352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0.26806438269123445</v>
      </c>
      <c r="AV140" s="21">
        <f>EXP(-LN(2)/25)*AV139+(1-EXP(-LN(2)/25))/(LN(2)/25)*Calculateur!AQ140*Calculateur!AS140*VLOOKUP('Données projet'!$B$10,Paramètres!$A$1:$I$89,3,0)*0.475*44/12</f>
        <v>1.0050140935081635</v>
      </c>
      <c r="AW140" s="21">
        <f>EXP(-LN(2)/2)*AW139+(1-EXP(-LN(2)/2))/(LN(2)/2)*AQ140*AT140*VLOOKUP('Données projet'!$B$10,Paramètres!$A$1:$I$89,3,0)*0.475*44/12</f>
        <v>7.0344951272270787E-16</v>
      </c>
      <c r="AX140" s="21">
        <f t="shared" si="114"/>
        <v>1.2730784761993987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>
        <f>BD140*VLOOKUP('Données projet'!$B$11,Paramètres!$A$1:$I$89,3,0)*VLOOKUP('Données projet'!$B$11,Paramètres!$A$1:$I$89,5,0)</f>
        <v>0</v>
      </c>
      <c r="BF140" s="13" t="e">
        <f t="shared" si="145"/>
        <v>#NUM!</v>
      </c>
      <c r="BG140" s="20" t="e">
        <f t="shared" si="115"/>
        <v>#NUM!</v>
      </c>
      <c r="BH140" s="59" t="e">
        <f t="shared" si="116"/>
        <v>#NUM!</v>
      </c>
      <c r="BI140" s="59">
        <f ca="1">AVERAGE(OFFSET($BH$3,0,0,'Données projet'!$E$11+1,1))-AVERAGE(OFFSET($H$3,0,0,'Données projet'!$E$11+1,1))</f>
        <v>210.04871822652808</v>
      </c>
      <c r="BJ140" s="59">
        <f t="shared" si="146"/>
        <v>250.17540614049324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0.87718224027325653</v>
      </c>
      <c r="BQ140" s="21">
        <f>EXP(-LN(2)/25)*BQ139+(1-EXP(-LN(2)/25))/(LN(2)/25)*Calculateur!BL140*Calculateur!BN140*VLOOKUP('Données projet'!$B$11,Paramètres!$A$1:$I$89,3,0)*0.475*44/12</f>
        <v>1.4325703570036672</v>
      </c>
      <c r="BR140" s="21">
        <f>EXP(-LN(2)/2)*BR139+(1-EXP(-LN(2)/2))/(LN(2)/2)*BL140*BO140*VLOOKUP('Données projet'!$B$11,Paramètres!$A$1:$I$89,3,0)*0.475*44/12</f>
        <v>1.6920799080912531E-15</v>
      </c>
      <c r="BS140" s="22">
        <f t="shared" si="117"/>
        <v>2.3097525972769253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2.2737367544323206E-13</v>
      </c>
      <c r="BZ140" s="13">
        <f>BY140*VLOOKUP('Données projet'!$B$12,Paramètres!$A$1:$I$89,3,0)*VLOOKUP('Données projet'!$B$12,Paramètres!$A$1:$I$89,5,0)</f>
        <v>1.2414602679200471E-13</v>
      </c>
      <c r="CA140" s="13">
        <f t="shared" si="147"/>
        <v>1.8186582995804361E-12</v>
      </c>
      <c r="CB140" s="20">
        <f t="shared" si="118"/>
        <v>3.3837175350986671E-12</v>
      </c>
      <c r="CC140" s="59">
        <f t="shared" si="119"/>
        <v>293.33333333333672</v>
      </c>
      <c r="CD140" s="59">
        <f ca="1">AVERAGE(OFFSET($CC$3,0,0,'Données projet'!$E$12+1,1))-AVERAGE(OFFSET($H$3,0,0,'Données projet'!$E$12+1,1))</f>
        <v>168.72306536277267</v>
      </c>
      <c r="CE140" s="59">
        <f t="shared" si="148"/>
        <v>203.35476578922339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0.36549260011385687</v>
      </c>
      <c r="CL140" s="21">
        <f>EXP(-LN(2)/25)*CL139+(1-EXP(-LN(2)/25))/(LN(2)/25)*Calculateur!CG140*Calculateur!CI140*VLOOKUP('Données projet'!$B$12,Paramètres!$A$1:$I$89,3,0)*0.475*44/12</f>
        <v>1.1831410798316742</v>
      </c>
      <c r="CM140" s="21">
        <f>EXP(-LN(2)/2)*CM139+(1-EXP(-LN(2)/2))/(LN(2)/2)*CG140*CJ140*VLOOKUP('Données projet'!$B$12,Paramètres!$A$1:$I$89,3,0)*0.475*44/12</f>
        <v>1.571964528759147E-15</v>
      </c>
      <c r="CN140" s="22">
        <f t="shared" si="120"/>
        <v>1.5486336799455327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1277.6923076923067</v>
      </c>
      <c r="CU140" s="17">
        <f>CT140*VLOOKUP('Données projet'!$B$13,Paramètres!$A$1:$I$89,3,0)*VLOOKUP('Données projet'!$B$13,Paramètres!$A$1:$I$89,5,0)</f>
        <v>614.5699999999996</v>
      </c>
      <c r="CV140" s="13">
        <f t="shared" si="149"/>
        <v>134.13240620831178</v>
      </c>
      <c r="CW140" s="20">
        <f t="shared" si="121"/>
        <v>1303.9900241461421</v>
      </c>
      <c r="CX140" s="59">
        <f t="shared" si="122"/>
        <v>1597.3233574794754</v>
      </c>
      <c r="CY140" s="59">
        <f ca="1">AVERAGE(OFFSET($CX$3,0,0,'Données projet'!$E$13+1,1))-AVERAGE(OFFSET($H$3,0,0,'Données projet'!$E$13+1,1))</f>
        <v>304.15237106473313</v>
      </c>
      <c r="CZ140" s="59">
        <f t="shared" si="150"/>
        <v>120.85458928724336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>
        <f>EXP(-LN(2)/35)*DF139+(1-EXP(-LN(2)/35))/(LN(2)/35)*DB140*DC140*VLOOKUP('Données projet'!$B$13,Paramètres!$A$1:$I$89,3,0)*0.475*44/12</f>
        <v>0</v>
      </c>
      <c r="DG140" s="21">
        <f>EXP(-LN(2)/25)*DG139+(1-EXP(-LN(2)/25))/(LN(2)/25)*Calculateur!DB140*Calculateur!DD140*VLOOKUP('Données projet'!$B$13,Paramètres!$A$1:$I$89,3,0)*0.475*44/12</f>
        <v>0</v>
      </c>
      <c r="DH140" s="21">
        <f>EXP(-LN(2)/2)*DH139+(1-EXP(-LN(2)/2))/(LN(2)/2)*DB140*DE140*VLOOKUP('Données projet'!$B$13,Paramètres!$A$1:$I$89,3,0)*0.475*44/12</f>
        <v>0</v>
      </c>
      <c r="DI140" s="22">
        <f t="shared" si="123"/>
        <v>0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425.38461538461536</v>
      </c>
      <c r="DP140" s="17">
        <f>DO140*VLOOKUP('Données projet'!$B$14,Paramètres!$A$1:$I$89,3,0)*VLOOKUP('Données projet'!$B$14,Paramètres!$A$1:$I$89,5,0)</f>
        <v>204.60999999999999</v>
      </c>
      <c r="DQ140" s="13">
        <f t="shared" si="151"/>
        <v>50.755958577224398</v>
      </c>
      <c r="DR140" s="20">
        <f t="shared" si="124"/>
        <v>444.76237785533249</v>
      </c>
      <c r="DS140" s="59">
        <f t="shared" si="125"/>
        <v>738.09571118866575</v>
      </c>
      <c r="DT140" s="59">
        <f ca="1">AVERAGE(OFFSET($DS$3,0,0,'Données projet'!$E$14+1,1))-AVERAGE(OFFSET($H$3,0,0,'Données projet'!$E$14+1,1))</f>
        <v>91.053246648097399</v>
      </c>
      <c r="DU140" s="59">
        <f t="shared" si="152"/>
        <v>64.716270355703955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>
        <f>EXP(-LN(2)/35)*EA139+(1-EXP(-LN(2)/35))/(LN(2)/35)*DW140*DX140*VLOOKUP('Données projet'!$B$14,Paramètres!$A$1:$I$89,3,0)*0.475*44/12</f>
        <v>0</v>
      </c>
      <c r="EB140" s="21">
        <f>EXP(-LN(2)/25)*EB139+(1-EXP(-LN(2)/25))/(LN(2)/25)*Calculateur!DW140*Calculateur!DY140*VLOOKUP('Données projet'!$B$14,Paramètres!$A$1:$I$89,3,0)*0.475*44/12</f>
        <v>0</v>
      </c>
      <c r="EC140" s="21">
        <f>EXP(-LN(2)/2)*EC139+(1-EXP(-LN(2)/2))/(LN(2)/2)*DW140*DZ140*VLOOKUP('Données projet'!$B$14,Paramètres!$A$1:$I$89,3,0)*0.475*44/12</f>
        <v>0</v>
      </c>
      <c r="ED140" s="22">
        <f t="shared" si="126"/>
        <v>0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553.99999999999955</v>
      </c>
      <c r="EK140" s="17">
        <f>EJ140*VLOOKUP('Données projet'!$B$15,Paramètres!$A$1:$I$89,3,0)*VLOOKUP('Données projet'!$B$15,Paramètres!$A$1:$I$89,5,0)</f>
        <v>331.29199999999975</v>
      </c>
      <c r="EL140" s="13">
        <f t="shared" si="153"/>
        <v>77.698110787752</v>
      </c>
      <c r="EM140" s="20">
        <f t="shared" si="127"/>
        <v>712.32444295533423</v>
      </c>
      <c r="EN140" s="59">
        <f t="shared" si="128"/>
        <v>1005.6577762886675</v>
      </c>
      <c r="EO140" s="59">
        <f ca="1">AVERAGE(OFFSET($EN$3,0,0,'Données projet'!$E$15+1,1))-AVERAGE(OFFSET($H$3,0,0,'Données projet'!$E$15+1,1))</f>
        <v>316.58509520829671</v>
      </c>
      <c r="EP140" s="59">
        <f t="shared" si="154"/>
        <v>240.71332110643596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>
        <f>EXP(-LN(2)/35)*EV139+(1-EXP(-LN(2)/35))/(LN(2)/35)*ER140*ES140*VLOOKUP('Données projet'!$B$15,Paramètres!$A$1:$I$89,3,0)*0.475*44/12</f>
        <v>0.30451500815608629</v>
      </c>
      <c r="EW140" s="21">
        <f>EXP(-LN(2)/25)*EW139+(1-EXP(-LN(2)/25))/(LN(2)/25)*Calculateur!ER140*Calculateur!ET140*VLOOKUP('Données projet'!$B$15,Paramètres!$A$1:$I$89,3,0)*0.475*44/12</f>
        <v>0.78590795621137788</v>
      </c>
      <c r="EX140" s="21">
        <f>EXP(-LN(2)/2)*EX139+(1-EXP(-LN(2)/2))/(LN(2)/2)*ER140*EU140*VLOOKUP('Données projet'!$B$15,Paramètres!$A$1:$I$89,3,0)*0.475*44/12</f>
        <v>1.7223398551452209E-15</v>
      </c>
      <c r="EY140" s="22">
        <f t="shared" si="129"/>
        <v>1.0904229643674659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497</v>
      </c>
      <c r="FF140" s="17">
        <f>FE140*VLOOKUP('Données projet'!$B$16,Paramètres!$A$1:$I$89,3,0)*VLOOKUP('Données projet'!$B$16,Paramètres!$A$1:$I$89,5,0)</f>
        <v>297.20600000000002</v>
      </c>
      <c r="FG140" s="13">
        <f t="shared" si="155"/>
        <v>70.590415164571112</v>
      </c>
      <c r="FH140" s="20">
        <f t="shared" si="130"/>
        <v>640.57875641162809</v>
      </c>
      <c r="FI140" s="59">
        <f t="shared" si="131"/>
        <v>933.91208974496135</v>
      </c>
      <c r="FJ140" s="59">
        <f ca="1">AVERAGE(OFFSET($FI$3,0,0,'Données projet'!$E$16+1,1))-AVERAGE(OFFSET($H$3,0,0,'Données projet'!$E$16+1,1))</f>
        <v>270.30888762640245</v>
      </c>
      <c r="FK140" s="59">
        <f t="shared" si="156"/>
        <v>202.23783851977691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>
        <f>EXP(-LN(2)/35)*FQ139+(1-EXP(-LN(2)/35))/(LN(2)/35)*FM140*FN140*VLOOKUP('Données projet'!$B$16,Paramètres!$A$1:$I$89,3,0)*0.475*44/12</f>
        <v>0.25733662661077689</v>
      </c>
      <c r="FR140" s="21">
        <f>EXP(-LN(2)/25)*FR139+(1-EXP(-LN(2)/25))/(LN(2)/25)*Calculateur!FM140*Calculateur!FO140*VLOOKUP('Données projet'!$B$16,Paramètres!$A$1:$I$89,3,0)*0.475*44/12</f>
        <v>0.63288893788077105</v>
      </c>
      <c r="FS140" s="21">
        <f>EXP(-LN(2)/2)*FS139+(1-EXP(-LN(2)/2))/(LN(2)/2)*FM140*FP140*VLOOKUP('Données projet'!$B$16,Paramètres!$A$1:$I$89,3,0)*0.475*44/12</f>
        <v>1.4517552641497864E-15</v>
      </c>
      <c r="FT140" s="22">
        <f t="shared" si="132"/>
        <v>0.89022556449154944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-5.1159076974727213E-13</v>
      </c>
      <c r="GA140" s="17">
        <f>FZ140*VLOOKUP('Données projet'!$B$17,Paramètres!$A$1:$I$89,3,0)*VLOOKUP('Données projet'!$B$17,Paramètres!$A$1:$I$89,5,0)</f>
        <v>-4.0702161641092972E-13</v>
      </c>
      <c r="GB140" s="13" t="e">
        <f t="shared" si="157"/>
        <v>#NUM!</v>
      </c>
      <c r="GC140" s="20" t="e">
        <f t="shared" si="133"/>
        <v>#NUM!</v>
      </c>
      <c r="GD140" s="59" t="e">
        <f t="shared" si="134"/>
        <v>#NUM!</v>
      </c>
      <c r="GE140" s="59">
        <f ca="1">AVERAGE(OFFSET($GD$3,0,0,'Données projet'!$E$17+1,1))-AVERAGE(OFFSET($H$3,0,0,'Données projet'!$E$17+1,1))</f>
        <v>260.20517190557814</v>
      </c>
      <c r="GF140" s="59">
        <f t="shared" si="158"/>
        <v>307.22009971147133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>
        <f>EXP(-LN(2)/35)*GL139+(1-EXP(-LN(2)/35))/(LN(2)/35)*GH140*GI140*VLOOKUP('Données projet'!$B$17,Paramètres!$A$1:$I$89,3,0)*0.475*44/12</f>
        <v>0.39203432464593507</v>
      </c>
      <c r="GM140" s="21">
        <f>EXP(-LN(2)/25)*GM139+(1-EXP(-LN(2)/25))/(LN(2)/25)*Calculateur!GH140*Calculateur!GJ140*VLOOKUP('Données projet'!$B$17,Paramètres!$A$1:$I$89,3,0)*0.475*44/12</f>
        <v>1.0562350301276267</v>
      </c>
      <c r="GN140" s="21">
        <f>EXP(-LN(2)/2)*GN139+(1-EXP(-LN(2)/2))/(LN(2)/2)*GH140*GK140*VLOOKUP('Données projet'!$B$17,Paramètres!$A$1:$I$89,3,0)*0.475*44/12</f>
        <v>1.8871753197147586E-15</v>
      </c>
      <c r="GO140" s="21">
        <f t="shared" si="135"/>
        <v>1.4482693547735634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5.6843418860808015E-14</v>
      </c>
      <c r="GV140" s="17">
        <f>GU140*VLOOKUP('Données projet'!$B$18,Paramètres!$A$1:$I$89,3,0)*VLOOKUP('Données projet'!$B$18,Paramètres!$A$1:$I$89,5,0)</f>
        <v>4.5224624045658861E-14</v>
      </c>
      <c r="GW140" s="13">
        <f t="shared" si="159"/>
        <v>7.4514601661523691E-13</v>
      </c>
      <c r="GX140" s="20">
        <f t="shared" si="136"/>
        <v>1.3765621991510601E-12</v>
      </c>
      <c r="GY140" s="59">
        <f t="shared" si="137"/>
        <v>293.33333333333468</v>
      </c>
      <c r="GZ140" s="59">
        <f ca="1">AVERAGE(OFFSET($GY$3,0,0,'Données projet'!$E$18+1,1))-AVERAGE(OFFSET($H$3,0,0,'Données projet'!$E$18+1,1))</f>
        <v>199.58763537752952</v>
      </c>
      <c r="HA140" s="59">
        <f t="shared" si="160"/>
        <v>242.62852778451929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>
        <f>EXP(-LN(2)/35)*HG139+(1-EXP(-LN(2)/35))/(LN(2)/35)*HC140*HD140*VLOOKUP('Données projet'!$B$18,Paramètres!$A$1:$I$89,3,0)*0.475*44/12</f>
        <v>0</v>
      </c>
      <c r="HH140" s="21">
        <f>EXP(-LN(2)/25)*HH139+(1-EXP(-LN(2)/25))/(LN(2)/25)*Calculateur!HC140*Calculateur!HE140*VLOOKUP('Données projet'!$B$18,Paramètres!$A$1:$I$89,3,0)*0.475*44/12</f>
        <v>0.5293104406863377</v>
      </c>
      <c r="HI140" s="21">
        <f>EXP(-LN(2)/2)*HI139+(1-EXP(-LN(2)/2))/(LN(2)/2)*HC140*HF140*VLOOKUP('Données projet'!$B$18,Paramètres!$A$1:$I$89,3,0)*0.475*44/12</f>
        <v>8.4483208384400755E-16</v>
      </c>
      <c r="HJ140" s="22">
        <f t="shared" si="138"/>
        <v>0.52931044068633859</v>
      </c>
    </row>
    <row r="141" spans="1:218" x14ac:dyDescent="0.2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122.70960000000024</v>
      </c>
      <c r="D141" s="11">
        <f t="shared" si="140"/>
        <v>32.306145387002346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1196.6127714084412</v>
      </c>
      <c r="H141" s="67">
        <f t="shared" si="110"/>
        <v>563.31908988236285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-2.2737367544323206E-13</v>
      </c>
      <c r="O141" s="13">
        <f>N141*VLOOKUP('Données projet'!$B$9,Paramètres!$A$1:$I$89,3,0)*VLOOKUP('Données projet'!$B$9,Paramètres!$A$1:$I$89,5,0)</f>
        <v>-1.2710188457276673E-13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255.5374979188561</v>
      </c>
      <c r="T141" s="59">
        <f t="shared" si="142"/>
        <v>343.10418468620901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0.36397509013415219</v>
      </c>
      <c r="AA141" s="21">
        <f>EXP(-LN(2)/25)*AA140+(1-EXP(-LN(2)/25))/(LN(2)/25)*Calculateur!V141*Calculateur!X141*VLOOKUP('Données projet'!$B$9,Paramètres!$A$1:$I$89,3,0)*0.475*44/12</f>
        <v>0.79908017673640419</v>
      </c>
      <c r="AB141" s="21">
        <f>EXP(-LN(2)/2)*AB140+(1-EXP(-LN(2)/2))/(LN(2)/2)*V141*Y141*VLOOKUP('Données projet'!$B$9,Paramètres!$A$1:$I$89,3,0)*0.475*44/12</f>
        <v>9.3961065564477699E-17</v>
      </c>
      <c r="AC141" s="22">
        <f t="shared" si="111"/>
        <v>1.1630552668705563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1.1368683772161603E-13</v>
      </c>
      <c r="AJ141" s="13">
        <f>AI141*VLOOKUP('Données projet'!$B$10,Paramètres!$A$1:$I$89,3,0)*VLOOKUP('Données projet'!$B$10,Paramètres!$A$1:$I$89,5,0)</f>
        <v>6.3550942286383367E-14</v>
      </c>
      <c r="AK141" s="13">
        <f t="shared" si="143"/>
        <v>1.0064464192543978E-12</v>
      </c>
      <c r="AL141" s="20">
        <f t="shared" si="112"/>
        <v>1.8635787380168604E-12</v>
      </c>
      <c r="AM141" s="59">
        <f t="shared" si="113"/>
        <v>293.33333333333519</v>
      </c>
      <c r="AN141" s="59">
        <f ca="1">AVERAGE(OFFSET($AM$3,0,0,'Données projet'!$E$10+1,1))-AVERAGE(OFFSET($H$3,0,0,'Données projet'!$E$10+1,1))</f>
        <v>224.7049802939942</v>
      </c>
      <c r="AO141" s="59">
        <f t="shared" si="144"/>
        <v>203.48513862195352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0.26280780364978817</v>
      </c>
      <c r="AV141" s="21">
        <f>EXP(-LN(2)/25)*AV140+(1-EXP(-LN(2)/25))/(LN(2)/25)*Calculateur!AQ141*Calculateur!AS141*VLOOKUP('Données projet'!$B$10,Paramètres!$A$1:$I$89,3,0)*0.475*44/12</f>
        <v>0.97753193026978857</v>
      </c>
      <c r="AW141" s="21">
        <f>EXP(-LN(2)/2)*AW140+(1-EXP(-LN(2)/2))/(LN(2)/2)*AQ141*AT141*VLOOKUP('Données projet'!$B$10,Paramètres!$A$1:$I$89,3,0)*0.475*44/12</f>
        <v>4.9741392066859927E-16</v>
      </c>
      <c r="AX141" s="21">
        <f t="shared" si="114"/>
        <v>1.2403397339195772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>
        <f>BD141*VLOOKUP('Données projet'!$B$11,Paramètres!$A$1:$I$89,3,0)*VLOOKUP('Données projet'!$B$11,Paramètres!$A$1:$I$89,5,0)</f>
        <v>0</v>
      </c>
      <c r="BF141" s="13" t="e">
        <f t="shared" si="145"/>
        <v>#NUM!</v>
      </c>
      <c r="BG141" s="20" t="e">
        <f t="shared" si="115"/>
        <v>#NUM!</v>
      </c>
      <c r="BH141" s="59" t="e">
        <f t="shared" si="116"/>
        <v>#NUM!</v>
      </c>
      <c r="BI141" s="59">
        <f ca="1">AVERAGE(OFFSET($BH$3,0,0,'Données projet'!$E$11+1,1))-AVERAGE(OFFSET($H$3,0,0,'Données projet'!$E$11+1,1))</f>
        <v>210.04871822652808</v>
      </c>
      <c r="BJ141" s="59">
        <f t="shared" si="146"/>
        <v>250.17540614049324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0.85998123156983486</v>
      </c>
      <c r="BQ141" s="21">
        <f>EXP(-LN(2)/25)*BQ140+(1-EXP(-LN(2)/25))/(LN(2)/25)*Calculateur!BL141*Calculateur!BN141*VLOOKUP('Données projet'!$B$11,Paramètres!$A$1:$I$89,3,0)*0.475*44/12</f>
        <v>1.3933966452558011</v>
      </c>
      <c r="BR141" s="21">
        <f>EXP(-LN(2)/2)*BR140+(1-EXP(-LN(2)/2))/(LN(2)/2)*BL141*BO141*VLOOKUP('Données projet'!$B$11,Paramètres!$A$1:$I$89,3,0)*0.475*44/12</f>
        <v>1.1964811773208351E-15</v>
      </c>
      <c r="BS141" s="22">
        <f t="shared" si="117"/>
        <v>2.2533778768256374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2.2737367544323206E-13</v>
      </c>
      <c r="BZ141" s="13">
        <f>BY141*VLOOKUP('Données projet'!$B$12,Paramètres!$A$1:$I$89,3,0)*VLOOKUP('Données projet'!$B$12,Paramètres!$A$1:$I$89,5,0)</f>
        <v>1.2414602679200471E-13</v>
      </c>
      <c r="CA141" s="13">
        <f t="shared" si="147"/>
        <v>1.8186582995804361E-12</v>
      </c>
      <c r="CB141" s="20">
        <f t="shared" si="118"/>
        <v>3.3837175350986671E-12</v>
      </c>
      <c r="CC141" s="59">
        <f t="shared" si="119"/>
        <v>293.33333333333672</v>
      </c>
      <c r="CD141" s="59">
        <f ca="1">AVERAGE(OFFSET($CC$3,0,0,'Données projet'!$E$12+1,1))-AVERAGE(OFFSET($H$3,0,0,'Données projet'!$E$12+1,1))</f>
        <v>168.72306536277267</v>
      </c>
      <c r="CE141" s="59">
        <f t="shared" si="148"/>
        <v>203.35476578922339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0.35832551315409783</v>
      </c>
      <c r="CL141" s="21">
        <f>EXP(-LN(2)/25)*CL140+(1-EXP(-LN(2)/25))/(LN(2)/25)*Calculateur!CG141*Calculateur!CI141*VLOOKUP('Données projet'!$B$12,Paramètres!$A$1:$I$89,3,0)*0.475*44/12</f>
        <v>1.1507880247849918</v>
      </c>
      <c r="CM141" s="21">
        <f>EXP(-LN(2)/2)*CM140+(1-EXP(-LN(2)/2))/(LN(2)/2)*CG141*CJ141*VLOOKUP('Données projet'!$B$12,Paramètres!$A$1:$I$89,3,0)*0.475*44/12</f>
        <v>1.1115467780703084E-15</v>
      </c>
      <c r="CN141" s="22">
        <f t="shared" si="120"/>
        <v>1.5091135379390908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1277.6923076923067</v>
      </c>
      <c r="CU141" s="17">
        <f>CT141*VLOOKUP('Données projet'!$B$13,Paramètres!$A$1:$I$89,3,0)*VLOOKUP('Données projet'!$B$13,Paramètres!$A$1:$I$89,5,0)</f>
        <v>614.5699999999996</v>
      </c>
      <c r="CV141" s="13">
        <f t="shared" si="149"/>
        <v>134.13240620831178</v>
      </c>
      <c r="CW141" s="20">
        <f t="shared" si="121"/>
        <v>1303.9900241461421</v>
      </c>
      <c r="CX141" s="59">
        <f t="shared" si="122"/>
        <v>1597.3233574794754</v>
      </c>
      <c r="CY141" s="59">
        <f ca="1">AVERAGE(OFFSET($CX$3,0,0,'Données projet'!$E$13+1,1))-AVERAGE(OFFSET($H$3,0,0,'Données projet'!$E$13+1,1))</f>
        <v>304.15237106473313</v>
      </c>
      <c r="CZ141" s="59">
        <f t="shared" si="150"/>
        <v>120.85458928724336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>
        <f>EXP(-LN(2)/35)*DF140+(1-EXP(-LN(2)/35))/(LN(2)/35)*DB141*DC141*VLOOKUP('Données projet'!$B$13,Paramètres!$A$1:$I$89,3,0)*0.475*44/12</f>
        <v>0</v>
      </c>
      <c r="DG141" s="21">
        <f>EXP(-LN(2)/25)*DG140+(1-EXP(-LN(2)/25))/(LN(2)/25)*Calculateur!DB141*Calculateur!DD141*VLOOKUP('Données projet'!$B$13,Paramètres!$A$1:$I$89,3,0)*0.475*44/12</f>
        <v>0</v>
      </c>
      <c r="DH141" s="21">
        <f>EXP(-LN(2)/2)*DH140+(1-EXP(-LN(2)/2))/(LN(2)/2)*DB141*DE141*VLOOKUP('Données projet'!$B$13,Paramètres!$A$1:$I$89,3,0)*0.475*44/12</f>
        <v>0</v>
      </c>
      <c r="DI141" s="22">
        <f t="shared" si="123"/>
        <v>0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425.38461538461536</v>
      </c>
      <c r="DP141" s="17">
        <f>DO141*VLOOKUP('Données projet'!$B$14,Paramètres!$A$1:$I$89,3,0)*VLOOKUP('Données projet'!$B$14,Paramètres!$A$1:$I$89,5,0)</f>
        <v>204.60999999999999</v>
      </c>
      <c r="DQ141" s="13">
        <f t="shared" si="151"/>
        <v>50.755958577224398</v>
      </c>
      <c r="DR141" s="20">
        <f t="shared" si="124"/>
        <v>444.76237785533249</v>
      </c>
      <c r="DS141" s="59">
        <f t="shared" si="125"/>
        <v>738.09571118866575</v>
      </c>
      <c r="DT141" s="59">
        <f ca="1">AVERAGE(OFFSET($DS$3,0,0,'Données projet'!$E$14+1,1))-AVERAGE(OFFSET($H$3,0,0,'Données projet'!$E$14+1,1))</f>
        <v>91.053246648097399</v>
      </c>
      <c r="DU141" s="59">
        <f t="shared" si="152"/>
        <v>64.716270355703955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>
        <f>EXP(-LN(2)/35)*EA140+(1-EXP(-LN(2)/35))/(LN(2)/35)*DW141*DX141*VLOOKUP('Données projet'!$B$14,Paramètres!$A$1:$I$89,3,0)*0.475*44/12</f>
        <v>0</v>
      </c>
      <c r="EB141" s="21">
        <f>EXP(-LN(2)/25)*EB140+(1-EXP(-LN(2)/25))/(LN(2)/25)*Calculateur!DW141*Calculateur!DY141*VLOOKUP('Données projet'!$B$14,Paramètres!$A$1:$I$89,3,0)*0.475*44/12</f>
        <v>0</v>
      </c>
      <c r="EC141" s="21">
        <f>EXP(-LN(2)/2)*EC140+(1-EXP(-LN(2)/2))/(LN(2)/2)*DW141*DZ141*VLOOKUP('Données projet'!$B$14,Paramètres!$A$1:$I$89,3,0)*0.475*44/12</f>
        <v>0</v>
      </c>
      <c r="ED141" s="22">
        <f t="shared" si="126"/>
        <v>0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553.99999999999955</v>
      </c>
      <c r="EK141" s="17">
        <f>EJ141*VLOOKUP('Données projet'!$B$15,Paramètres!$A$1:$I$89,3,0)*VLOOKUP('Données projet'!$B$15,Paramètres!$A$1:$I$89,5,0)</f>
        <v>331.29199999999975</v>
      </c>
      <c r="EL141" s="13">
        <f t="shared" si="153"/>
        <v>77.698110787752</v>
      </c>
      <c r="EM141" s="20">
        <f t="shared" si="127"/>
        <v>712.32444295533423</v>
      </c>
      <c r="EN141" s="59">
        <f t="shared" si="128"/>
        <v>1005.6577762886675</v>
      </c>
      <c r="EO141" s="59">
        <f ca="1">AVERAGE(OFFSET($EN$3,0,0,'Données projet'!$E$15+1,1))-AVERAGE(OFFSET($H$3,0,0,'Données projet'!$E$15+1,1))</f>
        <v>316.58509520829671</v>
      </c>
      <c r="EP141" s="59">
        <f t="shared" si="154"/>
        <v>240.71332110643596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>
        <f>EXP(-LN(2)/35)*EV140+(1-EXP(-LN(2)/35))/(LN(2)/35)*ER141*ES141*VLOOKUP('Données projet'!$B$15,Paramètres!$A$1:$I$89,3,0)*0.475*44/12</f>
        <v>0.29854365458196053</v>
      </c>
      <c r="EW141" s="21">
        <f>EXP(-LN(2)/25)*EW140+(1-EXP(-LN(2)/25))/(LN(2)/25)*Calculateur!ER141*Calculateur!ET141*VLOOKUP('Données projet'!$B$15,Paramètres!$A$1:$I$89,3,0)*0.475*44/12</f>
        <v>0.76441726181967451</v>
      </c>
      <c r="EX141" s="21">
        <f>EXP(-LN(2)/2)*EX140+(1-EXP(-LN(2)/2))/(LN(2)/2)*ER141*EU141*VLOOKUP('Données projet'!$B$15,Paramètres!$A$1:$I$89,3,0)*0.475*44/12</f>
        <v>1.2178781910810417E-15</v>
      </c>
      <c r="EY141" s="22">
        <f t="shared" si="129"/>
        <v>1.062960916401636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497</v>
      </c>
      <c r="FF141" s="17">
        <f>FE141*VLOOKUP('Données projet'!$B$16,Paramètres!$A$1:$I$89,3,0)*VLOOKUP('Données projet'!$B$16,Paramètres!$A$1:$I$89,5,0)</f>
        <v>297.20600000000002</v>
      </c>
      <c r="FG141" s="13">
        <f t="shared" si="155"/>
        <v>70.590415164571112</v>
      </c>
      <c r="FH141" s="20">
        <f t="shared" si="130"/>
        <v>640.57875641162809</v>
      </c>
      <c r="FI141" s="59">
        <f t="shared" si="131"/>
        <v>933.91208974496135</v>
      </c>
      <c r="FJ141" s="59">
        <f ca="1">AVERAGE(OFFSET($FI$3,0,0,'Données projet'!$E$16+1,1))-AVERAGE(OFFSET($H$3,0,0,'Données projet'!$E$16+1,1))</f>
        <v>270.30888762640245</v>
      </c>
      <c r="FK141" s="59">
        <f t="shared" si="156"/>
        <v>202.23783851977691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>
        <f>EXP(-LN(2)/35)*FQ140+(1-EXP(-LN(2)/35))/(LN(2)/35)*FM141*FN141*VLOOKUP('Données projet'!$B$16,Paramètres!$A$1:$I$89,3,0)*0.475*44/12</f>
        <v>0.25229041232278326</v>
      </c>
      <c r="FR141" s="21">
        <f>EXP(-LN(2)/25)*FR140+(1-EXP(-LN(2)/25))/(LN(2)/25)*Calculateur!FM141*Calculateur!FO141*VLOOKUP('Données projet'!$B$16,Paramètres!$A$1:$I$89,3,0)*0.475*44/12</f>
        <v>0.61558255659223859</v>
      </c>
      <c r="FS141" s="21">
        <f>EXP(-LN(2)/2)*FS140+(1-EXP(-LN(2)/2))/(LN(2)/2)*FM141*FP141*VLOOKUP('Données projet'!$B$16,Paramètres!$A$1:$I$89,3,0)*0.475*44/12</f>
        <v>1.0265459919035815E-15</v>
      </c>
      <c r="FT141" s="22">
        <f t="shared" si="132"/>
        <v>0.86787296891502286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-5.1159076974727213E-13</v>
      </c>
      <c r="GA141" s="17">
        <f>FZ141*VLOOKUP('Données projet'!$B$17,Paramètres!$A$1:$I$89,3,0)*VLOOKUP('Données projet'!$B$17,Paramètres!$A$1:$I$89,5,0)</f>
        <v>-4.0702161641092972E-13</v>
      </c>
      <c r="GB141" s="13" t="e">
        <f t="shared" si="157"/>
        <v>#NUM!</v>
      </c>
      <c r="GC141" s="20" t="e">
        <f t="shared" si="133"/>
        <v>#NUM!</v>
      </c>
      <c r="GD141" s="59" t="e">
        <f t="shared" si="134"/>
        <v>#NUM!</v>
      </c>
      <c r="GE141" s="59">
        <f ca="1">AVERAGE(OFFSET($GD$3,0,0,'Données projet'!$E$17+1,1))-AVERAGE(OFFSET($H$3,0,0,'Données projet'!$E$17+1,1))</f>
        <v>260.20517190557814</v>
      </c>
      <c r="GF141" s="59">
        <f t="shared" si="158"/>
        <v>307.22009971147133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>
        <f>EXP(-LN(2)/35)*GL140+(1-EXP(-LN(2)/35))/(LN(2)/35)*GH141*GI141*VLOOKUP('Données projet'!$B$17,Paramètres!$A$1:$I$89,3,0)*0.475*44/12</f>
        <v>0.38434677065695544</v>
      </c>
      <c r="GM141" s="21">
        <f>EXP(-LN(2)/25)*GM140+(1-EXP(-LN(2)/25))/(LN(2)/25)*Calculateur!GH141*Calculateur!GJ141*VLOOKUP('Données projet'!$B$17,Paramètres!$A$1:$I$89,3,0)*0.475*44/12</f>
        <v>1.0273522276838005</v>
      </c>
      <c r="GN141" s="21">
        <f>EXP(-LN(2)/2)*GN140+(1-EXP(-LN(2)/2))/(LN(2)/2)*GH141*GK141*VLOOKUP('Données projet'!$B$17,Paramètres!$A$1:$I$89,3,0)*0.475*44/12</f>
        <v>1.3344344658581967E-15</v>
      </c>
      <c r="GO141" s="21">
        <f t="shared" si="135"/>
        <v>1.4116989983407573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5.6843418860808015E-14</v>
      </c>
      <c r="GV141" s="17">
        <f>GU141*VLOOKUP('Données projet'!$B$18,Paramètres!$A$1:$I$89,3,0)*VLOOKUP('Données projet'!$B$18,Paramètres!$A$1:$I$89,5,0)</f>
        <v>4.5224624045658861E-14</v>
      </c>
      <c r="GW141" s="13">
        <f t="shared" si="159"/>
        <v>7.4514601661523691E-13</v>
      </c>
      <c r="GX141" s="20">
        <f t="shared" si="136"/>
        <v>1.3765621991510601E-12</v>
      </c>
      <c r="GY141" s="59">
        <f t="shared" si="137"/>
        <v>293.33333333333468</v>
      </c>
      <c r="GZ141" s="59">
        <f ca="1">AVERAGE(OFFSET($GY$3,0,0,'Données projet'!$E$18+1,1))-AVERAGE(OFFSET($H$3,0,0,'Données projet'!$E$18+1,1))</f>
        <v>199.58763537752952</v>
      </c>
      <c r="HA141" s="59">
        <f t="shared" si="160"/>
        <v>242.62852778451929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>
        <f>EXP(-LN(2)/35)*HG140+(1-EXP(-LN(2)/35))/(LN(2)/35)*HC141*HD141*VLOOKUP('Données projet'!$B$18,Paramètres!$A$1:$I$89,3,0)*0.475*44/12</f>
        <v>0</v>
      </c>
      <c r="HH141" s="21">
        <f>EXP(-LN(2)/25)*HH140+(1-EXP(-LN(2)/25))/(LN(2)/25)*Calculateur!HC141*Calculateur!HE141*VLOOKUP('Données projet'!$B$18,Paramètres!$A$1:$I$89,3,0)*0.475*44/12</f>
        <v>0.51483641885054343</v>
      </c>
      <c r="HI141" s="21">
        <f>EXP(-LN(2)/2)*HI140+(1-EXP(-LN(2)/2))/(LN(2)/2)*HC141*HF141*VLOOKUP('Données projet'!$B$18,Paramètres!$A$1:$I$89,3,0)*0.475*44/12</f>
        <v>5.9738649545005961E-16</v>
      </c>
      <c r="HJ141" s="22">
        <f t="shared" si="138"/>
        <v>0.51483641885054399</v>
      </c>
    </row>
    <row r="142" spans="1:218" x14ac:dyDescent="0.2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123.59880000000024</v>
      </c>
      <c r="D142" s="11">
        <f t="shared" si="140"/>
        <v>32.512911354837613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1205.0728595812045</v>
      </c>
      <c r="H142" s="67">
        <f t="shared" si="110"/>
        <v>565.22789727634256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-2.2737367544323206E-13</v>
      </c>
      <c r="O142" s="13">
        <f>N142*VLOOKUP('Données projet'!$B$9,Paramètres!$A$1:$I$89,3,0)*VLOOKUP('Données projet'!$B$9,Paramètres!$A$1:$I$89,5,0)</f>
        <v>-1.2710188457276673E-13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255.5374979188561</v>
      </c>
      <c r="T142" s="59">
        <f t="shared" si="142"/>
        <v>343.10418468620901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0.35683776061950551</v>
      </c>
      <c r="AA142" s="21">
        <f>EXP(-LN(2)/25)*AA141+(1-EXP(-LN(2)/25))/(LN(2)/25)*Calculateur!V142*Calculateur!X142*VLOOKUP('Données projet'!$B$9,Paramètres!$A$1:$I$89,3,0)*0.475*44/12</f>
        <v>0.77722928728174701</v>
      </c>
      <c r="AB142" s="21">
        <f>EXP(-LN(2)/2)*AB141+(1-EXP(-LN(2)/2))/(LN(2)/2)*V142*Y142*VLOOKUP('Données projet'!$B$9,Paramètres!$A$1:$I$89,3,0)*0.475*44/12</f>
        <v>6.6440506628155977E-17</v>
      </c>
      <c r="AC142" s="22">
        <f t="shared" si="111"/>
        <v>1.1340670479012525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1.1368683772161603E-13</v>
      </c>
      <c r="AJ142" s="13">
        <f>AI142*VLOOKUP('Données projet'!$B$10,Paramètres!$A$1:$I$89,3,0)*VLOOKUP('Données projet'!$B$10,Paramètres!$A$1:$I$89,5,0)</f>
        <v>6.3550942286383367E-14</v>
      </c>
      <c r="AK142" s="13">
        <f t="shared" si="143"/>
        <v>1.0064464192543978E-12</v>
      </c>
      <c r="AL142" s="20">
        <f t="shared" si="112"/>
        <v>1.8635787380168604E-12</v>
      </c>
      <c r="AM142" s="59">
        <f t="shared" si="113"/>
        <v>293.33333333333519</v>
      </c>
      <c r="AN142" s="59">
        <f ca="1">AVERAGE(OFFSET($AM$3,0,0,'Données projet'!$E$10+1,1))-AVERAGE(OFFSET($H$3,0,0,'Données projet'!$E$10+1,1))</f>
        <v>224.7049802939942</v>
      </c>
      <c r="AO142" s="59">
        <f t="shared" si="144"/>
        <v>203.48513862195352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0.25765430291714803</v>
      </c>
      <c r="AV142" s="21">
        <f>EXP(-LN(2)/25)*AV141+(1-EXP(-LN(2)/25))/(LN(2)/25)*Calculateur!AQ142*Calculateur!AS142*VLOOKUP('Données projet'!$B$10,Paramètres!$A$1:$I$89,3,0)*0.475*44/12</f>
        <v>0.95080126823039113</v>
      </c>
      <c r="AW142" s="21">
        <f>EXP(-LN(2)/2)*AW141+(1-EXP(-LN(2)/2))/(LN(2)/2)*AQ142*AT142*VLOOKUP('Données projet'!$B$10,Paramètres!$A$1:$I$89,3,0)*0.475*44/12</f>
        <v>3.5172475636135393E-16</v>
      </c>
      <c r="AX142" s="21">
        <f t="shared" si="114"/>
        <v>1.2084555711475395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>
        <f>BD142*VLOOKUP('Données projet'!$B$11,Paramètres!$A$1:$I$89,3,0)*VLOOKUP('Données projet'!$B$11,Paramètres!$A$1:$I$89,5,0)</f>
        <v>0</v>
      </c>
      <c r="BF142" s="13" t="e">
        <f t="shared" si="145"/>
        <v>#NUM!</v>
      </c>
      <c r="BG142" s="20" t="e">
        <f t="shared" si="115"/>
        <v>#NUM!</v>
      </c>
      <c r="BH142" s="59" t="e">
        <f t="shared" si="116"/>
        <v>#NUM!</v>
      </c>
      <c r="BI142" s="59">
        <f ca="1">AVERAGE(OFFSET($BH$3,0,0,'Données projet'!$E$11+1,1))-AVERAGE(OFFSET($H$3,0,0,'Données projet'!$E$11+1,1))</f>
        <v>210.04871822652808</v>
      </c>
      <c r="BJ142" s="59">
        <f t="shared" si="146"/>
        <v>250.17540614049324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0.843117524155508</v>
      </c>
      <c r="BQ142" s="21">
        <f>EXP(-LN(2)/25)*BQ141+(1-EXP(-LN(2)/25))/(LN(2)/25)*Calculateur!BL142*Calculateur!BN142*VLOOKUP('Données projet'!$B$11,Paramètres!$A$1:$I$89,3,0)*0.475*44/12</f>
        <v>1.3552941407157364</v>
      </c>
      <c r="BR142" s="21">
        <f>EXP(-LN(2)/2)*BR141+(1-EXP(-LN(2)/2))/(LN(2)/2)*BL142*BO142*VLOOKUP('Données projet'!$B$11,Paramètres!$A$1:$I$89,3,0)*0.475*44/12</f>
        <v>8.4603995404562656E-16</v>
      </c>
      <c r="BS142" s="22">
        <f t="shared" si="117"/>
        <v>2.1984116648712453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2.2737367544323206E-13</v>
      </c>
      <c r="BZ142" s="13">
        <f>BY142*VLOOKUP('Données projet'!$B$12,Paramètres!$A$1:$I$89,3,0)*VLOOKUP('Données projet'!$B$12,Paramètres!$A$1:$I$89,5,0)</f>
        <v>1.2414602679200471E-13</v>
      </c>
      <c r="CA142" s="13">
        <f t="shared" si="147"/>
        <v>1.8186582995804361E-12</v>
      </c>
      <c r="CB142" s="20">
        <f t="shared" si="118"/>
        <v>3.3837175350986671E-12</v>
      </c>
      <c r="CC142" s="59">
        <f t="shared" si="119"/>
        <v>293.33333333333672</v>
      </c>
      <c r="CD142" s="59">
        <f ca="1">AVERAGE(OFFSET($CC$3,0,0,'Données projet'!$E$12+1,1))-AVERAGE(OFFSET($H$3,0,0,'Données projet'!$E$12+1,1))</f>
        <v>168.72306536277267</v>
      </c>
      <c r="CE142" s="59">
        <f t="shared" si="148"/>
        <v>203.35476578922339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0.3512989683981283</v>
      </c>
      <c r="CL142" s="21">
        <f>EXP(-LN(2)/25)*CL141+(1-EXP(-LN(2)/25))/(LN(2)/25)*Calculateur!CG142*Calculateur!CI142*VLOOKUP('Données projet'!$B$12,Paramètres!$A$1:$I$89,3,0)*0.475*44/12</f>
        <v>1.119319665729934</v>
      </c>
      <c r="CM142" s="21">
        <f>EXP(-LN(2)/2)*CM141+(1-EXP(-LN(2)/2))/(LN(2)/2)*CG142*CJ142*VLOOKUP('Données projet'!$B$12,Paramètres!$A$1:$I$89,3,0)*0.475*44/12</f>
        <v>7.8598226437957351E-16</v>
      </c>
      <c r="CN142" s="22">
        <f t="shared" si="120"/>
        <v>1.4706186341280632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1277.6923076923067</v>
      </c>
      <c r="CU142" s="17">
        <f>CT142*VLOOKUP('Données projet'!$B$13,Paramètres!$A$1:$I$89,3,0)*VLOOKUP('Données projet'!$B$13,Paramètres!$A$1:$I$89,5,0)</f>
        <v>614.5699999999996</v>
      </c>
      <c r="CV142" s="13">
        <f t="shared" si="149"/>
        <v>134.13240620831178</v>
      </c>
      <c r="CW142" s="20">
        <f t="shared" si="121"/>
        <v>1303.9900241461421</v>
      </c>
      <c r="CX142" s="59">
        <f t="shared" si="122"/>
        <v>1597.3233574794754</v>
      </c>
      <c r="CY142" s="59">
        <f ca="1">AVERAGE(OFFSET($CX$3,0,0,'Données projet'!$E$13+1,1))-AVERAGE(OFFSET($H$3,0,0,'Données projet'!$E$13+1,1))</f>
        <v>304.15237106473313</v>
      </c>
      <c r="CZ142" s="59">
        <f t="shared" si="150"/>
        <v>120.85458928724336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>
        <f>EXP(-LN(2)/35)*DF141+(1-EXP(-LN(2)/35))/(LN(2)/35)*DB142*DC142*VLOOKUP('Données projet'!$B$13,Paramètres!$A$1:$I$89,3,0)*0.475*44/12</f>
        <v>0</v>
      </c>
      <c r="DG142" s="21">
        <f>EXP(-LN(2)/25)*DG141+(1-EXP(-LN(2)/25))/(LN(2)/25)*Calculateur!DB142*Calculateur!DD142*VLOOKUP('Données projet'!$B$13,Paramètres!$A$1:$I$89,3,0)*0.475*44/12</f>
        <v>0</v>
      </c>
      <c r="DH142" s="21">
        <f>EXP(-LN(2)/2)*DH141+(1-EXP(-LN(2)/2))/(LN(2)/2)*DB142*DE142*VLOOKUP('Données projet'!$B$13,Paramètres!$A$1:$I$89,3,0)*0.475*44/12</f>
        <v>0</v>
      </c>
      <c r="DI142" s="22">
        <f t="shared" si="123"/>
        <v>0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425.38461538461536</v>
      </c>
      <c r="DP142" s="17">
        <f>DO142*VLOOKUP('Données projet'!$B$14,Paramètres!$A$1:$I$89,3,0)*VLOOKUP('Données projet'!$B$14,Paramètres!$A$1:$I$89,5,0)</f>
        <v>204.60999999999999</v>
      </c>
      <c r="DQ142" s="13">
        <f t="shared" si="151"/>
        <v>50.755958577224398</v>
      </c>
      <c r="DR142" s="20">
        <f t="shared" si="124"/>
        <v>444.76237785533249</v>
      </c>
      <c r="DS142" s="59">
        <f t="shared" si="125"/>
        <v>738.09571118866575</v>
      </c>
      <c r="DT142" s="59">
        <f ca="1">AVERAGE(OFFSET($DS$3,0,0,'Données projet'!$E$14+1,1))-AVERAGE(OFFSET($H$3,0,0,'Données projet'!$E$14+1,1))</f>
        <v>91.053246648097399</v>
      </c>
      <c r="DU142" s="59">
        <f t="shared" si="152"/>
        <v>64.716270355703955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>
        <f>EXP(-LN(2)/35)*EA141+(1-EXP(-LN(2)/35))/(LN(2)/35)*DW142*DX142*VLOOKUP('Données projet'!$B$14,Paramètres!$A$1:$I$89,3,0)*0.475*44/12</f>
        <v>0</v>
      </c>
      <c r="EB142" s="21">
        <f>EXP(-LN(2)/25)*EB141+(1-EXP(-LN(2)/25))/(LN(2)/25)*Calculateur!DW142*Calculateur!DY142*VLOOKUP('Données projet'!$B$14,Paramètres!$A$1:$I$89,3,0)*0.475*44/12</f>
        <v>0</v>
      </c>
      <c r="EC142" s="21">
        <f>EXP(-LN(2)/2)*EC141+(1-EXP(-LN(2)/2))/(LN(2)/2)*DW142*DZ142*VLOOKUP('Données projet'!$B$14,Paramètres!$A$1:$I$89,3,0)*0.475*44/12</f>
        <v>0</v>
      </c>
      <c r="ED142" s="22">
        <f t="shared" si="126"/>
        <v>0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553.99999999999955</v>
      </c>
      <c r="EK142" s="17">
        <f>EJ142*VLOOKUP('Données projet'!$B$15,Paramètres!$A$1:$I$89,3,0)*VLOOKUP('Données projet'!$B$15,Paramètres!$A$1:$I$89,5,0)</f>
        <v>331.29199999999975</v>
      </c>
      <c r="EL142" s="13">
        <f t="shared" si="153"/>
        <v>77.698110787752</v>
      </c>
      <c r="EM142" s="20">
        <f t="shared" si="127"/>
        <v>712.32444295533423</v>
      </c>
      <c r="EN142" s="59">
        <f t="shared" si="128"/>
        <v>1005.6577762886675</v>
      </c>
      <c r="EO142" s="59">
        <f ca="1">AVERAGE(OFFSET($EN$3,0,0,'Données projet'!$E$15+1,1))-AVERAGE(OFFSET($H$3,0,0,'Données projet'!$E$15+1,1))</f>
        <v>316.58509520829671</v>
      </c>
      <c r="EP142" s="59">
        <f t="shared" si="154"/>
        <v>240.71332110643596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>
        <f>EXP(-LN(2)/35)*EV141+(1-EXP(-LN(2)/35))/(LN(2)/35)*ER142*ES142*VLOOKUP('Données projet'!$B$15,Paramètres!$A$1:$I$89,3,0)*0.475*44/12</f>
        <v>0.29268939560925733</v>
      </c>
      <c r="EW142" s="21">
        <f>EXP(-LN(2)/25)*EW141+(1-EXP(-LN(2)/25))/(LN(2)/25)*Calculateur!ER142*Calculateur!ET142*VLOOKUP('Données projet'!$B$15,Paramètres!$A$1:$I$89,3,0)*0.475*44/12</f>
        <v>0.74351423159625885</v>
      </c>
      <c r="EX142" s="21">
        <f>EXP(-LN(2)/2)*EX141+(1-EXP(-LN(2)/2))/(LN(2)/2)*ER142*EU142*VLOOKUP('Données projet'!$B$15,Paramètres!$A$1:$I$89,3,0)*0.475*44/12</f>
        <v>8.6116992757261047E-16</v>
      </c>
      <c r="EY142" s="22">
        <f t="shared" si="129"/>
        <v>1.0362036272055171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497</v>
      </c>
      <c r="FF142" s="17">
        <f>FE142*VLOOKUP('Données projet'!$B$16,Paramètres!$A$1:$I$89,3,0)*VLOOKUP('Données projet'!$B$16,Paramètres!$A$1:$I$89,5,0)</f>
        <v>297.20600000000002</v>
      </c>
      <c r="FG142" s="13">
        <f t="shared" si="155"/>
        <v>70.590415164571112</v>
      </c>
      <c r="FH142" s="20">
        <f t="shared" si="130"/>
        <v>640.57875641162809</v>
      </c>
      <c r="FI142" s="59">
        <f t="shared" si="131"/>
        <v>933.91208974496135</v>
      </c>
      <c r="FJ142" s="59">
        <f ca="1">AVERAGE(OFFSET($FI$3,0,0,'Données projet'!$E$16+1,1))-AVERAGE(OFFSET($H$3,0,0,'Données projet'!$E$16+1,1))</f>
        <v>270.30888762640245</v>
      </c>
      <c r="FK142" s="59">
        <f t="shared" si="156"/>
        <v>202.23783851977691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>
        <f>EXP(-LN(2)/35)*FQ141+(1-EXP(-LN(2)/35))/(LN(2)/35)*FM142*FN142*VLOOKUP('Données projet'!$B$16,Paramètres!$A$1:$I$89,3,0)*0.475*44/12</f>
        <v>0.24734315121909042</v>
      </c>
      <c r="FR142" s="21">
        <f>EXP(-LN(2)/25)*FR141+(1-EXP(-LN(2)/25))/(LN(2)/25)*Calculateur!FM142*Calculateur!FO142*VLOOKUP('Données projet'!$B$16,Paramètres!$A$1:$I$89,3,0)*0.475*44/12</f>
        <v>0.59874941921014413</v>
      </c>
      <c r="FS142" s="21">
        <f>EXP(-LN(2)/2)*FS141+(1-EXP(-LN(2)/2))/(LN(2)/2)*FM142*FP142*VLOOKUP('Données projet'!$B$16,Paramètres!$A$1:$I$89,3,0)*0.475*44/12</f>
        <v>7.2587763207489322E-16</v>
      </c>
      <c r="FT142" s="22">
        <f t="shared" si="132"/>
        <v>0.84609257042923536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-5.1159076974727213E-13</v>
      </c>
      <c r="GA142" s="17">
        <f>FZ142*VLOOKUP('Données projet'!$B$17,Paramètres!$A$1:$I$89,3,0)*VLOOKUP('Données projet'!$B$17,Paramètres!$A$1:$I$89,5,0)</f>
        <v>-4.0702161641092972E-13</v>
      </c>
      <c r="GB142" s="13" t="e">
        <f t="shared" si="157"/>
        <v>#NUM!</v>
      </c>
      <c r="GC142" s="20" t="e">
        <f t="shared" si="133"/>
        <v>#NUM!</v>
      </c>
      <c r="GD142" s="59" t="e">
        <f t="shared" si="134"/>
        <v>#NUM!</v>
      </c>
      <c r="GE142" s="59">
        <f ca="1">AVERAGE(OFFSET($GD$3,0,0,'Données projet'!$E$17+1,1))-AVERAGE(OFFSET($H$3,0,0,'Données projet'!$E$17+1,1))</f>
        <v>260.20517190557814</v>
      </c>
      <c r="GF142" s="59">
        <f t="shared" si="158"/>
        <v>307.22009971147133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>
        <f>EXP(-LN(2)/35)*GL141+(1-EXP(-LN(2)/35))/(LN(2)/35)*GH142*GI142*VLOOKUP('Données projet'!$B$17,Paramètres!$A$1:$I$89,3,0)*0.475*44/12</f>
        <v>0.37680996491275476</v>
      </c>
      <c r="GM142" s="21">
        <f>EXP(-LN(2)/25)*GM141+(1-EXP(-LN(2)/25))/(LN(2)/25)*Calculateur!GH142*Calculateur!GJ142*VLOOKUP('Données projet'!$B$17,Paramètres!$A$1:$I$89,3,0)*0.475*44/12</f>
        <v>0.99925922699168135</v>
      </c>
      <c r="GN142" s="21">
        <f>EXP(-LN(2)/2)*GN141+(1-EXP(-LN(2)/2))/(LN(2)/2)*GH142*GK142*VLOOKUP('Données projet'!$B$17,Paramètres!$A$1:$I$89,3,0)*0.475*44/12</f>
        <v>9.4358765985737932E-16</v>
      </c>
      <c r="GO142" s="21">
        <f t="shared" si="135"/>
        <v>1.376069191904437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5.6843418860808015E-14</v>
      </c>
      <c r="GV142" s="17">
        <f>GU142*VLOOKUP('Données projet'!$B$18,Paramètres!$A$1:$I$89,3,0)*VLOOKUP('Données projet'!$B$18,Paramètres!$A$1:$I$89,5,0)</f>
        <v>4.5224624045658861E-14</v>
      </c>
      <c r="GW142" s="13">
        <f t="shared" si="159"/>
        <v>7.4514601661523691E-13</v>
      </c>
      <c r="GX142" s="20">
        <f t="shared" si="136"/>
        <v>1.3765621991510601E-12</v>
      </c>
      <c r="GY142" s="59">
        <f t="shared" si="137"/>
        <v>293.33333333333468</v>
      </c>
      <c r="GZ142" s="59">
        <f ca="1">AVERAGE(OFFSET($GY$3,0,0,'Données projet'!$E$18+1,1))-AVERAGE(OFFSET($H$3,0,0,'Données projet'!$E$18+1,1))</f>
        <v>199.58763537752952</v>
      </c>
      <c r="HA142" s="59">
        <f t="shared" si="160"/>
        <v>242.62852778451929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>
        <f>EXP(-LN(2)/35)*HG141+(1-EXP(-LN(2)/35))/(LN(2)/35)*HC142*HD142*VLOOKUP('Données projet'!$B$18,Paramètres!$A$1:$I$89,3,0)*0.475*44/12</f>
        <v>0</v>
      </c>
      <c r="HH142" s="21">
        <f>EXP(-LN(2)/25)*HH141+(1-EXP(-LN(2)/25))/(LN(2)/25)*Calculateur!HC142*Calculateur!HE142*VLOOKUP('Données projet'!$B$18,Paramètres!$A$1:$I$89,3,0)*0.475*44/12</f>
        <v>0.50075818990300469</v>
      </c>
      <c r="HI142" s="21">
        <f>EXP(-LN(2)/2)*HI141+(1-EXP(-LN(2)/2))/(LN(2)/2)*HC142*HF142*VLOOKUP('Données projet'!$B$18,Paramètres!$A$1:$I$89,3,0)*0.475*44/12</f>
        <v>4.2241604192200378E-16</v>
      </c>
      <c r="HJ142" s="22">
        <f t="shared" si="138"/>
        <v>0.50075818990300514</v>
      </c>
    </row>
    <row r="143" spans="1:218" x14ac:dyDescent="0.2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124.48800000000024</v>
      </c>
      <c r="D143" s="11">
        <f t="shared" si="140"/>
        <v>32.719504245667331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1213.5316117209427</v>
      </c>
      <c r="H143" s="67">
        <f t="shared" si="110"/>
        <v>567.13640322787103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-2.2737367544323206E-13</v>
      </c>
      <c r="O143" s="13">
        <f>N143*VLOOKUP('Données projet'!$B$9,Paramètres!$A$1:$I$89,3,0)*VLOOKUP('Données projet'!$B$9,Paramètres!$A$1:$I$89,5,0)</f>
        <v>-1.2710188457276673E-13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255.5374979188561</v>
      </c>
      <c r="T143" s="59">
        <f t="shared" si="142"/>
        <v>343.10418468620901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0.3498403897832999</v>
      </c>
      <c r="AA143" s="21">
        <f>EXP(-LN(2)/25)*AA142+(1-EXP(-LN(2)/25))/(LN(2)/25)*Calculateur!V143*Calculateur!X143*VLOOKUP('Données projet'!$B$9,Paramètres!$A$1:$I$89,3,0)*0.475*44/12</f>
        <v>0.75597591154831578</v>
      </c>
      <c r="AB143" s="21">
        <f>EXP(-LN(2)/2)*AB142+(1-EXP(-LN(2)/2))/(LN(2)/2)*V143*Y143*VLOOKUP('Données projet'!$B$9,Paramètres!$A$1:$I$89,3,0)*0.475*44/12</f>
        <v>4.698053278223885E-17</v>
      </c>
      <c r="AC143" s="22">
        <f t="shared" si="111"/>
        <v>1.1058163013316156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1.1368683772161603E-13</v>
      </c>
      <c r="AJ143" s="13">
        <f>AI143*VLOOKUP('Données projet'!$B$10,Paramètres!$A$1:$I$89,3,0)*VLOOKUP('Données projet'!$B$10,Paramètres!$A$1:$I$89,5,0)</f>
        <v>6.3550942286383367E-14</v>
      </c>
      <c r="AK143" s="13">
        <f t="shared" si="143"/>
        <v>1.0064464192543978E-12</v>
      </c>
      <c r="AL143" s="20">
        <f t="shared" si="112"/>
        <v>1.8635787380168604E-12</v>
      </c>
      <c r="AM143" s="59">
        <f t="shared" si="113"/>
        <v>293.33333333333519</v>
      </c>
      <c r="AN143" s="59">
        <f ca="1">AVERAGE(OFFSET($AM$3,0,0,'Données projet'!$E$10+1,1))-AVERAGE(OFFSET($H$3,0,0,'Données projet'!$E$10+1,1))</f>
        <v>224.7049802939942</v>
      </c>
      <c r="AO143" s="59">
        <f t="shared" si="144"/>
        <v>203.48513862195352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0.25260185919054989</v>
      </c>
      <c r="AV143" s="21">
        <f>EXP(-LN(2)/25)*AV142+(1-EXP(-LN(2)/25))/(LN(2)/25)*Calculateur!AQ143*Calculateur!AS143*VLOOKUP('Données projet'!$B$10,Paramètres!$A$1:$I$89,3,0)*0.475*44/12</f>
        <v>0.92480155755016547</v>
      </c>
      <c r="AW143" s="21">
        <f>EXP(-LN(2)/2)*AW142+(1-EXP(-LN(2)/2))/(LN(2)/2)*AQ143*AT143*VLOOKUP('Données projet'!$B$10,Paramètres!$A$1:$I$89,3,0)*0.475*44/12</f>
        <v>2.4870696033429964E-16</v>
      </c>
      <c r="AX143" s="21">
        <f t="shared" si="114"/>
        <v>1.1774034167407155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>
        <f>BD143*VLOOKUP('Données projet'!$B$11,Paramètres!$A$1:$I$89,3,0)*VLOOKUP('Données projet'!$B$11,Paramètres!$A$1:$I$89,5,0)</f>
        <v>0</v>
      </c>
      <c r="BF143" s="13" t="e">
        <f t="shared" si="145"/>
        <v>#NUM!</v>
      </c>
      <c r="BG143" s="20" t="e">
        <f t="shared" si="115"/>
        <v>#NUM!</v>
      </c>
      <c r="BH143" s="59" t="e">
        <f t="shared" si="116"/>
        <v>#NUM!</v>
      </c>
      <c r="BI143" s="59">
        <f ca="1">AVERAGE(OFFSET($BH$3,0,0,'Données projet'!$E$11+1,1))-AVERAGE(OFFSET($H$3,0,0,'Données projet'!$E$11+1,1))</f>
        <v>210.04871822652808</v>
      </c>
      <c r="BJ143" s="59">
        <f t="shared" si="146"/>
        <v>250.17540614049324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0.82658450375773018</v>
      </c>
      <c r="BQ143" s="21">
        <f>EXP(-LN(2)/25)*BQ142+(1-EXP(-LN(2)/25))/(LN(2)/25)*Calculateur!BL143*Calculateur!BN143*VLOOKUP('Données projet'!$B$11,Paramètres!$A$1:$I$89,3,0)*0.475*44/12</f>
        <v>1.3182335511660432</v>
      </c>
      <c r="BR143" s="21">
        <f>EXP(-LN(2)/2)*BR142+(1-EXP(-LN(2)/2))/(LN(2)/2)*BL143*BO143*VLOOKUP('Données projet'!$B$11,Paramètres!$A$1:$I$89,3,0)*0.475*44/12</f>
        <v>5.9824058866041757E-16</v>
      </c>
      <c r="BS143" s="22">
        <f t="shared" si="117"/>
        <v>2.1448180549237739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2.2737367544323206E-13</v>
      </c>
      <c r="BZ143" s="13">
        <f>BY143*VLOOKUP('Données projet'!$B$12,Paramètres!$A$1:$I$89,3,0)*VLOOKUP('Données projet'!$B$12,Paramètres!$A$1:$I$89,5,0)</f>
        <v>1.2414602679200471E-13</v>
      </c>
      <c r="CA143" s="13">
        <f t="shared" si="147"/>
        <v>1.8186582995804361E-12</v>
      </c>
      <c r="CB143" s="20">
        <f t="shared" si="118"/>
        <v>3.3837175350986671E-12</v>
      </c>
      <c r="CC143" s="59">
        <f t="shared" si="119"/>
        <v>293.33333333333672</v>
      </c>
      <c r="CD143" s="59">
        <f ca="1">AVERAGE(OFFSET($CC$3,0,0,'Données projet'!$E$12+1,1))-AVERAGE(OFFSET($H$3,0,0,'Données projet'!$E$12+1,1))</f>
        <v>168.72306536277267</v>
      </c>
      <c r="CE143" s="59">
        <f t="shared" si="148"/>
        <v>203.35476578922339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0.34441020989905419</v>
      </c>
      <c r="CL143" s="21">
        <f>EXP(-LN(2)/25)*CL142+(1-EXP(-LN(2)/25))/(LN(2)/25)*Calculateur!CG143*Calculateur!CI143*VLOOKUP('Données projet'!$B$12,Paramètres!$A$1:$I$89,3,0)*0.475*44/12</f>
        <v>1.088711810608086</v>
      </c>
      <c r="CM143" s="21">
        <f>EXP(-LN(2)/2)*CM142+(1-EXP(-LN(2)/2))/(LN(2)/2)*CG143*CJ143*VLOOKUP('Données projet'!$B$12,Paramètres!$A$1:$I$89,3,0)*0.475*44/12</f>
        <v>5.5577338903515422E-16</v>
      </c>
      <c r="CN143" s="22">
        <f t="shared" si="120"/>
        <v>1.4331220205071409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1277.6923076923067</v>
      </c>
      <c r="CU143" s="17">
        <f>CT143*VLOOKUP('Données projet'!$B$13,Paramètres!$A$1:$I$89,3,0)*VLOOKUP('Données projet'!$B$13,Paramètres!$A$1:$I$89,5,0)</f>
        <v>614.5699999999996</v>
      </c>
      <c r="CV143" s="13">
        <f t="shared" si="149"/>
        <v>134.13240620831178</v>
      </c>
      <c r="CW143" s="20">
        <f t="shared" si="121"/>
        <v>1303.9900241461421</v>
      </c>
      <c r="CX143" s="59">
        <f t="shared" si="122"/>
        <v>1597.3233574794754</v>
      </c>
      <c r="CY143" s="59">
        <f ca="1">AVERAGE(OFFSET($CX$3,0,0,'Données projet'!$E$13+1,1))-AVERAGE(OFFSET($H$3,0,0,'Données projet'!$E$13+1,1))</f>
        <v>304.15237106473313</v>
      </c>
      <c r="CZ143" s="59">
        <f t="shared" si="150"/>
        <v>120.85458928724336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>
        <f>EXP(-LN(2)/35)*DF142+(1-EXP(-LN(2)/35))/(LN(2)/35)*DB143*DC143*VLOOKUP('Données projet'!$B$13,Paramètres!$A$1:$I$89,3,0)*0.475*44/12</f>
        <v>0</v>
      </c>
      <c r="DG143" s="21">
        <f>EXP(-LN(2)/25)*DG142+(1-EXP(-LN(2)/25))/(LN(2)/25)*Calculateur!DB143*Calculateur!DD143*VLOOKUP('Données projet'!$B$13,Paramètres!$A$1:$I$89,3,0)*0.475*44/12</f>
        <v>0</v>
      </c>
      <c r="DH143" s="21">
        <f>EXP(-LN(2)/2)*DH142+(1-EXP(-LN(2)/2))/(LN(2)/2)*DB143*DE143*VLOOKUP('Données projet'!$B$13,Paramètres!$A$1:$I$89,3,0)*0.475*44/12</f>
        <v>0</v>
      </c>
      <c r="DI143" s="22">
        <f t="shared" si="123"/>
        <v>0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425.38461538461536</v>
      </c>
      <c r="DP143" s="17">
        <f>DO143*VLOOKUP('Données projet'!$B$14,Paramètres!$A$1:$I$89,3,0)*VLOOKUP('Données projet'!$B$14,Paramètres!$A$1:$I$89,5,0)</f>
        <v>204.60999999999999</v>
      </c>
      <c r="DQ143" s="13">
        <f t="shared" si="151"/>
        <v>50.755958577224398</v>
      </c>
      <c r="DR143" s="20">
        <f t="shared" si="124"/>
        <v>444.76237785533249</v>
      </c>
      <c r="DS143" s="59">
        <f t="shared" si="125"/>
        <v>738.09571118866575</v>
      </c>
      <c r="DT143" s="59">
        <f ca="1">AVERAGE(OFFSET($DS$3,0,0,'Données projet'!$E$14+1,1))-AVERAGE(OFFSET($H$3,0,0,'Données projet'!$E$14+1,1))</f>
        <v>91.053246648097399</v>
      </c>
      <c r="DU143" s="59">
        <f t="shared" si="152"/>
        <v>64.716270355703955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>
        <f>EXP(-LN(2)/35)*EA142+(1-EXP(-LN(2)/35))/(LN(2)/35)*DW143*DX143*VLOOKUP('Données projet'!$B$14,Paramètres!$A$1:$I$89,3,0)*0.475*44/12</f>
        <v>0</v>
      </c>
      <c r="EB143" s="21">
        <f>EXP(-LN(2)/25)*EB142+(1-EXP(-LN(2)/25))/(LN(2)/25)*Calculateur!DW143*Calculateur!DY143*VLOOKUP('Données projet'!$B$14,Paramètres!$A$1:$I$89,3,0)*0.475*44/12</f>
        <v>0</v>
      </c>
      <c r="EC143" s="21">
        <f>EXP(-LN(2)/2)*EC142+(1-EXP(-LN(2)/2))/(LN(2)/2)*DW143*DZ143*VLOOKUP('Données projet'!$B$14,Paramètres!$A$1:$I$89,3,0)*0.475*44/12</f>
        <v>0</v>
      </c>
      <c r="ED143" s="22">
        <f t="shared" si="126"/>
        <v>0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553.99999999999955</v>
      </c>
      <c r="EK143" s="17">
        <f>EJ143*VLOOKUP('Données projet'!$B$15,Paramètres!$A$1:$I$89,3,0)*VLOOKUP('Données projet'!$B$15,Paramètres!$A$1:$I$89,5,0)</f>
        <v>331.29199999999975</v>
      </c>
      <c r="EL143" s="13">
        <f t="shared" si="153"/>
        <v>77.698110787752</v>
      </c>
      <c r="EM143" s="20">
        <f t="shared" si="127"/>
        <v>712.32444295533423</v>
      </c>
      <c r="EN143" s="59">
        <f t="shared" si="128"/>
        <v>1005.6577762886675</v>
      </c>
      <c r="EO143" s="59">
        <f ca="1">AVERAGE(OFFSET($EN$3,0,0,'Données projet'!$E$15+1,1))-AVERAGE(OFFSET($H$3,0,0,'Données projet'!$E$15+1,1))</f>
        <v>316.58509520829671</v>
      </c>
      <c r="EP143" s="59">
        <f t="shared" si="154"/>
        <v>240.71332110643596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>
        <f>EXP(-LN(2)/35)*EV142+(1-EXP(-LN(2)/35))/(LN(2)/35)*ER143*ES143*VLOOKUP('Données projet'!$B$15,Paramètres!$A$1:$I$89,3,0)*0.475*44/12</f>
        <v>0.28694993508426342</v>
      </c>
      <c r="EW143" s="21">
        <f>EXP(-LN(2)/25)*EW142+(1-EXP(-LN(2)/25))/(LN(2)/25)*Calculateur!ER143*Calculateur!ET143*VLOOKUP('Données projet'!$B$15,Paramètres!$A$1:$I$89,3,0)*0.475*44/12</f>
        <v>0.72318279583354506</v>
      </c>
      <c r="EX143" s="21">
        <f>EXP(-LN(2)/2)*EX142+(1-EXP(-LN(2)/2))/(LN(2)/2)*ER143*EU143*VLOOKUP('Données projet'!$B$15,Paramètres!$A$1:$I$89,3,0)*0.475*44/12</f>
        <v>6.0893909554052084E-16</v>
      </c>
      <c r="EY143" s="22">
        <f t="shared" si="129"/>
        <v>1.0101327309178092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497</v>
      </c>
      <c r="FF143" s="17">
        <f>FE143*VLOOKUP('Données projet'!$B$16,Paramètres!$A$1:$I$89,3,0)*VLOOKUP('Données projet'!$B$16,Paramètres!$A$1:$I$89,5,0)</f>
        <v>297.20600000000002</v>
      </c>
      <c r="FG143" s="13">
        <f t="shared" si="155"/>
        <v>70.590415164571112</v>
      </c>
      <c r="FH143" s="20">
        <f t="shared" si="130"/>
        <v>640.57875641162809</v>
      </c>
      <c r="FI143" s="59">
        <f t="shared" si="131"/>
        <v>933.91208974496135</v>
      </c>
      <c r="FJ143" s="59">
        <f ca="1">AVERAGE(OFFSET($FI$3,0,0,'Données projet'!$E$16+1,1))-AVERAGE(OFFSET($H$3,0,0,'Données projet'!$E$16+1,1))</f>
        <v>270.30888762640245</v>
      </c>
      <c r="FK143" s="59">
        <f t="shared" si="156"/>
        <v>202.23783851977691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>
        <f>EXP(-LN(2)/35)*FQ142+(1-EXP(-LN(2)/35))/(LN(2)/35)*FM143*FN143*VLOOKUP('Données projet'!$B$16,Paramètres!$A$1:$I$89,3,0)*0.475*44/12</f>
        <v>0.24249290288810968</v>
      </c>
      <c r="FR143" s="21">
        <f>EXP(-LN(2)/25)*FR142+(1-EXP(-LN(2)/25))/(LN(2)/25)*Calculateur!FM143*Calculateur!FO143*VLOOKUP('Données projet'!$B$16,Paramètres!$A$1:$I$89,3,0)*0.475*44/12</f>
        <v>0.58237658485497923</v>
      </c>
      <c r="FS143" s="21">
        <f>EXP(-LN(2)/2)*FS142+(1-EXP(-LN(2)/2))/(LN(2)/2)*FM143*FP143*VLOOKUP('Données projet'!$B$16,Paramètres!$A$1:$I$89,3,0)*0.475*44/12</f>
        <v>5.1327299595179077E-16</v>
      </c>
      <c r="FT143" s="22">
        <f t="shared" si="132"/>
        <v>0.82486948774308944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-5.1159076974727213E-13</v>
      </c>
      <c r="GA143" s="17">
        <f>FZ143*VLOOKUP('Données projet'!$B$17,Paramètres!$A$1:$I$89,3,0)*VLOOKUP('Données projet'!$B$17,Paramètres!$A$1:$I$89,5,0)</f>
        <v>-4.0702161641092972E-13</v>
      </c>
      <c r="GB143" s="13" t="e">
        <f t="shared" si="157"/>
        <v>#NUM!</v>
      </c>
      <c r="GC143" s="20" t="e">
        <f t="shared" si="133"/>
        <v>#NUM!</v>
      </c>
      <c r="GD143" s="59" t="e">
        <f t="shared" si="134"/>
        <v>#NUM!</v>
      </c>
      <c r="GE143" s="59">
        <f ca="1">AVERAGE(OFFSET($GD$3,0,0,'Données projet'!$E$17+1,1))-AVERAGE(OFFSET($H$3,0,0,'Données projet'!$E$17+1,1))</f>
        <v>260.20517190557814</v>
      </c>
      <c r="GF143" s="59">
        <f t="shared" si="158"/>
        <v>307.22009971147133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>
        <f>EXP(-LN(2)/35)*GL142+(1-EXP(-LN(2)/35))/(LN(2)/35)*GH143*GI143*VLOOKUP('Données projet'!$B$17,Paramètres!$A$1:$I$89,3,0)*0.475*44/12</f>
        <v>0.36942095133220026</v>
      </c>
      <c r="GM143" s="21">
        <f>EXP(-LN(2)/25)*GM142+(1-EXP(-LN(2)/25))/(LN(2)/25)*Calculateur!GH143*Calculateur!GJ143*VLOOKUP('Données projet'!$B$17,Paramètres!$A$1:$I$89,3,0)*0.475*44/12</f>
        <v>0.97193443088083487</v>
      </c>
      <c r="GN143" s="21">
        <f>EXP(-LN(2)/2)*GN142+(1-EXP(-LN(2)/2))/(LN(2)/2)*GH143*GK143*VLOOKUP('Données projet'!$B$17,Paramètres!$A$1:$I$89,3,0)*0.475*44/12</f>
        <v>6.6721723292909835E-16</v>
      </c>
      <c r="GO143" s="21">
        <f t="shared" si="135"/>
        <v>1.3413553822130357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5.6843418860808015E-14</v>
      </c>
      <c r="GV143" s="17">
        <f>GU143*VLOOKUP('Données projet'!$B$18,Paramètres!$A$1:$I$89,3,0)*VLOOKUP('Données projet'!$B$18,Paramètres!$A$1:$I$89,5,0)</f>
        <v>4.5224624045658861E-14</v>
      </c>
      <c r="GW143" s="13">
        <f t="shared" si="159"/>
        <v>7.4514601661523691E-13</v>
      </c>
      <c r="GX143" s="20">
        <f t="shared" si="136"/>
        <v>1.3765621991510601E-12</v>
      </c>
      <c r="GY143" s="59">
        <f t="shared" si="137"/>
        <v>293.33333333333468</v>
      </c>
      <c r="GZ143" s="59">
        <f ca="1">AVERAGE(OFFSET($GY$3,0,0,'Données projet'!$E$18+1,1))-AVERAGE(OFFSET($H$3,0,0,'Données projet'!$E$18+1,1))</f>
        <v>199.58763537752952</v>
      </c>
      <c r="HA143" s="59">
        <f t="shared" si="160"/>
        <v>242.62852778451929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>
        <f>EXP(-LN(2)/35)*HG142+(1-EXP(-LN(2)/35))/(LN(2)/35)*HC143*HD143*VLOOKUP('Données projet'!$B$18,Paramètres!$A$1:$I$89,3,0)*0.475*44/12</f>
        <v>0</v>
      </c>
      <c r="HH143" s="21">
        <f>EXP(-LN(2)/25)*HH142+(1-EXP(-LN(2)/25))/(LN(2)/25)*Calculateur!HC143*Calculateur!HE143*VLOOKUP('Données projet'!$B$18,Paramètres!$A$1:$I$89,3,0)*0.475*44/12</f>
        <v>0.48706493086637831</v>
      </c>
      <c r="HI143" s="21">
        <f>EXP(-LN(2)/2)*HI142+(1-EXP(-LN(2)/2))/(LN(2)/2)*HC143*HF143*VLOOKUP('Données projet'!$B$18,Paramètres!$A$1:$I$89,3,0)*0.475*44/12</f>
        <v>2.9869324772502981E-16</v>
      </c>
      <c r="HJ143" s="22">
        <f t="shared" si="138"/>
        <v>0.48706493086637859</v>
      </c>
    </row>
    <row r="144" spans="1:218" x14ac:dyDescent="0.2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125.37720000000024</v>
      </c>
      <c r="D144" s="11">
        <f t="shared" si="140"/>
        <v>32.925925439106905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1221.9890384773182</v>
      </c>
      <c r="H144" s="67">
        <f t="shared" si="110"/>
        <v>569.04461013977823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-2.2737367544323206E-13</v>
      </c>
      <c r="O144" s="13">
        <f>N144*VLOOKUP('Données projet'!$B$9,Paramètres!$A$1:$I$89,3,0)*VLOOKUP('Données projet'!$B$9,Paramètres!$A$1:$I$89,5,0)</f>
        <v>-1.2710188457276673E-13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255.5374979188561</v>
      </c>
      <c r="T144" s="59">
        <f t="shared" si="142"/>
        <v>343.10418468620901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0.34298023312121745</v>
      </c>
      <c r="AA144" s="21">
        <f>EXP(-LN(2)/25)*AA143+(1-EXP(-LN(2)/25))/(LN(2)/25)*Calculateur!V144*Calculateur!X144*VLOOKUP('Données projet'!$B$9,Paramètres!$A$1:$I$89,3,0)*0.475*44/12</f>
        <v>0.73530371049198173</v>
      </c>
      <c r="AB144" s="21">
        <f>EXP(-LN(2)/2)*AB143+(1-EXP(-LN(2)/2))/(LN(2)/2)*V144*Y144*VLOOKUP('Données projet'!$B$9,Paramètres!$A$1:$I$89,3,0)*0.475*44/12</f>
        <v>3.3220253314077988E-17</v>
      </c>
      <c r="AC144" s="22">
        <f t="shared" si="111"/>
        <v>1.0782839436131992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1.1368683772161603E-13</v>
      </c>
      <c r="AJ144" s="13">
        <f>AI144*VLOOKUP('Données projet'!$B$10,Paramètres!$A$1:$I$89,3,0)*VLOOKUP('Données projet'!$B$10,Paramètres!$A$1:$I$89,5,0)</f>
        <v>6.3550942286383367E-14</v>
      </c>
      <c r="AK144" s="13">
        <f t="shared" si="143"/>
        <v>1.0064464192543978E-12</v>
      </c>
      <c r="AL144" s="20">
        <f t="shared" si="112"/>
        <v>1.8635787380168604E-12</v>
      </c>
      <c r="AM144" s="59">
        <f t="shared" si="113"/>
        <v>293.33333333333519</v>
      </c>
      <c r="AN144" s="59">
        <f ca="1">AVERAGE(OFFSET($AM$3,0,0,'Données projet'!$E$10+1,1))-AVERAGE(OFFSET($H$3,0,0,'Données projet'!$E$10+1,1))</f>
        <v>224.7049802939942</v>
      </c>
      <c r="AO144" s="59">
        <f t="shared" si="144"/>
        <v>203.48513862195352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0.24764849080374399</v>
      </c>
      <c r="AV144" s="21">
        <f>EXP(-LN(2)/25)*AV143+(1-EXP(-LN(2)/25))/(LN(2)/25)*Calculateur!AQ144*Calculateur!AS144*VLOOKUP('Données projet'!$B$10,Paramètres!$A$1:$I$89,3,0)*0.475*44/12</f>
        <v>0.89951281032575592</v>
      </c>
      <c r="AW144" s="21">
        <f>EXP(-LN(2)/2)*AW143+(1-EXP(-LN(2)/2))/(LN(2)/2)*AQ144*AT144*VLOOKUP('Données projet'!$B$10,Paramètres!$A$1:$I$89,3,0)*0.475*44/12</f>
        <v>1.7586237818067697E-16</v>
      </c>
      <c r="AX144" s="21">
        <f t="shared" si="114"/>
        <v>1.1471613011295001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>
        <f>BD144*VLOOKUP('Données projet'!$B$11,Paramètres!$A$1:$I$89,3,0)*VLOOKUP('Données projet'!$B$11,Paramètres!$A$1:$I$89,5,0)</f>
        <v>0</v>
      </c>
      <c r="BF144" s="13" t="e">
        <f t="shared" si="145"/>
        <v>#NUM!</v>
      </c>
      <c r="BG144" s="20" t="e">
        <f t="shared" si="115"/>
        <v>#NUM!</v>
      </c>
      <c r="BH144" s="59" t="e">
        <f t="shared" si="116"/>
        <v>#NUM!</v>
      </c>
      <c r="BI144" s="59">
        <f ca="1">AVERAGE(OFFSET($BH$3,0,0,'Données projet'!$E$11+1,1))-AVERAGE(OFFSET($H$3,0,0,'Données projet'!$E$11+1,1))</f>
        <v>210.04871822652808</v>
      </c>
      <c r="BJ144" s="59">
        <f t="shared" si="146"/>
        <v>250.17540614049324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0.8103756858058061</v>
      </c>
      <c r="BQ144" s="21">
        <f>EXP(-LN(2)/25)*BQ143+(1-EXP(-LN(2)/25))/(LN(2)/25)*Calculateur!BL144*Calculateur!BN144*VLOOKUP('Données projet'!$B$11,Paramètres!$A$1:$I$89,3,0)*0.475*44/12</f>
        <v>1.2821863853865183</v>
      </c>
      <c r="BR144" s="21">
        <f>EXP(-LN(2)/2)*BR143+(1-EXP(-LN(2)/2))/(LN(2)/2)*BL144*BO144*VLOOKUP('Données projet'!$B$11,Paramètres!$A$1:$I$89,3,0)*0.475*44/12</f>
        <v>4.2301997702281328E-16</v>
      </c>
      <c r="BS144" s="22">
        <f t="shared" si="117"/>
        <v>2.092562071192325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2.2737367544323206E-13</v>
      </c>
      <c r="BZ144" s="13">
        <f>BY144*VLOOKUP('Données projet'!$B$12,Paramètres!$A$1:$I$89,3,0)*VLOOKUP('Données projet'!$B$12,Paramètres!$A$1:$I$89,5,0)</f>
        <v>1.2414602679200471E-13</v>
      </c>
      <c r="CA144" s="13">
        <f t="shared" si="147"/>
        <v>1.8186582995804361E-12</v>
      </c>
      <c r="CB144" s="20">
        <f t="shared" si="118"/>
        <v>3.3837175350986671E-12</v>
      </c>
      <c r="CC144" s="59">
        <f t="shared" si="119"/>
        <v>293.33333333333672</v>
      </c>
      <c r="CD144" s="59">
        <f ca="1">AVERAGE(OFFSET($CC$3,0,0,'Données projet'!$E$12+1,1))-AVERAGE(OFFSET($H$3,0,0,'Données projet'!$E$12+1,1))</f>
        <v>168.72306536277267</v>
      </c>
      <c r="CE144" s="59">
        <f t="shared" si="148"/>
        <v>203.35476578922339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0.33765653575241911</v>
      </c>
      <c r="CL144" s="21">
        <f>EXP(-LN(2)/25)*CL143+(1-EXP(-LN(2)/25))/(LN(2)/25)*Calculateur!CG144*Calculateur!CI144*VLOOKUP('Données projet'!$B$12,Paramètres!$A$1:$I$89,3,0)*0.475*44/12</f>
        <v>1.058940928894142</v>
      </c>
      <c r="CM144" s="21">
        <f>EXP(-LN(2)/2)*CM143+(1-EXP(-LN(2)/2))/(LN(2)/2)*CG144*CJ144*VLOOKUP('Données projet'!$B$12,Paramètres!$A$1:$I$89,3,0)*0.475*44/12</f>
        <v>3.9299113218978676E-16</v>
      </c>
      <c r="CN144" s="22">
        <f t="shared" si="120"/>
        <v>1.3965974646465615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1277.6923076923067</v>
      </c>
      <c r="CU144" s="17">
        <f>CT144*VLOOKUP('Données projet'!$B$13,Paramètres!$A$1:$I$89,3,0)*VLOOKUP('Données projet'!$B$13,Paramètres!$A$1:$I$89,5,0)</f>
        <v>614.5699999999996</v>
      </c>
      <c r="CV144" s="13">
        <f t="shared" si="149"/>
        <v>134.13240620831178</v>
      </c>
      <c r="CW144" s="20">
        <f t="shared" si="121"/>
        <v>1303.9900241461421</v>
      </c>
      <c r="CX144" s="59">
        <f t="shared" si="122"/>
        <v>1597.3233574794754</v>
      </c>
      <c r="CY144" s="59">
        <f ca="1">AVERAGE(OFFSET($CX$3,0,0,'Données projet'!$E$13+1,1))-AVERAGE(OFFSET($H$3,0,0,'Données projet'!$E$13+1,1))</f>
        <v>304.15237106473313</v>
      </c>
      <c r="CZ144" s="59">
        <f t="shared" si="150"/>
        <v>120.85458928724336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>
        <f>EXP(-LN(2)/35)*DF143+(1-EXP(-LN(2)/35))/(LN(2)/35)*DB144*DC144*VLOOKUP('Données projet'!$B$13,Paramètres!$A$1:$I$89,3,0)*0.475*44/12</f>
        <v>0</v>
      </c>
      <c r="DG144" s="21">
        <f>EXP(-LN(2)/25)*DG143+(1-EXP(-LN(2)/25))/(LN(2)/25)*Calculateur!DB144*Calculateur!DD144*VLOOKUP('Données projet'!$B$13,Paramètres!$A$1:$I$89,3,0)*0.475*44/12</f>
        <v>0</v>
      </c>
      <c r="DH144" s="21">
        <f>EXP(-LN(2)/2)*DH143+(1-EXP(-LN(2)/2))/(LN(2)/2)*DB144*DE144*VLOOKUP('Données projet'!$B$13,Paramètres!$A$1:$I$89,3,0)*0.475*44/12</f>
        <v>0</v>
      </c>
      <c r="DI144" s="22">
        <f t="shared" si="123"/>
        <v>0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425.38461538461536</v>
      </c>
      <c r="DP144" s="17">
        <f>DO144*VLOOKUP('Données projet'!$B$14,Paramètres!$A$1:$I$89,3,0)*VLOOKUP('Données projet'!$B$14,Paramètres!$A$1:$I$89,5,0)</f>
        <v>204.60999999999999</v>
      </c>
      <c r="DQ144" s="13">
        <f t="shared" si="151"/>
        <v>50.755958577224398</v>
      </c>
      <c r="DR144" s="20">
        <f t="shared" si="124"/>
        <v>444.76237785533249</v>
      </c>
      <c r="DS144" s="59">
        <f t="shared" si="125"/>
        <v>738.09571118866575</v>
      </c>
      <c r="DT144" s="59">
        <f ca="1">AVERAGE(OFFSET($DS$3,0,0,'Données projet'!$E$14+1,1))-AVERAGE(OFFSET($H$3,0,0,'Données projet'!$E$14+1,1))</f>
        <v>91.053246648097399</v>
      </c>
      <c r="DU144" s="59">
        <f t="shared" si="152"/>
        <v>64.716270355703955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>
        <f>EXP(-LN(2)/35)*EA143+(1-EXP(-LN(2)/35))/(LN(2)/35)*DW144*DX144*VLOOKUP('Données projet'!$B$14,Paramètres!$A$1:$I$89,3,0)*0.475*44/12</f>
        <v>0</v>
      </c>
      <c r="EB144" s="21">
        <f>EXP(-LN(2)/25)*EB143+(1-EXP(-LN(2)/25))/(LN(2)/25)*Calculateur!DW144*Calculateur!DY144*VLOOKUP('Données projet'!$B$14,Paramètres!$A$1:$I$89,3,0)*0.475*44/12</f>
        <v>0</v>
      </c>
      <c r="EC144" s="21">
        <f>EXP(-LN(2)/2)*EC143+(1-EXP(-LN(2)/2))/(LN(2)/2)*DW144*DZ144*VLOOKUP('Données projet'!$B$14,Paramètres!$A$1:$I$89,3,0)*0.475*44/12</f>
        <v>0</v>
      </c>
      <c r="ED144" s="22">
        <f t="shared" si="126"/>
        <v>0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553.99999999999955</v>
      </c>
      <c r="EK144" s="17">
        <f>EJ144*VLOOKUP('Données projet'!$B$15,Paramètres!$A$1:$I$89,3,0)*VLOOKUP('Données projet'!$B$15,Paramètres!$A$1:$I$89,5,0)</f>
        <v>331.29199999999975</v>
      </c>
      <c r="EL144" s="13">
        <f t="shared" si="153"/>
        <v>77.698110787752</v>
      </c>
      <c r="EM144" s="20">
        <f t="shared" si="127"/>
        <v>712.32444295533423</v>
      </c>
      <c r="EN144" s="59">
        <f t="shared" si="128"/>
        <v>1005.6577762886675</v>
      </c>
      <c r="EO144" s="59">
        <f ca="1">AVERAGE(OFFSET($EN$3,0,0,'Données projet'!$E$15+1,1))-AVERAGE(OFFSET($H$3,0,0,'Données projet'!$E$15+1,1))</f>
        <v>316.58509520829671</v>
      </c>
      <c r="EP144" s="59">
        <f t="shared" si="154"/>
        <v>240.71332110643596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>
        <f>EXP(-LN(2)/35)*EV143+(1-EXP(-LN(2)/35))/(LN(2)/35)*ER144*ES144*VLOOKUP('Données projet'!$B$15,Paramètres!$A$1:$I$89,3,0)*0.475*44/12</f>
        <v>0.28132302187943942</v>
      </c>
      <c r="EW144" s="21">
        <f>EXP(-LN(2)/25)*EW143+(1-EXP(-LN(2)/25))/(LN(2)/25)*Calculateur!ER144*Calculateur!ET144*VLOOKUP('Données projet'!$B$15,Paramètres!$A$1:$I$89,3,0)*0.475*44/12</f>
        <v>0.70340732425094643</v>
      </c>
      <c r="EX144" s="21">
        <f>EXP(-LN(2)/2)*EX143+(1-EXP(-LN(2)/2))/(LN(2)/2)*ER144*EU144*VLOOKUP('Données projet'!$B$15,Paramètres!$A$1:$I$89,3,0)*0.475*44/12</f>
        <v>4.3058496378630523E-16</v>
      </c>
      <c r="EY144" s="22">
        <f t="shared" si="129"/>
        <v>0.98473034613038624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497</v>
      </c>
      <c r="FF144" s="17">
        <f>FE144*VLOOKUP('Données projet'!$B$16,Paramètres!$A$1:$I$89,3,0)*VLOOKUP('Données projet'!$B$16,Paramètres!$A$1:$I$89,5,0)</f>
        <v>297.20600000000002</v>
      </c>
      <c r="FG144" s="13">
        <f t="shared" si="155"/>
        <v>70.590415164571112</v>
      </c>
      <c r="FH144" s="20">
        <f t="shared" si="130"/>
        <v>640.57875641162809</v>
      </c>
      <c r="FI144" s="59">
        <f t="shared" si="131"/>
        <v>933.91208974496135</v>
      </c>
      <c r="FJ144" s="59">
        <f ca="1">AVERAGE(OFFSET($FI$3,0,0,'Données projet'!$E$16+1,1))-AVERAGE(OFFSET($H$3,0,0,'Données projet'!$E$16+1,1))</f>
        <v>270.30888762640245</v>
      </c>
      <c r="FK144" s="59">
        <f t="shared" si="156"/>
        <v>202.23783851977691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>
        <f>EXP(-LN(2)/35)*FQ143+(1-EXP(-LN(2)/35))/(LN(2)/35)*FM144*FN144*VLOOKUP('Données projet'!$B$16,Paramètres!$A$1:$I$89,3,0)*0.475*44/12</f>
        <v>0.2377377649685401</v>
      </c>
      <c r="FR144" s="21">
        <f>EXP(-LN(2)/25)*FR143+(1-EXP(-LN(2)/25))/(LN(2)/25)*Calculateur!FM144*Calculateur!FO144*VLOOKUP('Données projet'!$B$16,Paramètres!$A$1:$I$89,3,0)*0.475*44/12</f>
        <v>0.56645146651626621</v>
      </c>
      <c r="FS144" s="21">
        <f>EXP(-LN(2)/2)*FS143+(1-EXP(-LN(2)/2))/(LN(2)/2)*FM144*FP144*VLOOKUP('Données projet'!$B$16,Paramètres!$A$1:$I$89,3,0)*0.475*44/12</f>
        <v>3.6293881603744661E-16</v>
      </c>
      <c r="FT144" s="22">
        <f t="shared" si="132"/>
        <v>0.80418923148480659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-5.1159076974727213E-13</v>
      </c>
      <c r="GA144" s="17">
        <f>FZ144*VLOOKUP('Données projet'!$B$17,Paramètres!$A$1:$I$89,3,0)*VLOOKUP('Données projet'!$B$17,Paramètres!$A$1:$I$89,5,0)</f>
        <v>-4.0702161641092972E-13</v>
      </c>
      <c r="GB144" s="13" t="e">
        <f t="shared" si="157"/>
        <v>#NUM!</v>
      </c>
      <c r="GC144" s="20" t="e">
        <f t="shared" si="133"/>
        <v>#NUM!</v>
      </c>
      <c r="GD144" s="59" t="e">
        <f t="shared" si="134"/>
        <v>#NUM!</v>
      </c>
      <c r="GE144" s="59">
        <f ca="1">AVERAGE(OFFSET($GD$3,0,0,'Données projet'!$E$17+1,1))-AVERAGE(OFFSET($H$3,0,0,'Données projet'!$E$17+1,1))</f>
        <v>260.20517190557814</v>
      </c>
      <c r="GF144" s="59">
        <f t="shared" si="158"/>
        <v>307.22009971147133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>
        <f>EXP(-LN(2)/35)*GL143+(1-EXP(-LN(2)/35))/(LN(2)/35)*GH144*GI144*VLOOKUP('Données projet'!$B$17,Paramètres!$A$1:$I$89,3,0)*0.475*44/12</f>
        <v>0.36217683180110716</v>
      </c>
      <c r="GM144" s="21">
        <f>EXP(-LN(2)/25)*GM143+(1-EXP(-LN(2)/25))/(LN(2)/25)*Calculateur!GH144*Calculateur!GJ144*VLOOKUP('Données projet'!$B$17,Paramètres!$A$1:$I$89,3,0)*0.475*44/12</f>
        <v>0.94535683275658811</v>
      </c>
      <c r="GN144" s="21">
        <f>EXP(-LN(2)/2)*GN143+(1-EXP(-LN(2)/2))/(LN(2)/2)*GH144*GK144*VLOOKUP('Données projet'!$B$17,Paramètres!$A$1:$I$89,3,0)*0.475*44/12</f>
        <v>4.7179382992868966E-16</v>
      </c>
      <c r="GO144" s="21">
        <f t="shared" si="135"/>
        <v>1.3075336645576958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5.6843418860808015E-14</v>
      </c>
      <c r="GV144" s="17">
        <f>GU144*VLOOKUP('Données projet'!$B$18,Paramètres!$A$1:$I$89,3,0)*VLOOKUP('Données projet'!$B$18,Paramètres!$A$1:$I$89,5,0)</f>
        <v>4.5224624045658861E-14</v>
      </c>
      <c r="GW144" s="13">
        <f t="shared" si="159"/>
        <v>7.4514601661523691E-13</v>
      </c>
      <c r="GX144" s="20">
        <f t="shared" si="136"/>
        <v>1.3765621991510601E-12</v>
      </c>
      <c r="GY144" s="59">
        <f t="shared" si="137"/>
        <v>293.33333333333468</v>
      </c>
      <c r="GZ144" s="59">
        <f ca="1">AVERAGE(OFFSET($GY$3,0,0,'Données projet'!$E$18+1,1))-AVERAGE(OFFSET($H$3,0,0,'Données projet'!$E$18+1,1))</f>
        <v>199.58763537752952</v>
      </c>
      <c r="HA144" s="59">
        <f t="shared" si="160"/>
        <v>242.62852778451929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>
        <f>EXP(-LN(2)/35)*HG143+(1-EXP(-LN(2)/35))/(LN(2)/35)*HC144*HD144*VLOOKUP('Données projet'!$B$18,Paramètres!$A$1:$I$89,3,0)*0.475*44/12</f>
        <v>0</v>
      </c>
      <c r="HH144" s="21">
        <f>EXP(-LN(2)/25)*HH143+(1-EXP(-LN(2)/25))/(LN(2)/25)*Calculateur!HC144*Calculateur!HE144*VLOOKUP('Données projet'!$B$18,Paramètres!$A$1:$I$89,3,0)*0.475*44/12</f>
        <v>0.47374611471820566</v>
      </c>
      <c r="HI144" s="21">
        <f>EXP(-LN(2)/2)*HI143+(1-EXP(-LN(2)/2))/(LN(2)/2)*HC144*HF144*VLOOKUP('Données projet'!$B$18,Paramètres!$A$1:$I$89,3,0)*0.475*44/12</f>
        <v>2.1120802096100189E-16</v>
      </c>
      <c r="HJ144" s="22">
        <f t="shared" si="138"/>
        <v>0.47374611471820588</v>
      </c>
    </row>
    <row r="145" spans="1:218" x14ac:dyDescent="0.2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126.26640000000025</v>
      </c>
      <c r="D145" s="11">
        <f t="shared" si="140"/>
        <v>33.132176294071868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1230.4451503402058</v>
      </c>
      <c r="H145" s="67">
        <f t="shared" si="110"/>
        <v>570.95252037884222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-2.2737367544323206E-13</v>
      </c>
      <c r="O145" s="13">
        <f>N145*VLOOKUP('Données projet'!$B$9,Paramètres!$A$1:$I$89,3,0)*VLOOKUP('Données projet'!$B$9,Paramètres!$A$1:$I$89,5,0)</f>
        <v>-1.2710188457276673E-13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255.5374979188561</v>
      </c>
      <c r="T145" s="59">
        <f t="shared" si="142"/>
        <v>343.10418468620901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0.33625459994699608</v>
      </c>
      <c r="AA145" s="21">
        <f>EXP(-LN(2)/25)*AA144+(1-EXP(-LN(2)/25))/(LN(2)/25)*Calculateur!V145*Calculateur!X145*VLOOKUP('Données projet'!$B$9,Paramètres!$A$1:$I$89,3,0)*0.475*44/12</f>
        <v>0.71519679186063689</v>
      </c>
      <c r="AB145" s="21">
        <f>EXP(-LN(2)/2)*AB144+(1-EXP(-LN(2)/2))/(LN(2)/2)*V145*Y145*VLOOKUP('Données projet'!$B$9,Paramètres!$A$1:$I$89,3,0)*0.475*44/12</f>
        <v>2.3490266391119425E-17</v>
      </c>
      <c r="AC145" s="22">
        <f t="shared" si="111"/>
        <v>1.0514513918076329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1.1368683772161603E-13</v>
      </c>
      <c r="AJ145" s="13">
        <f>AI145*VLOOKUP('Données projet'!$B$10,Paramètres!$A$1:$I$89,3,0)*VLOOKUP('Données projet'!$B$10,Paramètres!$A$1:$I$89,5,0)</f>
        <v>6.3550942286383367E-14</v>
      </c>
      <c r="AK145" s="13">
        <f t="shared" si="143"/>
        <v>1.0064464192543978E-12</v>
      </c>
      <c r="AL145" s="20">
        <f t="shared" si="112"/>
        <v>1.8635787380168604E-12</v>
      </c>
      <c r="AM145" s="59">
        <f t="shared" si="113"/>
        <v>293.33333333333519</v>
      </c>
      <c r="AN145" s="59">
        <f ca="1">AVERAGE(OFFSET($AM$3,0,0,'Données projet'!$E$10+1,1))-AVERAGE(OFFSET($H$3,0,0,'Données projet'!$E$10+1,1))</f>
        <v>224.7049802939942</v>
      </c>
      <c r="AO145" s="59">
        <f t="shared" si="144"/>
        <v>203.48513862195352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0.24279225494974693</v>
      </c>
      <c r="AV145" s="21">
        <f>EXP(-LN(2)/25)*AV144+(1-EXP(-LN(2)/25))/(LN(2)/25)*Calculateur!AQ145*Calculateur!AS145*VLOOKUP('Données projet'!$B$10,Paramètres!$A$1:$I$89,3,0)*0.475*44/12</f>
        <v>0.87491558522407531</v>
      </c>
      <c r="AW145" s="21">
        <f>EXP(-LN(2)/2)*AW144+(1-EXP(-LN(2)/2))/(LN(2)/2)*AQ145*AT145*VLOOKUP('Données projet'!$B$10,Paramètres!$A$1:$I$89,3,0)*0.475*44/12</f>
        <v>1.2435348016714982E-16</v>
      </c>
      <c r="AX145" s="21">
        <f t="shared" si="114"/>
        <v>1.1177078401738225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>
        <f>BD145*VLOOKUP('Données projet'!$B$11,Paramètres!$A$1:$I$89,3,0)*VLOOKUP('Données projet'!$B$11,Paramètres!$A$1:$I$89,5,0)</f>
        <v>0</v>
      </c>
      <c r="BF145" s="13" t="e">
        <f t="shared" si="145"/>
        <v>#NUM!</v>
      </c>
      <c r="BG145" s="20" t="e">
        <f t="shared" si="115"/>
        <v>#NUM!</v>
      </c>
      <c r="BH145" s="59" t="e">
        <f t="shared" si="116"/>
        <v>#NUM!</v>
      </c>
      <c r="BI145" s="59">
        <f ca="1">AVERAGE(OFFSET($BH$3,0,0,'Données projet'!$E$11+1,1))-AVERAGE(OFFSET($H$3,0,0,'Données projet'!$E$11+1,1))</f>
        <v>210.04871822652808</v>
      </c>
      <c r="BJ145" s="59">
        <f t="shared" si="146"/>
        <v>250.17540614049324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0.79448471288751643</v>
      </c>
      <c r="BQ145" s="21">
        <f>EXP(-LN(2)/25)*BQ144+(1-EXP(-LN(2)/25))/(LN(2)/25)*Calculateur!BL145*Calculateur!BN145*VLOOKUP('Données projet'!$B$11,Paramètres!$A$1:$I$89,3,0)*0.475*44/12</f>
        <v>1.2471249312508725</v>
      </c>
      <c r="BR145" s="21">
        <f>EXP(-LN(2)/2)*BR144+(1-EXP(-LN(2)/2))/(LN(2)/2)*BL145*BO145*VLOOKUP('Données projet'!$B$11,Paramètres!$A$1:$I$89,3,0)*0.475*44/12</f>
        <v>2.9912029433020879E-16</v>
      </c>
      <c r="BS145" s="22">
        <f t="shared" si="117"/>
        <v>2.0416096441383895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2.2737367544323206E-13</v>
      </c>
      <c r="BZ145" s="13">
        <f>BY145*VLOOKUP('Données projet'!$B$12,Paramètres!$A$1:$I$89,3,0)*VLOOKUP('Données projet'!$B$12,Paramètres!$A$1:$I$89,5,0)</f>
        <v>1.2414602679200471E-13</v>
      </c>
      <c r="CA145" s="13">
        <f t="shared" si="147"/>
        <v>1.8186582995804361E-12</v>
      </c>
      <c r="CB145" s="20">
        <f t="shared" si="118"/>
        <v>3.3837175350986671E-12</v>
      </c>
      <c r="CC145" s="59">
        <f t="shared" si="119"/>
        <v>293.33333333333672</v>
      </c>
      <c r="CD145" s="59">
        <f ca="1">AVERAGE(OFFSET($CC$3,0,0,'Données projet'!$E$12+1,1))-AVERAGE(OFFSET($H$3,0,0,'Données projet'!$E$12+1,1))</f>
        <v>168.72306536277267</v>
      </c>
      <c r="CE145" s="59">
        <f t="shared" si="148"/>
        <v>203.35476578922339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0.33103529703646511</v>
      </c>
      <c r="CL145" s="21">
        <f>EXP(-LN(2)/25)*CL144+(1-EXP(-LN(2)/25))/(LN(2)/25)*Calculateur!CG145*Calculateur!CI145*VLOOKUP('Données projet'!$B$12,Paramètres!$A$1:$I$89,3,0)*0.475*44/12</f>
        <v>1.0299841335062485</v>
      </c>
      <c r="CM145" s="21">
        <f>EXP(-LN(2)/2)*CM144+(1-EXP(-LN(2)/2))/(LN(2)/2)*CG145*CJ145*VLOOKUP('Données projet'!$B$12,Paramètres!$A$1:$I$89,3,0)*0.475*44/12</f>
        <v>2.7788669451757711E-16</v>
      </c>
      <c r="CN145" s="22">
        <f t="shared" si="120"/>
        <v>1.3610194305427139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1277.6923076923067</v>
      </c>
      <c r="CU145" s="17">
        <f>CT145*VLOOKUP('Données projet'!$B$13,Paramètres!$A$1:$I$89,3,0)*VLOOKUP('Données projet'!$B$13,Paramètres!$A$1:$I$89,5,0)</f>
        <v>614.5699999999996</v>
      </c>
      <c r="CV145" s="13">
        <f t="shared" si="149"/>
        <v>134.13240620831178</v>
      </c>
      <c r="CW145" s="20">
        <f t="shared" si="121"/>
        <v>1303.9900241461421</v>
      </c>
      <c r="CX145" s="59">
        <f t="shared" si="122"/>
        <v>1597.3233574794754</v>
      </c>
      <c r="CY145" s="59">
        <f ca="1">AVERAGE(OFFSET($CX$3,0,0,'Données projet'!$E$13+1,1))-AVERAGE(OFFSET($H$3,0,0,'Données projet'!$E$13+1,1))</f>
        <v>304.15237106473313</v>
      </c>
      <c r="CZ145" s="59">
        <f t="shared" si="150"/>
        <v>120.85458928724336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>
        <f>EXP(-LN(2)/35)*DF144+(1-EXP(-LN(2)/35))/(LN(2)/35)*DB145*DC145*VLOOKUP('Données projet'!$B$13,Paramètres!$A$1:$I$89,3,0)*0.475*44/12</f>
        <v>0</v>
      </c>
      <c r="DG145" s="21">
        <f>EXP(-LN(2)/25)*DG144+(1-EXP(-LN(2)/25))/(LN(2)/25)*Calculateur!DB145*Calculateur!DD145*VLOOKUP('Données projet'!$B$13,Paramètres!$A$1:$I$89,3,0)*0.475*44/12</f>
        <v>0</v>
      </c>
      <c r="DH145" s="21">
        <f>EXP(-LN(2)/2)*DH144+(1-EXP(-LN(2)/2))/(LN(2)/2)*DB145*DE145*VLOOKUP('Données projet'!$B$13,Paramètres!$A$1:$I$89,3,0)*0.475*44/12</f>
        <v>0</v>
      </c>
      <c r="DI145" s="22">
        <f t="shared" si="123"/>
        <v>0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425.38461538461536</v>
      </c>
      <c r="DP145" s="17">
        <f>DO145*VLOOKUP('Données projet'!$B$14,Paramètres!$A$1:$I$89,3,0)*VLOOKUP('Données projet'!$B$14,Paramètres!$A$1:$I$89,5,0)</f>
        <v>204.60999999999999</v>
      </c>
      <c r="DQ145" s="13">
        <f t="shared" si="151"/>
        <v>50.755958577224398</v>
      </c>
      <c r="DR145" s="20">
        <f t="shared" si="124"/>
        <v>444.76237785533249</v>
      </c>
      <c r="DS145" s="59">
        <f t="shared" si="125"/>
        <v>738.09571118866575</v>
      </c>
      <c r="DT145" s="59">
        <f ca="1">AVERAGE(OFFSET($DS$3,0,0,'Données projet'!$E$14+1,1))-AVERAGE(OFFSET($H$3,0,0,'Données projet'!$E$14+1,1))</f>
        <v>91.053246648097399</v>
      </c>
      <c r="DU145" s="59">
        <f t="shared" si="152"/>
        <v>64.716270355703955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>
        <f>EXP(-LN(2)/35)*EA144+(1-EXP(-LN(2)/35))/(LN(2)/35)*DW145*DX145*VLOOKUP('Données projet'!$B$14,Paramètres!$A$1:$I$89,3,0)*0.475*44/12</f>
        <v>0</v>
      </c>
      <c r="EB145" s="21">
        <f>EXP(-LN(2)/25)*EB144+(1-EXP(-LN(2)/25))/(LN(2)/25)*Calculateur!DW145*Calculateur!DY145*VLOOKUP('Données projet'!$B$14,Paramètres!$A$1:$I$89,3,0)*0.475*44/12</f>
        <v>0</v>
      </c>
      <c r="EC145" s="21">
        <f>EXP(-LN(2)/2)*EC144+(1-EXP(-LN(2)/2))/(LN(2)/2)*DW145*DZ145*VLOOKUP('Données projet'!$B$14,Paramètres!$A$1:$I$89,3,0)*0.475*44/12</f>
        <v>0</v>
      </c>
      <c r="ED145" s="22">
        <f t="shared" si="126"/>
        <v>0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553.99999999999955</v>
      </c>
      <c r="EK145" s="17">
        <f>EJ145*VLOOKUP('Données projet'!$B$15,Paramètres!$A$1:$I$89,3,0)*VLOOKUP('Données projet'!$B$15,Paramètres!$A$1:$I$89,5,0)</f>
        <v>331.29199999999975</v>
      </c>
      <c r="EL145" s="13">
        <f t="shared" si="153"/>
        <v>77.698110787752</v>
      </c>
      <c r="EM145" s="20">
        <f t="shared" si="127"/>
        <v>712.32444295533423</v>
      </c>
      <c r="EN145" s="59">
        <f t="shared" si="128"/>
        <v>1005.6577762886675</v>
      </c>
      <c r="EO145" s="59">
        <f ca="1">AVERAGE(OFFSET($EN$3,0,0,'Données projet'!$E$15+1,1))-AVERAGE(OFFSET($H$3,0,0,'Données projet'!$E$15+1,1))</f>
        <v>316.58509520829671</v>
      </c>
      <c r="EP145" s="59">
        <f t="shared" si="154"/>
        <v>240.71332110643596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>
        <f>EXP(-LN(2)/35)*EV144+(1-EXP(-LN(2)/35))/(LN(2)/35)*ER145*ES145*VLOOKUP('Données projet'!$B$15,Paramètres!$A$1:$I$89,3,0)*0.475*44/12</f>
        <v>0.27580644901048385</v>
      </c>
      <c r="EW145" s="21">
        <f>EXP(-LN(2)/25)*EW144+(1-EXP(-LN(2)/25))/(LN(2)/25)*Calculateur!ER145*Calculateur!ET145*VLOOKUP('Données projet'!$B$15,Paramètres!$A$1:$I$89,3,0)*0.475*44/12</f>
        <v>0.68417261397872076</v>
      </c>
      <c r="EX145" s="21">
        <f>EXP(-LN(2)/2)*EX144+(1-EXP(-LN(2)/2))/(LN(2)/2)*ER145*EU145*VLOOKUP('Données projet'!$B$15,Paramètres!$A$1:$I$89,3,0)*0.475*44/12</f>
        <v>3.0446954777026042E-16</v>
      </c>
      <c r="EY145" s="22">
        <f t="shared" si="129"/>
        <v>0.95997906298920499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497</v>
      </c>
      <c r="FF145" s="17">
        <f>FE145*VLOOKUP('Données projet'!$B$16,Paramètres!$A$1:$I$89,3,0)*VLOOKUP('Données projet'!$B$16,Paramètres!$A$1:$I$89,5,0)</f>
        <v>297.20600000000002</v>
      </c>
      <c r="FG145" s="13">
        <f t="shared" si="155"/>
        <v>70.590415164571112</v>
      </c>
      <c r="FH145" s="20">
        <f t="shared" si="130"/>
        <v>640.57875641162809</v>
      </c>
      <c r="FI145" s="59">
        <f t="shared" si="131"/>
        <v>933.91208974496135</v>
      </c>
      <c r="FJ145" s="59">
        <f ca="1">AVERAGE(OFFSET($FI$3,0,0,'Données projet'!$E$16+1,1))-AVERAGE(OFFSET($H$3,0,0,'Données projet'!$E$16+1,1))</f>
        <v>270.30888762640245</v>
      </c>
      <c r="FK145" s="59">
        <f t="shared" si="156"/>
        <v>202.23783851977691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>
        <f>EXP(-LN(2)/35)*FQ144+(1-EXP(-LN(2)/35))/(LN(2)/35)*FM145*FN145*VLOOKUP('Données projet'!$B$16,Paramètres!$A$1:$I$89,3,0)*0.475*44/12</f>
        <v>0.23307587240322553</v>
      </c>
      <c r="FR145" s="21">
        <f>EXP(-LN(2)/25)*FR144+(1-EXP(-LN(2)/25))/(LN(2)/25)*Calculateur!FM145*Calculateur!FO145*VLOOKUP('Données projet'!$B$16,Paramètres!$A$1:$I$89,3,0)*0.475*44/12</f>
        <v>0.55096182137599092</v>
      </c>
      <c r="FS145" s="21">
        <f>EXP(-LN(2)/2)*FS144+(1-EXP(-LN(2)/2))/(LN(2)/2)*FM145*FP145*VLOOKUP('Données projet'!$B$16,Paramètres!$A$1:$I$89,3,0)*0.475*44/12</f>
        <v>2.5663649797589538E-16</v>
      </c>
      <c r="FT145" s="22">
        <f t="shared" si="132"/>
        <v>0.78403769377921662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-5.1159076974727213E-13</v>
      </c>
      <c r="GA145" s="17">
        <f>FZ145*VLOOKUP('Données projet'!$B$17,Paramètres!$A$1:$I$89,3,0)*VLOOKUP('Données projet'!$B$17,Paramètres!$A$1:$I$89,5,0)</f>
        <v>-4.0702161641092972E-13</v>
      </c>
      <c r="GB145" s="13" t="e">
        <f t="shared" si="157"/>
        <v>#NUM!</v>
      </c>
      <c r="GC145" s="20" t="e">
        <f t="shared" si="133"/>
        <v>#NUM!</v>
      </c>
      <c r="GD145" s="59" t="e">
        <f t="shared" si="134"/>
        <v>#NUM!</v>
      </c>
      <c r="GE145" s="59">
        <f ca="1">AVERAGE(OFFSET($GD$3,0,0,'Données projet'!$E$17+1,1))-AVERAGE(OFFSET($H$3,0,0,'Données projet'!$E$17+1,1))</f>
        <v>260.20517190557814</v>
      </c>
      <c r="GF145" s="59">
        <f t="shared" si="158"/>
        <v>307.22009971147133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>
        <f>EXP(-LN(2)/35)*GL144+(1-EXP(-LN(2)/35))/(LN(2)/35)*GH145*GI145*VLOOKUP('Données projet'!$B$17,Paramètres!$A$1:$I$89,3,0)*0.475*44/12</f>
        <v>0.35507476503554219</v>
      </c>
      <c r="GM145" s="21">
        <f>EXP(-LN(2)/25)*GM144+(1-EXP(-LN(2)/25))/(LN(2)/25)*Calculateur!GH145*Calculateur!GJ145*VLOOKUP('Données projet'!$B$17,Paramètres!$A$1:$I$89,3,0)*0.475*44/12</f>
        <v>0.91950600045070396</v>
      </c>
      <c r="GN145" s="21">
        <f>EXP(-LN(2)/2)*GN144+(1-EXP(-LN(2)/2))/(LN(2)/2)*GH145*GK145*VLOOKUP('Données projet'!$B$17,Paramètres!$A$1:$I$89,3,0)*0.475*44/12</f>
        <v>3.3360861646454918E-16</v>
      </c>
      <c r="GO145" s="21">
        <f t="shared" si="135"/>
        <v>1.2745807654862467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5.6843418860808015E-14</v>
      </c>
      <c r="GV145" s="17">
        <f>GU145*VLOOKUP('Données projet'!$B$18,Paramètres!$A$1:$I$89,3,0)*VLOOKUP('Données projet'!$B$18,Paramètres!$A$1:$I$89,5,0)</f>
        <v>4.5224624045658861E-14</v>
      </c>
      <c r="GW145" s="13">
        <f t="shared" si="159"/>
        <v>7.4514601661523691E-13</v>
      </c>
      <c r="GX145" s="20">
        <f t="shared" si="136"/>
        <v>1.3765621991510601E-12</v>
      </c>
      <c r="GY145" s="59">
        <f t="shared" si="137"/>
        <v>293.33333333333468</v>
      </c>
      <c r="GZ145" s="59">
        <f ca="1">AVERAGE(OFFSET($GY$3,0,0,'Données projet'!$E$18+1,1))-AVERAGE(OFFSET($H$3,0,0,'Données projet'!$E$18+1,1))</f>
        <v>199.58763537752952</v>
      </c>
      <c r="HA145" s="59">
        <f t="shared" si="160"/>
        <v>242.62852778451929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>
        <f>EXP(-LN(2)/35)*HG144+(1-EXP(-LN(2)/35))/(LN(2)/35)*HC145*HD145*VLOOKUP('Données projet'!$B$18,Paramètres!$A$1:$I$89,3,0)*0.475*44/12</f>
        <v>0</v>
      </c>
      <c r="HH145" s="21">
        <f>EXP(-LN(2)/25)*HH144+(1-EXP(-LN(2)/25))/(LN(2)/25)*Calculateur!HC145*Calculateur!HE145*VLOOKUP('Données projet'!$B$18,Paramètres!$A$1:$I$89,3,0)*0.475*44/12</f>
        <v>0.46079150229801091</v>
      </c>
      <c r="HI145" s="21">
        <f>EXP(-LN(2)/2)*HI144+(1-EXP(-LN(2)/2))/(LN(2)/2)*HC145*HF145*VLOOKUP('Données projet'!$B$18,Paramètres!$A$1:$I$89,3,0)*0.475*44/12</f>
        <v>1.493466238625149E-16</v>
      </c>
      <c r="HJ145" s="22">
        <f t="shared" si="138"/>
        <v>0.46079150229801108</v>
      </c>
    </row>
    <row r="146" spans="1:218" x14ac:dyDescent="0.2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127.15560000000025</v>
      </c>
      <c r="D146" s="11">
        <f t="shared" si="140"/>
        <v>33.33825814923194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1238.8999576431959</v>
      </c>
      <c r="H146" s="67">
        <f t="shared" si="110"/>
        <v>572.8601362765794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-2.2737367544323206E-13</v>
      </c>
      <c r="O146" s="13">
        <f>N146*VLOOKUP('Données projet'!$B$9,Paramètres!$A$1:$I$89,3,0)*VLOOKUP('Données projet'!$B$9,Paramètres!$A$1:$I$89,5,0)</f>
        <v>-1.2710188457276673E-13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255.5374979188561</v>
      </c>
      <c r="T146" s="59">
        <f t="shared" si="142"/>
        <v>343.10418468620901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0.32966085233709003</v>
      </c>
      <c r="AA146" s="21">
        <f>EXP(-LN(2)/25)*AA145+(1-EXP(-LN(2)/25))/(LN(2)/25)*Calculateur!V146*Calculateur!X146*VLOOKUP('Données projet'!$B$9,Paramètres!$A$1:$I$89,3,0)*0.475*44/12</f>
        <v>0.69563969797664305</v>
      </c>
      <c r="AB146" s="21">
        <f>EXP(-LN(2)/2)*AB145+(1-EXP(-LN(2)/2))/(LN(2)/2)*V146*Y146*VLOOKUP('Données projet'!$B$9,Paramètres!$A$1:$I$89,3,0)*0.475*44/12</f>
        <v>1.6610126657038994E-17</v>
      </c>
      <c r="AC146" s="22">
        <f t="shared" si="111"/>
        <v>1.0253005503137331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1.1368683772161603E-13</v>
      </c>
      <c r="AJ146" s="13">
        <f>AI146*VLOOKUP('Données projet'!$B$10,Paramètres!$A$1:$I$89,3,0)*VLOOKUP('Données projet'!$B$10,Paramètres!$A$1:$I$89,5,0)</f>
        <v>6.3550942286383367E-14</v>
      </c>
      <c r="AK146" s="13">
        <f t="shared" si="143"/>
        <v>1.0064464192543978E-12</v>
      </c>
      <c r="AL146" s="20">
        <f t="shared" si="112"/>
        <v>1.8635787380168604E-12</v>
      </c>
      <c r="AM146" s="59">
        <f t="shared" si="113"/>
        <v>293.33333333333519</v>
      </c>
      <c r="AN146" s="59">
        <f ca="1">AVERAGE(OFFSET($AM$3,0,0,'Données projet'!$E$10+1,1))-AVERAGE(OFFSET($H$3,0,0,'Données projet'!$E$10+1,1))</f>
        <v>224.7049802939942</v>
      </c>
      <c r="AO146" s="59">
        <f t="shared" si="144"/>
        <v>203.48513862195352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0.23803124691883537</v>
      </c>
      <c r="AV146" s="21">
        <f>EXP(-LN(2)/25)*AV145+(1-EXP(-LN(2)/25))/(LN(2)/25)*Calculateur!AQ146*Calculateur!AS146*VLOOKUP('Données projet'!$B$10,Paramètres!$A$1:$I$89,3,0)*0.475*44/12</f>
        <v>0.85099097253631195</v>
      </c>
      <c r="AW146" s="21">
        <f>EXP(-LN(2)/2)*AW145+(1-EXP(-LN(2)/2))/(LN(2)/2)*AQ146*AT146*VLOOKUP('Données projet'!$B$10,Paramètres!$A$1:$I$89,3,0)*0.475*44/12</f>
        <v>8.7931189090338484E-17</v>
      </c>
      <c r="AX146" s="21">
        <f t="shared" si="114"/>
        <v>1.0890222194551473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>
        <f>BD146*VLOOKUP('Données projet'!$B$11,Paramètres!$A$1:$I$89,3,0)*VLOOKUP('Données projet'!$B$11,Paramètres!$A$1:$I$89,5,0)</f>
        <v>0</v>
      </c>
      <c r="BF146" s="13" t="e">
        <f t="shared" si="145"/>
        <v>#NUM!</v>
      </c>
      <c r="BG146" s="20" t="e">
        <f t="shared" si="115"/>
        <v>#NUM!</v>
      </c>
      <c r="BH146" s="59" t="e">
        <f t="shared" si="116"/>
        <v>#NUM!</v>
      </c>
      <c r="BI146" s="59">
        <f ca="1">AVERAGE(OFFSET($BH$3,0,0,'Données projet'!$E$11+1,1))-AVERAGE(OFFSET($H$3,0,0,'Données projet'!$E$11+1,1))</f>
        <v>210.04871822652808</v>
      </c>
      <c r="BJ146" s="59">
        <f t="shared" si="146"/>
        <v>250.17540614049324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0.77890535225561797</v>
      </c>
      <c r="BQ146" s="21">
        <f>EXP(-LN(2)/25)*BQ145+(1-EXP(-LN(2)/25))/(LN(2)/25)*Calculateur!BL146*Calculateur!BN146*VLOOKUP('Données projet'!$B$11,Paramètres!$A$1:$I$89,3,0)*0.475*44/12</f>
        <v>1.2130222344223676</v>
      </c>
      <c r="BR146" s="21">
        <f>EXP(-LN(2)/2)*BR145+(1-EXP(-LN(2)/2))/(LN(2)/2)*BL146*BO146*VLOOKUP('Données projet'!$B$11,Paramètres!$A$1:$I$89,3,0)*0.475*44/12</f>
        <v>2.1150998851140664E-16</v>
      </c>
      <c r="BS146" s="22">
        <f t="shared" si="117"/>
        <v>1.9919275866779858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2.2737367544323206E-13</v>
      </c>
      <c r="BZ146" s="13">
        <f>BY146*VLOOKUP('Données projet'!$B$12,Paramètres!$A$1:$I$89,3,0)*VLOOKUP('Données projet'!$B$12,Paramètres!$A$1:$I$89,5,0)</f>
        <v>1.2414602679200471E-13</v>
      </c>
      <c r="CA146" s="13">
        <f t="shared" si="147"/>
        <v>1.8186582995804361E-12</v>
      </c>
      <c r="CB146" s="20">
        <f t="shared" si="118"/>
        <v>3.3837175350986671E-12</v>
      </c>
      <c r="CC146" s="59">
        <f t="shared" si="119"/>
        <v>293.33333333333672</v>
      </c>
      <c r="CD146" s="59">
        <f ca="1">AVERAGE(OFFSET($CC$3,0,0,'Données projet'!$E$12+1,1))-AVERAGE(OFFSET($H$3,0,0,'Données projet'!$E$12+1,1))</f>
        <v>168.72306536277267</v>
      </c>
      <c r="CE146" s="59">
        <f t="shared" si="148"/>
        <v>203.35476578922339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0.32454389677317413</v>
      </c>
      <c r="CL146" s="21">
        <f>EXP(-LN(2)/25)*CL145+(1-EXP(-LN(2)/25))/(LN(2)/25)*Calculateur!CG146*Calculateur!CI146*VLOOKUP('Données projet'!$B$12,Paramètres!$A$1:$I$89,3,0)*0.475*44/12</f>
        <v>1.0018191632110087</v>
      </c>
      <c r="CM146" s="21">
        <f>EXP(-LN(2)/2)*CM145+(1-EXP(-LN(2)/2))/(LN(2)/2)*CG146*CJ146*VLOOKUP('Données projet'!$B$12,Paramètres!$A$1:$I$89,3,0)*0.475*44/12</f>
        <v>1.9649556609489338E-16</v>
      </c>
      <c r="CN146" s="22">
        <f t="shared" si="120"/>
        <v>1.3263630599841831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1277.6923076923067</v>
      </c>
      <c r="CU146" s="17">
        <f>CT146*VLOOKUP('Données projet'!$B$13,Paramètres!$A$1:$I$89,3,0)*VLOOKUP('Données projet'!$B$13,Paramètres!$A$1:$I$89,5,0)</f>
        <v>614.5699999999996</v>
      </c>
      <c r="CV146" s="13">
        <f t="shared" si="149"/>
        <v>134.13240620831178</v>
      </c>
      <c r="CW146" s="20">
        <f t="shared" si="121"/>
        <v>1303.9900241461421</v>
      </c>
      <c r="CX146" s="59">
        <f t="shared" si="122"/>
        <v>1597.3233574794754</v>
      </c>
      <c r="CY146" s="59">
        <f ca="1">AVERAGE(OFFSET($CX$3,0,0,'Données projet'!$E$13+1,1))-AVERAGE(OFFSET($H$3,0,0,'Données projet'!$E$13+1,1))</f>
        <v>304.15237106473313</v>
      </c>
      <c r="CZ146" s="59">
        <f t="shared" si="150"/>
        <v>120.85458928724336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>
        <f>EXP(-LN(2)/35)*DF145+(1-EXP(-LN(2)/35))/(LN(2)/35)*DB146*DC146*VLOOKUP('Données projet'!$B$13,Paramètres!$A$1:$I$89,3,0)*0.475*44/12</f>
        <v>0</v>
      </c>
      <c r="DG146" s="21">
        <f>EXP(-LN(2)/25)*DG145+(1-EXP(-LN(2)/25))/(LN(2)/25)*Calculateur!DB146*Calculateur!DD146*VLOOKUP('Données projet'!$B$13,Paramètres!$A$1:$I$89,3,0)*0.475*44/12</f>
        <v>0</v>
      </c>
      <c r="DH146" s="21">
        <f>EXP(-LN(2)/2)*DH145+(1-EXP(-LN(2)/2))/(LN(2)/2)*DB146*DE146*VLOOKUP('Données projet'!$B$13,Paramètres!$A$1:$I$89,3,0)*0.475*44/12</f>
        <v>0</v>
      </c>
      <c r="DI146" s="22">
        <f t="shared" si="123"/>
        <v>0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425.38461538461536</v>
      </c>
      <c r="DP146" s="17">
        <f>DO146*VLOOKUP('Données projet'!$B$14,Paramètres!$A$1:$I$89,3,0)*VLOOKUP('Données projet'!$B$14,Paramètres!$A$1:$I$89,5,0)</f>
        <v>204.60999999999999</v>
      </c>
      <c r="DQ146" s="13">
        <f t="shared" si="151"/>
        <v>50.755958577224398</v>
      </c>
      <c r="DR146" s="20">
        <f t="shared" si="124"/>
        <v>444.76237785533249</v>
      </c>
      <c r="DS146" s="59">
        <f t="shared" si="125"/>
        <v>738.09571118866575</v>
      </c>
      <c r="DT146" s="59">
        <f ca="1">AVERAGE(OFFSET($DS$3,0,0,'Données projet'!$E$14+1,1))-AVERAGE(OFFSET($H$3,0,0,'Données projet'!$E$14+1,1))</f>
        <v>91.053246648097399</v>
      </c>
      <c r="DU146" s="59">
        <f t="shared" si="152"/>
        <v>64.716270355703955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>
        <f>EXP(-LN(2)/35)*EA145+(1-EXP(-LN(2)/35))/(LN(2)/35)*DW146*DX146*VLOOKUP('Données projet'!$B$14,Paramètres!$A$1:$I$89,3,0)*0.475*44/12</f>
        <v>0</v>
      </c>
      <c r="EB146" s="21">
        <f>EXP(-LN(2)/25)*EB145+(1-EXP(-LN(2)/25))/(LN(2)/25)*Calculateur!DW146*Calculateur!DY146*VLOOKUP('Données projet'!$B$14,Paramètres!$A$1:$I$89,3,0)*0.475*44/12</f>
        <v>0</v>
      </c>
      <c r="EC146" s="21">
        <f>EXP(-LN(2)/2)*EC145+(1-EXP(-LN(2)/2))/(LN(2)/2)*DW146*DZ146*VLOOKUP('Données projet'!$B$14,Paramètres!$A$1:$I$89,3,0)*0.475*44/12</f>
        <v>0</v>
      </c>
      <c r="ED146" s="22">
        <f t="shared" si="126"/>
        <v>0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553.99999999999955</v>
      </c>
      <c r="EK146" s="17">
        <f>EJ146*VLOOKUP('Données projet'!$B$15,Paramètres!$A$1:$I$89,3,0)*VLOOKUP('Données projet'!$B$15,Paramètres!$A$1:$I$89,5,0)</f>
        <v>331.29199999999975</v>
      </c>
      <c r="EL146" s="13">
        <f t="shared" si="153"/>
        <v>77.698110787752</v>
      </c>
      <c r="EM146" s="20">
        <f t="shared" si="127"/>
        <v>712.32444295533423</v>
      </c>
      <c r="EN146" s="59">
        <f t="shared" si="128"/>
        <v>1005.6577762886675</v>
      </c>
      <c r="EO146" s="59">
        <f ca="1">AVERAGE(OFFSET($EN$3,0,0,'Données projet'!$E$15+1,1))-AVERAGE(OFFSET($H$3,0,0,'Données projet'!$E$15+1,1))</f>
        <v>316.58509520829671</v>
      </c>
      <c r="EP146" s="59">
        <f t="shared" si="154"/>
        <v>240.71332110643596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>
        <f>EXP(-LN(2)/35)*EV145+(1-EXP(-LN(2)/35))/(LN(2)/35)*ER146*ES146*VLOOKUP('Données projet'!$B$15,Paramètres!$A$1:$I$89,3,0)*0.475*44/12</f>
        <v>0.27039805277071127</v>
      </c>
      <c r="EW146" s="21">
        <f>EXP(-LN(2)/25)*EW145+(1-EXP(-LN(2)/25))/(LN(2)/25)*Calculateur!ER146*Calculateur!ET146*VLOOKUP('Données projet'!$B$15,Paramètres!$A$1:$I$89,3,0)*0.475*44/12</f>
        <v>0.66546387787039851</v>
      </c>
      <c r="EX146" s="21">
        <f>EXP(-LN(2)/2)*EX145+(1-EXP(-LN(2)/2))/(LN(2)/2)*ER146*EU146*VLOOKUP('Données projet'!$B$15,Paramètres!$A$1:$I$89,3,0)*0.475*44/12</f>
        <v>2.1529248189315262E-16</v>
      </c>
      <c r="EY146" s="22">
        <f t="shared" si="129"/>
        <v>0.93586193064111001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497</v>
      </c>
      <c r="FF146" s="17">
        <f>FE146*VLOOKUP('Données projet'!$B$16,Paramètres!$A$1:$I$89,3,0)*VLOOKUP('Données projet'!$B$16,Paramètres!$A$1:$I$89,5,0)</f>
        <v>297.20600000000002</v>
      </c>
      <c r="FG146" s="13">
        <f t="shared" si="155"/>
        <v>70.590415164571112</v>
      </c>
      <c r="FH146" s="20">
        <f t="shared" si="130"/>
        <v>640.57875641162809</v>
      </c>
      <c r="FI146" s="59">
        <f t="shared" si="131"/>
        <v>933.91208974496135</v>
      </c>
      <c r="FJ146" s="59">
        <f ca="1">AVERAGE(OFFSET($FI$3,0,0,'Données projet'!$E$16+1,1))-AVERAGE(OFFSET($H$3,0,0,'Données projet'!$E$16+1,1))</f>
        <v>270.30888762640245</v>
      </c>
      <c r="FK146" s="59">
        <f t="shared" si="156"/>
        <v>202.23783851977691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>
        <f>EXP(-LN(2)/35)*FQ145+(1-EXP(-LN(2)/35))/(LN(2)/35)*FM146*FN146*VLOOKUP('Données projet'!$B$16,Paramètres!$A$1:$I$89,3,0)*0.475*44/12</f>
        <v>0.22850539670764308</v>
      </c>
      <c r="FR146" s="21">
        <f>EXP(-LN(2)/25)*FR145+(1-EXP(-LN(2)/25))/(LN(2)/25)*Calculateur!FM146*Calculateur!FO146*VLOOKUP('Données projet'!$B$16,Paramètres!$A$1:$I$89,3,0)*0.475*44/12</f>
        <v>0.53589574139664153</v>
      </c>
      <c r="FS146" s="21">
        <f>EXP(-LN(2)/2)*FS145+(1-EXP(-LN(2)/2))/(LN(2)/2)*FM146*FP146*VLOOKUP('Données projet'!$B$16,Paramètres!$A$1:$I$89,3,0)*0.475*44/12</f>
        <v>1.814694080187233E-16</v>
      </c>
      <c r="FT146" s="22">
        <f t="shared" si="132"/>
        <v>0.76440113810428478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-5.1159076974727213E-13</v>
      </c>
      <c r="GA146" s="17">
        <f>FZ146*VLOOKUP('Données projet'!$B$17,Paramètres!$A$1:$I$89,3,0)*VLOOKUP('Données projet'!$B$17,Paramètres!$A$1:$I$89,5,0)</f>
        <v>-4.0702161641092972E-13</v>
      </c>
      <c r="GB146" s="13" t="e">
        <f t="shared" si="157"/>
        <v>#NUM!</v>
      </c>
      <c r="GC146" s="20" t="e">
        <f t="shared" si="133"/>
        <v>#NUM!</v>
      </c>
      <c r="GD146" s="59" t="e">
        <f t="shared" si="134"/>
        <v>#NUM!</v>
      </c>
      <c r="GE146" s="59">
        <f ca="1">AVERAGE(OFFSET($GD$3,0,0,'Données projet'!$E$17+1,1))-AVERAGE(OFFSET($H$3,0,0,'Données projet'!$E$17+1,1))</f>
        <v>260.20517190557814</v>
      </c>
      <c r="GF146" s="59">
        <f t="shared" si="158"/>
        <v>307.22009971147133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>
        <f>EXP(-LN(2)/35)*GL145+(1-EXP(-LN(2)/35))/(LN(2)/35)*GH146*GI146*VLOOKUP('Données projet'!$B$17,Paramètres!$A$1:$I$89,3,0)*0.475*44/12</f>
        <v>0.34811196546741696</v>
      </c>
      <c r="GM146" s="21">
        <f>EXP(-LN(2)/25)*GM145+(1-EXP(-LN(2)/25))/(LN(2)/25)*Calculateur!GH146*Calculateur!GJ146*VLOOKUP('Données projet'!$B$17,Paramètres!$A$1:$I$89,3,0)*0.475*44/12</f>
        <v>0.89436206051366041</v>
      </c>
      <c r="GN146" s="21">
        <f>EXP(-LN(2)/2)*GN145+(1-EXP(-LN(2)/2))/(LN(2)/2)*GH146*GK146*VLOOKUP('Données projet'!$B$17,Paramètres!$A$1:$I$89,3,0)*0.475*44/12</f>
        <v>2.3589691496434483E-16</v>
      </c>
      <c r="GO146" s="21">
        <f t="shared" si="135"/>
        <v>1.2424740259810776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5.6843418860808015E-14</v>
      </c>
      <c r="GV146" s="17">
        <f>GU146*VLOOKUP('Données projet'!$B$18,Paramètres!$A$1:$I$89,3,0)*VLOOKUP('Données projet'!$B$18,Paramètres!$A$1:$I$89,5,0)</f>
        <v>4.5224624045658861E-14</v>
      </c>
      <c r="GW146" s="13">
        <f t="shared" si="159"/>
        <v>7.4514601661523691E-13</v>
      </c>
      <c r="GX146" s="20">
        <f t="shared" si="136"/>
        <v>1.3765621991510601E-12</v>
      </c>
      <c r="GY146" s="59">
        <f t="shared" si="137"/>
        <v>293.33333333333468</v>
      </c>
      <c r="GZ146" s="59">
        <f ca="1">AVERAGE(OFFSET($GY$3,0,0,'Données projet'!$E$18+1,1))-AVERAGE(OFFSET($H$3,0,0,'Données projet'!$E$18+1,1))</f>
        <v>199.58763537752952</v>
      </c>
      <c r="HA146" s="59">
        <f t="shared" si="160"/>
        <v>242.62852778451929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>
        <f>EXP(-LN(2)/35)*HG145+(1-EXP(-LN(2)/35))/(LN(2)/35)*HC146*HD146*VLOOKUP('Données projet'!$B$18,Paramètres!$A$1:$I$89,3,0)*0.475*44/12</f>
        <v>0</v>
      </c>
      <c r="HH146" s="21">
        <f>EXP(-LN(2)/25)*HH145+(1-EXP(-LN(2)/25))/(LN(2)/25)*Calculateur!HC146*Calculateur!HE146*VLOOKUP('Données projet'!$B$18,Paramètres!$A$1:$I$89,3,0)*0.475*44/12</f>
        <v>0.44819113443569986</v>
      </c>
      <c r="HI146" s="21">
        <f>EXP(-LN(2)/2)*HI145+(1-EXP(-LN(2)/2))/(LN(2)/2)*HC146*HF146*VLOOKUP('Données projet'!$B$18,Paramètres!$A$1:$I$89,3,0)*0.475*44/12</f>
        <v>1.0560401048050094E-16</v>
      </c>
      <c r="HJ146" s="22">
        <f t="shared" si="138"/>
        <v>0.44819113443569997</v>
      </c>
    </row>
    <row r="147" spans="1:218" x14ac:dyDescent="0.2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128.04480000000024</v>
      </c>
      <c r="D147" s="11">
        <f t="shared" si="140"/>
        <v>33.544172323452237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1247.3534705670015</v>
      </c>
      <c r="H147" s="67">
        <f t="shared" si="110"/>
        <v>574.76746013001298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-2.2737367544323206E-13</v>
      </c>
      <c r="O147" s="13">
        <f>N147*VLOOKUP('Données projet'!$B$9,Paramètres!$A$1:$I$89,3,0)*VLOOKUP('Données projet'!$B$9,Paramètres!$A$1:$I$89,5,0)</f>
        <v>-1.2710188457276673E-13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255.5374979188561</v>
      </c>
      <c r="T147" s="59">
        <f t="shared" si="142"/>
        <v>343.10418468620901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0.32319640409602529</v>
      </c>
      <c r="AA147" s="21">
        <f>EXP(-LN(2)/25)*AA146+(1-EXP(-LN(2)/25))/(LN(2)/25)*Calculateur!V147*Calculateur!X147*VLOOKUP('Données projet'!$B$9,Paramètres!$A$1:$I$89,3,0)*0.475*44/12</f>
        <v>0.67661739385336994</v>
      </c>
      <c r="AB147" s="21">
        <f>EXP(-LN(2)/2)*AB146+(1-EXP(-LN(2)/2))/(LN(2)/2)*V147*Y147*VLOOKUP('Données projet'!$B$9,Paramètres!$A$1:$I$89,3,0)*0.475*44/12</f>
        <v>1.1745133195559712E-17</v>
      </c>
      <c r="AC147" s="22">
        <f t="shared" si="111"/>
        <v>0.99981379794939529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1.1368683772161603E-13</v>
      </c>
      <c r="AJ147" s="13">
        <f>AI147*VLOOKUP('Données projet'!$B$10,Paramètres!$A$1:$I$89,3,0)*VLOOKUP('Données projet'!$B$10,Paramètres!$A$1:$I$89,5,0)</f>
        <v>6.3550942286383367E-14</v>
      </c>
      <c r="AK147" s="13">
        <f t="shared" si="143"/>
        <v>1.0064464192543978E-12</v>
      </c>
      <c r="AL147" s="20">
        <f t="shared" si="112"/>
        <v>1.8635787380168604E-12</v>
      </c>
      <c r="AM147" s="59">
        <f t="shared" si="113"/>
        <v>293.33333333333519</v>
      </c>
      <c r="AN147" s="59">
        <f ca="1">AVERAGE(OFFSET($AM$3,0,0,'Données projet'!$E$10+1,1))-AVERAGE(OFFSET($H$3,0,0,'Données projet'!$E$10+1,1))</f>
        <v>224.7049802939942</v>
      </c>
      <c r="AO147" s="59">
        <f t="shared" si="144"/>
        <v>203.48513862195352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0.23336359935148182</v>
      </c>
      <c r="AV147" s="21">
        <f>EXP(-LN(2)/25)*AV146+(1-EXP(-LN(2)/25))/(LN(2)/25)*Calculateur!AQ147*Calculateur!AS147*VLOOKUP('Données projet'!$B$10,Paramètres!$A$1:$I$89,3,0)*0.475*44/12</f>
        <v>0.82772057964063617</v>
      </c>
      <c r="AW147" s="21">
        <f>EXP(-LN(2)/2)*AW146+(1-EXP(-LN(2)/2))/(LN(2)/2)*AQ147*AT147*VLOOKUP('Données projet'!$B$10,Paramètres!$A$1:$I$89,3,0)*0.475*44/12</f>
        <v>6.2176740083574909E-17</v>
      </c>
      <c r="AX147" s="21">
        <f t="shared" si="114"/>
        <v>1.0610841789921179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>
        <f>BD147*VLOOKUP('Données projet'!$B$11,Paramètres!$A$1:$I$89,3,0)*VLOOKUP('Données projet'!$B$11,Paramètres!$A$1:$I$89,5,0)</f>
        <v>0</v>
      </c>
      <c r="BF147" s="13" t="e">
        <f t="shared" si="145"/>
        <v>#NUM!</v>
      </c>
      <c r="BG147" s="20" t="e">
        <f t="shared" si="115"/>
        <v>#NUM!</v>
      </c>
      <c r="BH147" s="59" t="e">
        <f t="shared" si="116"/>
        <v>#NUM!</v>
      </c>
      <c r="BI147" s="59">
        <f ca="1">AVERAGE(OFFSET($BH$3,0,0,'Données projet'!$E$11+1,1))-AVERAGE(OFFSET($H$3,0,0,'Données projet'!$E$11+1,1))</f>
        <v>210.04871822652808</v>
      </c>
      <c r="BJ147" s="59">
        <f t="shared" si="146"/>
        <v>250.17540614049324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0.76363149338323943</v>
      </c>
      <c r="BQ147" s="21">
        <f>EXP(-LN(2)/25)*BQ146+(1-EXP(-LN(2)/25))/(LN(2)/25)*Calculateur!BL147*Calculateur!BN147*VLOOKUP('Données projet'!$B$11,Paramètres!$A$1:$I$89,3,0)*0.475*44/12</f>
        <v>1.1798520776320209</v>
      </c>
      <c r="BR147" s="21">
        <f>EXP(-LN(2)/2)*BR146+(1-EXP(-LN(2)/2))/(LN(2)/2)*BL147*BO147*VLOOKUP('Données projet'!$B$11,Paramètres!$A$1:$I$89,3,0)*0.475*44/12</f>
        <v>1.4956014716510439E-16</v>
      </c>
      <c r="BS147" s="22">
        <f t="shared" si="117"/>
        <v>1.9434835710152607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2.2737367544323206E-13</v>
      </c>
      <c r="BZ147" s="13">
        <f>BY147*VLOOKUP('Données projet'!$B$12,Paramètres!$A$1:$I$89,3,0)*VLOOKUP('Données projet'!$B$12,Paramètres!$A$1:$I$89,5,0)</f>
        <v>1.2414602679200471E-13</v>
      </c>
      <c r="CA147" s="13">
        <f t="shared" si="147"/>
        <v>1.8186582995804361E-12</v>
      </c>
      <c r="CB147" s="20">
        <f t="shared" si="118"/>
        <v>3.3837175350986671E-12</v>
      </c>
      <c r="CC147" s="59">
        <f t="shared" si="119"/>
        <v>293.33333333333672</v>
      </c>
      <c r="CD147" s="59">
        <f ca="1">AVERAGE(OFFSET($CC$3,0,0,'Données projet'!$E$12+1,1))-AVERAGE(OFFSET($H$3,0,0,'Données projet'!$E$12+1,1))</f>
        <v>168.72306536277267</v>
      </c>
      <c r="CE147" s="59">
        <f t="shared" si="148"/>
        <v>203.35476578922339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0.31817978890968307</v>
      </c>
      <c r="CL147" s="21">
        <f>EXP(-LN(2)/25)*CL146+(1-EXP(-LN(2)/25))/(LN(2)/25)*Calculateur!CG147*Calculateur!CI147*VLOOKUP('Données projet'!$B$12,Paramètres!$A$1:$I$89,3,0)*0.475*44/12</f>
        <v>0.97442436550962364</v>
      </c>
      <c r="CM147" s="21">
        <f>EXP(-LN(2)/2)*CM146+(1-EXP(-LN(2)/2))/(LN(2)/2)*CG147*CJ147*VLOOKUP('Données projet'!$B$12,Paramètres!$A$1:$I$89,3,0)*0.475*44/12</f>
        <v>1.3894334725878856E-16</v>
      </c>
      <c r="CN147" s="22">
        <f t="shared" si="120"/>
        <v>1.292604154419307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1277.6923076923067</v>
      </c>
      <c r="CU147" s="17">
        <f>CT147*VLOOKUP('Données projet'!$B$13,Paramètres!$A$1:$I$89,3,0)*VLOOKUP('Données projet'!$B$13,Paramètres!$A$1:$I$89,5,0)</f>
        <v>614.5699999999996</v>
      </c>
      <c r="CV147" s="13">
        <f t="shared" si="149"/>
        <v>134.13240620831178</v>
      </c>
      <c r="CW147" s="20">
        <f t="shared" si="121"/>
        <v>1303.9900241461421</v>
      </c>
      <c r="CX147" s="59">
        <f t="shared" si="122"/>
        <v>1597.3233574794754</v>
      </c>
      <c r="CY147" s="59">
        <f ca="1">AVERAGE(OFFSET($CX$3,0,0,'Données projet'!$E$13+1,1))-AVERAGE(OFFSET($H$3,0,0,'Données projet'!$E$13+1,1))</f>
        <v>304.15237106473313</v>
      </c>
      <c r="CZ147" s="59">
        <f t="shared" si="150"/>
        <v>120.85458928724336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>
        <f>EXP(-LN(2)/35)*DF146+(1-EXP(-LN(2)/35))/(LN(2)/35)*DB147*DC147*VLOOKUP('Données projet'!$B$13,Paramètres!$A$1:$I$89,3,0)*0.475*44/12</f>
        <v>0</v>
      </c>
      <c r="DG147" s="21">
        <f>EXP(-LN(2)/25)*DG146+(1-EXP(-LN(2)/25))/(LN(2)/25)*Calculateur!DB147*Calculateur!DD147*VLOOKUP('Données projet'!$B$13,Paramètres!$A$1:$I$89,3,0)*0.475*44/12</f>
        <v>0</v>
      </c>
      <c r="DH147" s="21">
        <f>EXP(-LN(2)/2)*DH146+(1-EXP(-LN(2)/2))/(LN(2)/2)*DB147*DE147*VLOOKUP('Données projet'!$B$13,Paramètres!$A$1:$I$89,3,0)*0.475*44/12</f>
        <v>0</v>
      </c>
      <c r="DI147" s="22">
        <f t="shared" si="123"/>
        <v>0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425.38461538461536</v>
      </c>
      <c r="DP147" s="17">
        <f>DO147*VLOOKUP('Données projet'!$B$14,Paramètres!$A$1:$I$89,3,0)*VLOOKUP('Données projet'!$B$14,Paramètres!$A$1:$I$89,5,0)</f>
        <v>204.60999999999999</v>
      </c>
      <c r="DQ147" s="13">
        <f t="shared" si="151"/>
        <v>50.755958577224398</v>
      </c>
      <c r="DR147" s="20">
        <f t="shared" si="124"/>
        <v>444.76237785533249</v>
      </c>
      <c r="DS147" s="59">
        <f t="shared" si="125"/>
        <v>738.09571118866575</v>
      </c>
      <c r="DT147" s="59">
        <f ca="1">AVERAGE(OFFSET($DS$3,0,0,'Données projet'!$E$14+1,1))-AVERAGE(OFFSET($H$3,0,0,'Données projet'!$E$14+1,1))</f>
        <v>91.053246648097399</v>
      </c>
      <c r="DU147" s="59">
        <f t="shared" si="152"/>
        <v>64.716270355703955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>
        <f>EXP(-LN(2)/35)*EA146+(1-EXP(-LN(2)/35))/(LN(2)/35)*DW147*DX147*VLOOKUP('Données projet'!$B$14,Paramètres!$A$1:$I$89,3,0)*0.475*44/12</f>
        <v>0</v>
      </c>
      <c r="EB147" s="21">
        <f>EXP(-LN(2)/25)*EB146+(1-EXP(-LN(2)/25))/(LN(2)/25)*Calculateur!DW147*Calculateur!DY147*VLOOKUP('Données projet'!$B$14,Paramètres!$A$1:$I$89,3,0)*0.475*44/12</f>
        <v>0</v>
      </c>
      <c r="EC147" s="21">
        <f>EXP(-LN(2)/2)*EC146+(1-EXP(-LN(2)/2))/(LN(2)/2)*DW147*DZ147*VLOOKUP('Données projet'!$B$14,Paramètres!$A$1:$I$89,3,0)*0.475*44/12</f>
        <v>0</v>
      </c>
      <c r="ED147" s="22">
        <f t="shared" si="126"/>
        <v>0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553.99999999999955</v>
      </c>
      <c r="EK147" s="17">
        <f>EJ147*VLOOKUP('Données projet'!$B$15,Paramètres!$A$1:$I$89,3,0)*VLOOKUP('Données projet'!$B$15,Paramètres!$A$1:$I$89,5,0)</f>
        <v>331.29199999999975</v>
      </c>
      <c r="EL147" s="13">
        <f t="shared" si="153"/>
        <v>77.698110787752</v>
      </c>
      <c r="EM147" s="20">
        <f t="shared" si="127"/>
        <v>712.32444295533423</v>
      </c>
      <c r="EN147" s="59">
        <f t="shared" si="128"/>
        <v>1005.6577762886675</v>
      </c>
      <c r="EO147" s="59">
        <f ca="1">AVERAGE(OFFSET($EN$3,0,0,'Données projet'!$E$15+1,1))-AVERAGE(OFFSET($H$3,0,0,'Données projet'!$E$15+1,1))</f>
        <v>316.58509520829671</v>
      </c>
      <c r="EP147" s="59">
        <f t="shared" si="154"/>
        <v>240.71332110643596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>
        <f>EXP(-LN(2)/35)*EV146+(1-EXP(-LN(2)/35))/(LN(2)/35)*ER147*ES147*VLOOKUP('Données projet'!$B$15,Paramètres!$A$1:$I$89,3,0)*0.475*44/12</f>
        <v>0.26509571188240466</v>
      </c>
      <c r="EW147" s="21">
        <f>EXP(-LN(2)/25)*EW146+(1-EXP(-LN(2)/25))/(LN(2)/25)*Calculateur!ER147*Calculateur!ET147*VLOOKUP('Données projet'!$B$15,Paramètres!$A$1:$I$89,3,0)*0.475*44/12</f>
        <v>0.64726673313480809</v>
      </c>
      <c r="EX147" s="21">
        <f>EXP(-LN(2)/2)*EX146+(1-EXP(-LN(2)/2))/(LN(2)/2)*ER147*EU147*VLOOKUP('Données projet'!$B$15,Paramètres!$A$1:$I$89,3,0)*0.475*44/12</f>
        <v>1.5223477388513021E-16</v>
      </c>
      <c r="EY147" s="22">
        <f t="shared" si="129"/>
        <v>0.91236244501721286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497</v>
      </c>
      <c r="FF147" s="17">
        <f>FE147*VLOOKUP('Données projet'!$B$16,Paramètres!$A$1:$I$89,3,0)*VLOOKUP('Données projet'!$B$16,Paramètres!$A$1:$I$89,5,0)</f>
        <v>297.20600000000002</v>
      </c>
      <c r="FG147" s="13">
        <f t="shared" si="155"/>
        <v>70.590415164571112</v>
      </c>
      <c r="FH147" s="20">
        <f t="shared" si="130"/>
        <v>640.57875641162809</v>
      </c>
      <c r="FI147" s="59">
        <f t="shared" si="131"/>
        <v>933.91208974496135</v>
      </c>
      <c r="FJ147" s="59">
        <f ca="1">AVERAGE(OFFSET($FI$3,0,0,'Données projet'!$E$16+1,1))-AVERAGE(OFFSET($H$3,0,0,'Données projet'!$E$16+1,1))</f>
        <v>270.30888762640245</v>
      </c>
      <c r="FK147" s="59">
        <f t="shared" si="156"/>
        <v>202.23783851977691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>
        <f>EXP(-LN(2)/35)*FQ146+(1-EXP(-LN(2)/35))/(LN(2)/35)*FM147*FN147*VLOOKUP('Données projet'!$B$16,Paramètres!$A$1:$I$89,3,0)*0.475*44/12</f>
        <v>0.2240245452527361</v>
      </c>
      <c r="FR147" s="21">
        <f>EXP(-LN(2)/25)*FR146+(1-EXP(-LN(2)/25))/(LN(2)/25)*Calculateur!FM147*Calculateur!FO147*VLOOKUP('Données projet'!$B$16,Paramètres!$A$1:$I$89,3,0)*0.475*44/12</f>
        <v>0.52124164416661811</v>
      </c>
      <c r="FS147" s="21">
        <f>EXP(-LN(2)/2)*FS146+(1-EXP(-LN(2)/2))/(LN(2)/2)*FM147*FP147*VLOOKUP('Données projet'!$B$16,Paramètres!$A$1:$I$89,3,0)*0.475*44/12</f>
        <v>1.2831824898794769E-16</v>
      </c>
      <c r="FT147" s="22">
        <f t="shared" si="132"/>
        <v>0.7452661894193543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-5.1159076974727213E-13</v>
      </c>
      <c r="GA147" s="17">
        <f>FZ147*VLOOKUP('Données projet'!$B$17,Paramètres!$A$1:$I$89,3,0)*VLOOKUP('Données projet'!$B$17,Paramètres!$A$1:$I$89,5,0)</f>
        <v>-4.0702161641092972E-13</v>
      </c>
      <c r="GB147" s="13" t="e">
        <f t="shared" si="157"/>
        <v>#NUM!</v>
      </c>
      <c r="GC147" s="20" t="e">
        <f t="shared" si="133"/>
        <v>#NUM!</v>
      </c>
      <c r="GD147" s="59" t="e">
        <f t="shared" si="134"/>
        <v>#NUM!</v>
      </c>
      <c r="GE147" s="59">
        <f ca="1">AVERAGE(OFFSET($GD$3,0,0,'Données projet'!$E$17+1,1))-AVERAGE(OFFSET($H$3,0,0,'Données projet'!$E$17+1,1))</f>
        <v>260.20517190557814</v>
      </c>
      <c r="GF147" s="59">
        <f t="shared" si="158"/>
        <v>307.22009971147133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>
        <f>EXP(-LN(2)/35)*GL146+(1-EXP(-LN(2)/35))/(LN(2)/35)*GH147*GI147*VLOOKUP('Données projet'!$B$17,Paramètres!$A$1:$I$89,3,0)*0.475*44/12</f>
        <v>0.34128570215193427</v>
      </c>
      <c r="GM147" s="21">
        <f>EXP(-LN(2)/25)*GM146+(1-EXP(-LN(2)/25))/(LN(2)/25)*Calculateur!GH147*Calculateur!GJ147*VLOOKUP('Données projet'!$B$17,Paramètres!$A$1:$I$89,3,0)*0.475*44/12</f>
        <v>0.86990568293645765</v>
      </c>
      <c r="GN147" s="21">
        <f>EXP(-LN(2)/2)*GN146+(1-EXP(-LN(2)/2))/(LN(2)/2)*GH147*GK147*VLOOKUP('Données projet'!$B$17,Paramètres!$A$1:$I$89,3,0)*0.475*44/12</f>
        <v>1.6680430823227459E-16</v>
      </c>
      <c r="GO147" s="21">
        <f t="shared" si="135"/>
        <v>1.2111913850883922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5.6843418860808015E-14</v>
      </c>
      <c r="GV147" s="17">
        <f>GU147*VLOOKUP('Données projet'!$B$18,Paramètres!$A$1:$I$89,3,0)*VLOOKUP('Données projet'!$B$18,Paramètres!$A$1:$I$89,5,0)</f>
        <v>4.5224624045658861E-14</v>
      </c>
      <c r="GW147" s="13">
        <f t="shared" si="159"/>
        <v>7.4514601661523691E-13</v>
      </c>
      <c r="GX147" s="20">
        <f t="shared" si="136"/>
        <v>1.3765621991510601E-12</v>
      </c>
      <c r="GY147" s="59">
        <f t="shared" si="137"/>
        <v>293.33333333333468</v>
      </c>
      <c r="GZ147" s="59">
        <f ca="1">AVERAGE(OFFSET($GY$3,0,0,'Données projet'!$E$18+1,1))-AVERAGE(OFFSET($H$3,0,0,'Données projet'!$E$18+1,1))</f>
        <v>199.58763537752952</v>
      </c>
      <c r="HA147" s="59">
        <f t="shared" si="160"/>
        <v>242.62852778451929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>
        <f>EXP(-LN(2)/35)*HG146+(1-EXP(-LN(2)/35))/(LN(2)/35)*HC147*HD147*VLOOKUP('Données projet'!$B$18,Paramètres!$A$1:$I$89,3,0)*0.475*44/12</f>
        <v>0</v>
      </c>
      <c r="HH147" s="21">
        <f>EXP(-LN(2)/25)*HH146+(1-EXP(-LN(2)/25))/(LN(2)/25)*Calculateur!HC147*Calculateur!HE147*VLOOKUP('Données projet'!$B$18,Paramètres!$A$1:$I$89,3,0)*0.475*44/12</f>
        <v>0.43593532429520826</v>
      </c>
      <c r="HI147" s="21">
        <f>EXP(-LN(2)/2)*HI146+(1-EXP(-LN(2)/2))/(LN(2)/2)*HC147*HF147*VLOOKUP('Données projet'!$B$18,Paramètres!$A$1:$I$89,3,0)*0.475*44/12</f>
        <v>7.4673311931257452E-17</v>
      </c>
      <c r="HJ147" s="22">
        <f t="shared" si="138"/>
        <v>0.43593532429520832</v>
      </c>
    </row>
    <row r="148" spans="1:218" x14ac:dyDescent="0.2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128.93400000000022</v>
      </c>
      <c r="D148" s="11">
        <f t="shared" si="140"/>
        <v>33.749920116221446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1255.8056991427636</v>
      </c>
      <c r="H148" s="67">
        <f t="shared" si="110"/>
        <v>576.6744942024194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-2.2737367544323206E-13</v>
      </c>
      <c r="O148" s="13">
        <f>N148*VLOOKUP('Données projet'!$B$9,Paramètres!$A$1:$I$89,3,0)*VLOOKUP('Données projet'!$B$9,Paramètres!$A$1:$I$89,5,0)</f>
        <v>-1.2710188457276673E-13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255.5374979188561</v>
      </c>
      <c r="T148" s="59">
        <f t="shared" si="142"/>
        <v>343.10418468620901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0.31685871974204372</v>
      </c>
      <c r="AA148" s="21">
        <f>EXP(-LN(2)/25)*AA147+(1-EXP(-LN(2)/25))/(LN(2)/25)*Calculateur!V148*Calculateur!X148*VLOOKUP('Données projet'!$B$9,Paramètres!$A$1:$I$89,3,0)*0.475*44/12</f>
        <v>0.65811525563668727</v>
      </c>
      <c r="AB148" s="21">
        <f>EXP(-LN(2)/2)*AB147+(1-EXP(-LN(2)/2))/(LN(2)/2)*V148*Y148*VLOOKUP('Données projet'!$B$9,Paramètres!$A$1:$I$89,3,0)*0.475*44/12</f>
        <v>8.3050633285194971E-18</v>
      </c>
      <c r="AC148" s="22">
        <f t="shared" si="111"/>
        <v>0.97497397537873098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1.1368683772161603E-13</v>
      </c>
      <c r="AJ148" s="13">
        <f>AI148*VLOOKUP('Données projet'!$B$10,Paramètres!$A$1:$I$89,3,0)*VLOOKUP('Données projet'!$B$10,Paramètres!$A$1:$I$89,5,0)</f>
        <v>6.3550942286383367E-14</v>
      </c>
      <c r="AK148" s="13">
        <f t="shared" si="143"/>
        <v>1.0064464192543978E-12</v>
      </c>
      <c r="AL148" s="20">
        <f t="shared" si="112"/>
        <v>1.8635787380168604E-12</v>
      </c>
      <c r="AM148" s="59">
        <f t="shared" si="113"/>
        <v>293.33333333333519</v>
      </c>
      <c r="AN148" s="59">
        <f ca="1">AVERAGE(OFFSET($AM$3,0,0,'Données projet'!$E$10+1,1))-AVERAGE(OFFSET($H$3,0,0,'Données projet'!$E$10+1,1))</f>
        <v>224.7049802939942</v>
      </c>
      <c r="AO148" s="59">
        <f t="shared" si="144"/>
        <v>203.48513862195352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0.22878748150594019</v>
      </c>
      <c r="AV148" s="21">
        <f>EXP(-LN(2)/25)*AV147+(1-EXP(-LN(2)/25))/(LN(2)/25)*Calculateur!AQ148*Calculateur!AS148*VLOOKUP('Données projet'!$B$10,Paramètres!$A$1:$I$89,3,0)*0.475*44/12</f>
        <v>0.80508651686242949</v>
      </c>
      <c r="AW148" s="21">
        <f>EXP(-LN(2)/2)*AW147+(1-EXP(-LN(2)/2))/(LN(2)/2)*AQ148*AT148*VLOOKUP('Données projet'!$B$10,Paramètres!$A$1:$I$89,3,0)*0.475*44/12</f>
        <v>4.3965594545169242E-17</v>
      </c>
      <c r="AX148" s="21">
        <f t="shared" si="114"/>
        <v>1.0338739983683696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>
        <f>BD148*VLOOKUP('Données projet'!$B$11,Paramètres!$A$1:$I$89,3,0)*VLOOKUP('Données projet'!$B$11,Paramètres!$A$1:$I$89,5,0)</f>
        <v>0</v>
      </c>
      <c r="BF148" s="13" t="e">
        <f t="shared" si="145"/>
        <v>#NUM!</v>
      </c>
      <c r="BG148" s="20" t="e">
        <f t="shared" si="115"/>
        <v>#NUM!</v>
      </c>
      <c r="BH148" s="59" t="e">
        <f t="shared" si="116"/>
        <v>#NUM!</v>
      </c>
      <c r="BI148" s="59">
        <f ca="1">AVERAGE(OFFSET($BH$3,0,0,'Données projet'!$E$11+1,1))-AVERAGE(OFFSET($H$3,0,0,'Données projet'!$E$11+1,1))</f>
        <v>210.04871822652808</v>
      </c>
      <c r="BJ148" s="59">
        <f t="shared" si="146"/>
        <v>250.17540614049324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0.74865714556721419</v>
      </c>
      <c r="BQ148" s="21">
        <f>EXP(-LN(2)/25)*BQ147+(1-EXP(-LN(2)/25))/(LN(2)/25)*Calculateur!BL148*Calculateur!BN148*VLOOKUP('Données projet'!$B$11,Paramètres!$A$1:$I$89,3,0)*0.475*44/12</f>
        <v>1.1475889605234491</v>
      </c>
      <c r="BR148" s="21">
        <f>EXP(-LN(2)/2)*BR147+(1-EXP(-LN(2)/2))/(LN(2)/2)*BL148*BO148*VLOOKUP('Données projet'!$B$11,Paramètres!$A$1:$I$89,3,0)*0.475*44/12</f>
        <v>1.0575499425570332E-16</v>
      </c>
      <c r="BS148" s="22">
        <f t="shared" si="117"/>
        <v>1.8962461060906632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2.2737367544323206E-13</v>
      </c>
      <c r="BZ148" s="13">
        <f>BY148*VLOOKUP('Données projet'!$B$12,Paramètres!$A$1:$I$89,3,0)*VLOOKUP('Données projet'!$B$12,Paramètres!$A$1:$I$89,5,0)</f>
        <v>1.2414602679200471E-13</v>
      </c>
      <c r="CA148" s="13">
        <f t="shared" si="147"/>
        <v>1.8186582995804361E-12</v>
      </c>
      <c r="CB148" s="20">
        <f t="shared" si="118"/>
        <v>3.3837175350986671E-12</v>
      </c>
      <c r="CC148" s="59">
        <f t="shared" si="119"/>
        <v>293.33333333333672</v>
      </c>
      <c r="CD148" s="59">
        <f ca="1">AVERAGE(OFFSET($CC$3,0,0,'Données projet'!$E$12+1,1))-AVERAGE(OFFSET($H$3,0,0,'Données projet'!$E$12+1,1))</f>
        <v>168.72306536277267</v>
      </c>
      <c r="CE148" s="59">
        <f t="shared" si="148"/>
        <v>203.35476578922339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0.31194047731967256</v>
      </c>
      <c r="CL148" s="21">
        <f>EXP(-LN(2)/25)*CL147+(1-EXP(-LN(2)/25))/(LN(2)/25)*Calculateur!CG148*Calculateur!CI148*VLOOKUP('Données projet'!$B$12,Paramètres!$A$1:$I$89,3,0)*0.475*44/12</f>
        <v>0.94777867999201271</v>
      </c>
      <c r="CM148" s="21">
        <f>EXP(-LN(2)/2)*CM147+(1-EXP(-LN(2)/2))/(LN(2)/2)*CG148*CJ148*VLOOKUP('Données projet'!$B$12,Paramètres!$A$1:$I$89,3,0)*0.475*44/12</f>
        <v>9.8247783047446689E-17</v>
      </c>
      <c r="CN148" s="22">
        <f t="shared" si="120"/>
        <v>1.2597191573116853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1277.6923076923067</v>
      </c>
      <c r="CU148" s="17">
        <f>CT148*VLOOKUP('Données projet'!$B$13,Paramètres!$A$1:$I$89,3,0)*VLOOKUP('Données projet'!$B$13,Paramètres!$A$1:$I$89,5,0)</f>
        <v>614.5699999999996</v>
      </c>
      <c r="CV148" s="13">
        <f t="shared" si="149"/>
        <v>134.13240620831178</v>
      </c>
      <c r="CW148" s="20">
        <f t="shared" si="121"/>
        <v>1303.9900241461421</v>
      </c>
      <c r="CX148" s="59">
        <f t="shared" si="122"/>
        <v>1597.3233574794754</v>
      </c>
      <c r="CY148" s="59">
        <f ca="1">AVERAGE(OFFSET($CX$3,0,0,'Données projet'!$E$13+1,1))-AVERAGE(OFFSET($H$3,0,0,'Données projet'!$E$13+1,1))</f>
        <v>304.15237106473313</v>
      </c>
      <c r="CZ148" s="59">
        <f t="shared" si="150"/>
        <v>120.85458928724336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>
        <f>EXP(-LN(2)/35)*DF147+(1-EXP(-LN(2)/35))/(LN(2)/35)*DB148*DC148*VLOOKUP('Données projet'!$B$13,Paramètres!$A$1:$I$89,3,0)*0.475*44/12</f>
        <v>0</v>
      </c>
      <c r="DG148" s="21">
        <f>EXP(-LN(2)/25)*DG147+(1-EXP(-LN(2)/25))/(LN(2)/25)*Calculateur!DB148*Calculateur!DD148*VLOOKUP('Données projet'!$B$13,Paramètres!$A$1:$I$89,3,0)*0.475*44/12</f>
        <v>0</v>
      </c>
      <c r="DH148" s="21">
        <f>EXP(-LN(2)/2)*DH147+(1-EXP(-LN(2)/2))/(LN(2)/2)*DB148*DE148*VLOOKUP('Données projet'!$B$13,Paramètres!$A$1:$I$89,3,0)*0.475*44/12</f>
        <v>0</v>
      </c>
      <c r="DI148" s="22">
        <f t="shared" si="123"/>
        <v>0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425.38461538461536</v>
      </c>
      <c r="DP148" s="17">
        <f>DO148*VLOOKUP('Données projet'!$B$14,Paramètres!$A$1:$I$89,3,0)*VLOOKUP('Données projet'!$B$14,Paramètres!$A$1:$I$89,5,0)</f>
        <v>204.60999999999999</v>
      </c>
      <c r="DQ148" s="13">
        <f t="shared" si="151"/>
        <v>50.755958577224398</v>
      </c>
      <c r="DR148" s="20">
        <f t="shared" si="124"/>
        <v>444.76237785533249</v>
      </c>
      <c r="DS148" s="59">
        <f t="shared" si="125"/>
        <v>738.09571118866575</v>
      </c>
      <c r="DT148" s="59">
        <f ca="1">AVERAGE(OFFSET($DS$3,0,0,'Données projet'!$E$14+1,1))-AVERAGE(OFFSET($H$3,0,0,'Données projet'!$E$14+1,1))</f>
        <v>91.053246648097399</v>
      </c>
      <c r="DU148" s="59">
        <f t="shared" si="152"/>
        <v>64.716270355703955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>
        <f>EXP(-LN(2)/35)*EA147+(1-EXP(-LN(2)/35))/(LN(2)/35)*DW148*DX148*VLOOKUP('Données projet'!$B$14,Paramètres!$A$1:$I$89,3,0)*0.475*44/12</f>
        <v>0</v>
      </c>
      <c r="EB148" s="21">
        <f>EXP(-LN(2)/25)*EB147+(1-EXP(-LN(2)/25))/(LN(2)/25)*Calculateur!DW148*Calculateur!DY148*VLOOKUP('Données projet'!$B$14,Paramètres!$A$1:$I$89,3,0)*0.475*44/12</f>
        <v>0</v>
      </c>
      <c r="EC148" s="21">
        <f>EXP(-LN(2)/2)*EC147+(1-EXP(-LN(2)/2))/(LN(2)/2)*DW148*DZ148*VLOOKUP('Données projet'!$B$14,Paramètres!$A$1:$I$89,3,0)*0.475*44/12</f>
        <v>0</v>
      </c>
      <c r="ED148" s="22">
        <f t="shared" si="126"/>
        <v>0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553.99999999999955</v>
      </c>
      <c r="EK148" s="17">
        <f>EJ148*VLOOKUP('Données projet'!$B$15,Paramètres!$A$1:$I$89,3,0)*VLOOKUP('Données projet'!$B$15,Paramètres!$A$1:$I$89,5,0)</f>
        <v>331.29199999999975</v>
      </c>
      <c r="EL148" s="13">
        <f t="shared" si="153"/>
        <v>77.698110787752</v>
      </c>
      <c r="EM148" s="20">
        <f t="shared" si="127"/>
        <v>712.32444295533423</v>
      </c>
      <c r="EN148" s="59">
        <f t="shared" si="128"/>
        <v>1005.6577762886675</v>
      </c>
      <c r="EO148" s="59">
        <f ca="1">AVERAGE(OFFSET($EN$3,0,0,'Données projet'!$E$15+1,1))-AVERAGE(OFFSET($H$3,0,0,'Données projet'!$E$15+1,1))</f>
        <v>316.58509520829671</v>
      </c>
      <c r="EP148" s="59">
        <f t="shared" si="154"/>
        <v>240.71332110643596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>
        <f>EXP(-LN(2)/35)*EV147+(1-EXP(-LN(2)/35))/(LN(2)/35)*ER148*ES148*VLOOKUP('Données projet'!$B$15,Paramètres!$A$1:$I$89,3,0)*0.475*44/12</f>
        <v>0.25989734666480918</v>
      </c>
      <c r="EW148" s="21">
        <f>EXP(-LN(2)/25)*EW147+(1-EXP(-LN(2)/25))/(LN(2)/25)*Calculateur!ER148*Calculateur!ET148*VLOOKUP('Données projet'!$B$15,Paramètres!$A$1:$I$89,3,0)*0.475*44/12</f>
        <v>0.62956719027895858</v>
      </c>
      <c r="EX148" s="21">
        <f>EXP(-LN(2)/2)*EX147+(1-EXP(-LN(2)/2))/(LN(2)/2)*ER148*EU148*VLOOKUP('Données projet'!$B$15,Paramètres!$A$1:$I$89,3,0)*0.475*44/12</f>
        <v>1.0764624094657631E-16</v>
      </c>
      <c r="EY148" s="22">
        <f t="shared" si="129"/>
        <v>0.88946453694376781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497</v>
      </c>
      <c r="FF148" s="17">
        <f>FE148*VLOOKUP('Données projet'!$B$16,Paramètres!$A$1:$I$89,3,0)*VLOOKUP('Données projet'!$B$16,Paramètres!$A$1:$I$89,5,0)</f>
        <v>297.20600000000002</v>
      </c>
      <c r="FG148" s="13">
        <f t="shared" si="155"/>
        <v>70.590415164571112</v>
      </c>
      <c r="FH148" s="20">
        <f t="shared" si="130"/>
        <v>640.57875641162809</v>
      </c>
      <c r="FI148" s="59">
        <f t="shared" si="131"/>
        <v>933.91208974496135</v>
      </c>
      <c r="FJ148" s="59">
        <f ca="1">AVERAGE(OFFSET($FI$3,0,0,'Données projet'!$E$16+1,1))-AVERAGE(OFFSET($H$3,0,0,'Données projet'!$E$16+1,1))</f>
        <v>270.30888762640245</v>
      </c>
      <c r="FK148" s="59">
        <f t="shared" si="156"/>
        <v>202.23783851977691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>
        <f>EXP(-LN(2)/35)*FQ147+(1-EXP(-LN(2)/35))/(LN(2)/35)*FM148*FN148*VLOOKUP('Données projet'!$B$16,Paramètres!$A$1:$I$89,3,0)*0.475*44/12</f>
        <v>0.21963156056181032</v>
      </c>
      <c r="FR148" s="21">
        <f>EXP(-LN(2)/25)*FR147+(1-EXP(-LN(2)/25))/(LN(2)/25)*Calculateur!FM148*Calculateur!FO148*VLOOKUP('Données projet'!$B$16,Paramètres!$A$1:$I$89,3,0)*0.475*44/12</f>
        <v>0.50698826399597519</v>
      </c>
      <c r="FS148" s="21">
        <f>EXP(-LN(2)/2)*FS147+(1-EXP(-LN(2)/2))/(LN(2)/2)*FM148*FP148*VLOOKUP('Données projet'!$B$16,Paramètres!$A$1:$I$89,3,0)*0.475*44/12</f>
        <v>9.0734704009361652E-17</v>
      </c>
      <c r="FT148" s="22">
        <f t="shared" si="132"/>
        <v>0.72661982455778562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-5.1159076974727213E-13</v>
      </c>
      <c r="GA148" s="17">
        <f>FZ148*VLOOKUP('Données projet'!$B$17,Paramètres!$A$1:$I$89,3,0)*VLOOKUP('Données projet'!$B$17,Paramètres!$A$1:$I$89,5,0)</f>
        <v>-4.0702161641092972E-13</v>
      </c>
      <c r="GB148" s="13" t="e">
        <f t="shared" si="157"/>
        <v>#NUM!</v>
      </c>
      <c r="GC148" s="20" t="e">
        <f t="shared" si="133"/>
        <v>#NUM!</v>
      </c>
      <c r="GD148" s="59" t="e">
        <f t="shared" si="134"/>
        <v>#NUM!</v>
      </c>
      <c r="GE148" s="59">
        <f ca="1">AVERAGE(OFFSET($GD$3,0,0,'Données projet'!$E$17+1,1))-AVERAGE(OFFSET($H$3,0,0,'Données projet'!$E$17+1,1))</f>
        <v>260.20517190557814</v>
      </c>
      <c r="GF148" s="59">
        <f t="shared" si="158"/>
        <v>307.22009971147133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>
        <f>EXP(-LN(2)/35)*GL147+(1-EXP(-LN(2)/35))/(LN(2)/35)*GH148*GI148*VLOOKUP('Données projet'!$B$17,Paramètres!$A$1:$I$89,3,0)*0.475*44/12</f>
        <v>0.33459329769645868</v>
      </c>
      <c r="GM148" s="21">
        <f>EXP(-LN(2)/25)*GM147+(1-EXP(-LN(2)/25))/(LN(2)/25)*Calculateur!GH148*Calculateur!GJ148*VLOOKUP('Données projet'!$B$17,Paramètres!$A$1:$I$89,3,0)*0.475*44/12</f>
        <v>0.84611806629020858</v>
      </c>
      <c r="GN148" s="21">
        <f>EXP(-LN(2)/2)*GN147+(1-EXP(-LN(2)/2))/(LN(2)/2)*GH148*GK148*VLOOKUP('Données projet'!$B$17,Paramètres!$A$1:$I$89,3,0)*0.475*44/12</f>
        <v>1.1794845748217241E-16</v>
      </c>
      <c r="GO148" s="21">
        <f t="shared" si="135"/>
        <v>1.1807113639866675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5.6843418860808015E-14</v>
      </c>
      <c r="GV148" s="17">
        <f>GU148*VLOOKUP('Données projet'!$B$18,Paramètres!$A$1:$I$89,3,0)*VLOOKUP('Données projet'!$B$18,Paramètres!$A$1:$I$89,5,0)</f>
        <v>4.5224624045658861E-14</v>
      </c>
      <c r="GW148" s="13">
        <f t="shared" si="159"/>
        <v>7.4514601661523691E-13</v>
      </c>
      <c r="GX148" s="20">
        <f t="shared" si="136"/>
        <v>1.3765621991510601E-12</v>
      </c>
      <c r="GY148" s="59">
        <f t="shared" si="137"/>
        <v>293.33333333333468</v>
      </c>
      <c r="GZ148" s="59">
        <f ca="1">AVERAGE(OFFSET($GY$3,0,0,'Données projet'!$E$18+1,1))-AVERAGE(OFFSET($H$3,0,0,'Données projet'!$E$18+1,1))</f>
        <v>199.58763537752952</v>
      </c>
      <c r="HA148" s="59">
        <f t="shared" si="160"/>
        <v>242.62852778451929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>
        <f>EXP(-LN(2)/35)*HG147+(1-EXP(-LN(2)/35))/(LN(2)/35)*HC148*HD148*VLOOKUP('Données projet'!$B$18,Paramètres!$A$1:$I$89,3,0)*0.475*44/12</f>
        <v>0</v>
      </c>
      <c r="HH148" s="21">
        <f>EXP(-LN(2)/25)*HH147+(1-EXP(-LN(2)/25))/(LN(2)/25)*Calculateur!HC148*Calculateur!HE148*VLOOKUP('Données projet'!$B$18,Paramètres!$A$1:$I$89,3,0)*0.475*44/12</f>
        <v>0.42401464992751342</v>
      </c>
      <c r="HI148" s="21">
        <f>EXP(-LN(2)/2)*HI147+(1-EXP(-LN(2)/2))/(LN(2)/2)*HC148*HF148*VLOOKUP('Données projet'!$B$18,Paramètres!$A$1:$I$89,3,0)*0.475*44/12</f>
        <v>5.2802005240250472E-17</v>
      </c>
      <c r="HJ148" s="22">
        <f t="shared" si="138"/>
        <v>0.42401464992751348</v>
      </c>
    </row>
    <row r="149" spans="1:218" x14ac:dyDescent="0.2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129.82320000000021</v>
      </c>
      <c r="D149" s="11">
        <f t="shared" si="140"/>
        <v>33.955502808068339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1264.256653255266</v>
      </c>
      <c r="H149" s="67">
        <f t="shared" si="110"/>
        <v>578.58124072405269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-2.2737367544323206E-13</v>
      </c>
      <c r="O149" s="13">
        <f>N149*VLOOKUP('Données projet'!$B$9,Paramètres!$A$1:$I$89,3,0)*VLOOKUP('Données projet'!$B$9,Paramètres!$A$1:$I$89,5,0)</f>
        <v>-1.2710188457276673E-13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255.5374979188561</v>
      </c>
      <c r="T149" s="59">
        <f t="shared" si="142"/>
        <v>343.10418468620901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0.31064531351263797</v>
      </c>
      <c r="AA149" s="21">
        <f>EXP(-LN(2)/25)*AA148+(1-EXP(-LN(2)/25))/(LN(2)/25)*Calculateur!V149*Calculateur!X149*VLOOKUP('Données projet'!$B$9,Paramètres!$A$1:$I$89,3,0)*0.475*44/12</f>
        <v>0.64011905936252489</v>
      </c>
      <c r="AB149" s="21">
        <f>EXP(-LN(2)/2)*AB148+(1-EXP(-LN(2)/2))/(LN(2)/2)*V149*Y149*VLOOKUP('Données projet'!$B$9,Paramètres!$A$1:$I$89,3,0)*0.475*44/12</f>
        <v>5.8725665977798562E-18</v>
      </c>
      <c r="AC149" s="22">
        <f t="shared" si="111"/>
        <v>0.95076437287516291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1.1368683772161603E-13</v>
      </c>
      <c r="AJ149" s="13">
        <f>AI149*VLOOKUP('Données projet'!$B$10,Paramètres!$A$1:$I$89,3,0)*VLOOKUP('Données projet'!$B$10,Paramètres!$A$1:$I$89,5,0)</f>
        <v>6.3550942286383367E-14</v>
      </c>
      <c r="AK149" s="13">
        <f t="shared" si="143"/>
        <v>1.0064464192543978E-12</v>
      </c>
      <c r="AL149" s="20">
        <f t="shared" si="112"/>
        <v>1.8635787380168604E-12</v>
      </c>
      <c r="AM149" s="59">
        <f t="shared" si="113"/>
        <v>293.33333333333519</v>
      </c>
      <c r="AN149" s="59">
        <f ca="1">AVERAGE(OFFSET($AM$3,0,0,'Données projet'!$E$10+1,1))-AVERAGE(OFFSET($H$3,0,0,'Données projet'!$E$10+1,1))</f>
        <v>224.7049802939942</v>
      </c>
      <c r="AO149" s="59">
        <f t="shared" si="144"/>
        <v>203.48513862195352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0.22430109854019334</v>
      </c>
      <c r="AV149" s="21">
        <f>EXP(-LN(2)/25)*AV148+(1-EXP(-LN(2)/25))/(LN(2)/25)*Calculateur!AQ149*Calculateur!AS149*VLOOKUP('Données projet'!$B$10,Paramètres!$A$1:$I$89,3,0)*0.475*44/12</f>
        <v>0.78307138372116647</v>
      </c>
      <c r="AW149" s="21">
        <f>EXP(-LN(2)/2)*AW148+(1-EXP(-LN(2)/2))/(LN(2)/2)*AQ149*AT149*VLOOKUP('Données projet'!$B$10,Paramètres!$A$1:$I$89,3,0)*0.475*44/12</f>
        <v>3.1088370041787455E-17</v>
      </c>
      <c r="AX149" s="21">
        <f t="shared" si="114"/>
        <v>1.0073724822613599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>
        <f>BD149*VLOOKUP('Données projet'!$B$11,Paramètres!$A$1:$I$89,3,0)*VLOOKUP('Données projet'!$B$11,Paramètres!$A$1:$I$89,5,0)</f>
        <v>0</v>
      </c>
      <c r="BF149" s="13" t="e">
        <f t="shared" si="145"/>
        <v>#NUM!</v>
      </c>
      <c r="BG149" s="20" t="e">
        <f t="shared" si="115"/>
        <v>#NUM!</v>
      </c>
      <c r="BH149" s="59" t="e">
        <f t="shared" si="116"/>
        <v>#NUM!</v>
      </c>
      <c r="BI149" s="59">
        <f ca="1">AVERAGE(OFFSET($BH$3,0,0,'Données projet'!$E$11+1,1))-AVERAGE(OFFSET($H$3,0,0,'Données projet'!$E$11+1,1))</f>
        <v>210.04871822652808</v>
      </c>
      <c r="BJ149" s="59">
        <f t="shared" si="146"/>
        <v>250.17540614049324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0.73397643557841086</v>
      </c>
      <c r="BQ149" s="21">
        <f>EXP(-LN(2)/25)*BQ148+(1-EXP(-LN(2)/25))/(LN(2)/25)*Calculateur!BL149*Calculateur!BN149*VLOOKUP('Données projet'!$B$11,Paramètres!$A$1:$I$89,3,0)*0.475*44/12</f>
        <v>1.1162080800488547</v>
      </c>
      <c r="BR149" s="21">
        <f>EXP(-LN(2)/2)*BR148+(1-EXP(-LN(2)/2))/(LN(2)/2)*BL149*BO149*VLOOKUP('Données projet'!$B$11,Paramètres!$A$1:$I$89,3,0)*0.475*44/12</f>
        <v>7.4780073582552197E-17</v>
      </c>
      <c r="BS149" s="22">
        <f t="shared" si="117"/>
        <v>1.8501845156272656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2.2737367544323206E-13</v>
      </c>
      <c r="BZ149" s="13">
        <f>BY149*VLOOKUP('Données projet'!$B$12,Paramètres!$A$1:$I$89,3,0)*VLOOKUP('Données projet'!$B$12,Paramètres!$A$1:$I$89,5,0)</f>
        <v>1.2414602679200471E-13</v>
      </c>
      <c r="CA149" s="13">
        <f t="shared" si="147"/>
        <v>1.8186582995804361E-12</v>
      </c>
      <c r="CB149" s="20">
        <f t="shared" si="118"/>
        <v>3.3837175350986671E-12</v>
      </c>
      <c r="CC149" s="59">
        <f t="shared" si="119"/>
        <v>293.33333333333672</v>
      </c>
      <c r="CD149" s="59">
        <f ca="1">AVERAGE(OFFSET($CC$3,0,0,'Données projet'!$E$12+1,1))-AVERAGE(OFFSET($H$3,0,0,'Données projet'!$E$12+1,1))</f>
        <v>168.72306536277267</v>
      </c>
      <c r="CE149" s="59">
        <f t="shared" si="148"/>
        <v>203.35476578922339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0.30582351482433784</v>
      </c>
      <c r="CL149" s="21">
        <f>EXP(-LN(2)/25)*CL148+(1-EXP(-LN(2)/25))/(LN(2)/25)*Calculateur!CG149*Calculateur!CI149*VLOOKUP('Données projet'!$B$12,Paramètres!$A$1:$I$89,3,0)*0.475*44/12</f>
        <v>0.92186162214611655</v>
      </c>
      <c r="CM149" s="21">
        <f>EXP(-LN(2)/2)*CM148+(1-EXP(-LN(2)/2))/(LN(2)/2)*CG149*CJ149*VLOOKUP('Données projet'!$B$12,Paramètres!$A$1:$I$89,3,0)*0.475*44/12</f>
        <v>6.9471673629394278E-17</v>
      </c>
      <c r="CN149" s="22">
        <f t="shared" si="120"/>
        <v>1.2276851369704544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1277.6923076923067</v>
      </c>
      <c r="CU149" s="17">
        <f>CT149*VLOOKUP('Données projet'!$B$13,Paramètres!$A$1:$I$89,3,0)*VLOOKUP('Données projet'!$B$13,Paramètres!$A$1:$I$89,5,0)</f>
        <v>614.5699999999996</v>
      </c>
      <c r="CV149" s="13">
        <f t="shared" si="149"/>
        <v>134.13240620831178</v>
      </c>
      <c r="CW149" s="20">
        <f t="shared" si="121"/>
        <v>1303.9900241461421</v>
      </c>
      <c r="CX149" s="59">
        <f t="shared" si="122"/>
        <v>1597.3233574794754</v>
      </c>
      <c r="CY149" s="59">
        <f ca="1">AVERAGE(OFFSET($CX$3,0,0,'Données projet'!$E$13+1,1))-AVERAGE(OFFSET($H$3,0,0,'Données projet'!$E$13+1,1))</f>
        <v>304.15237106473313</v>
      </c>
      <c r="CZ149" s="59">
        <f t="shared" si="150"/>
        <v>120.85458928724336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>
        <f>EXP(-LN(2)/35)*DF148+(1-EXP(-LN(2)/35))/(LN(2)/35)*DB149*DC149*VLOOKUP('Données projet'!$B$13,Paramètres!$A$1:$I$89,3,0)*0.475*44/12</f>
        <v>0</v>
      </c>
      <c r="DG149" s="21">
        <f>EXP(-LN(2)/25)*DG148+(1-EXP(-LN(2)/25))/(LN(2)/25)*Calculateur!DB149*Calculateur!DD149*VLOOKUP('Données projet'!$B$13,Paramètres!$A$1:$I$89,3,0)*0.475*44/12</f>
        <v>0</v>
      </c>
      <c r="DH149" s="21">
        <f>EXP(-LN(2)/2)*DH148+(1-EXP(-LN(2)/2))/(LN(2)/2)*DB149*DE149*VLOOKUP('Données projet'!$B$13,Paramètres!$A$1:$I$89,3,0)*0.475*44/12</f>
        <v>0</v>
      </c>
      <c r="DI149" s="22">
        <f t="shared" si="123"/>
        <v>0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425.38461538461536</v>
      </c>
      <c r="DP149" s="17">
        <f>DO149*VLOOKUP('Données projet'!$B$14,Paramètres!$A$1:$I$89,3,0)*VLOOKUP('Données projet'!$B$14,Paramètres!$A$1:$I$89,5,0)</f>
        <v>204.60999999999999</v>
      </c>
      <c r="DQ149" s="13">
        <f t="shared" si="151"/>
        <v>50.755958577224398</v>
      </c>
      <c r="DR149" s="20">
        <f t="shared" si="124"/>
        <v>444.76237785533249</v>
      </c>
      <c r="DS149" s="59">
        <f t="shared" si="125"/>
        <v>738.09571118866575</v>
      </c>
      <c r="DT149" s="59">
        <f ca="1">AVERAGE(OFFSET($DS$3,0,0,'Données projet'!$E$14+1,1))-AVERAGE(OFFSET($H$3,0,0,'Données projet'!$E$14+1,1))</f>
        <v>91.053246648097399</v>
      </c>
      <c r="DU149" s="59">
        <f t="shared" si="152"/>
        <v>64.716270355703955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>
        <f>EXP(-LN(2)/35)*EA148+(1-EXP(-LN(2)/35))/(LN(2)/35)*DW149*DX149*VLOOKUP('Données projet'!$B$14,Paramètres!$A$1:$I$89,3,0)*0.475*44/12</f>
        <v>0</v>
      </c>
      <c r="EB149" s="21">
        <f>EXP(-LN(2)/25)*EB148+(1-EXP(-LN(2)/25))/(LN(2)/25)*Calculateur!DW149*Calculateur!DY149*VLOOKUP('Données projet'!$B$14,Paramètres!$A$1:$I$89,3,0)*0.475*44/12</f>
        <v>0</v>
      </c>
      <c r="EC149" s="21">
        <f>EXP(-LN(2)/2)*EC148+(1-EXP(-LN(2)/2))/(LN(2)/2)*DW149*DZ149*VLOOKUP('Données projet'!$B$14,Paramètres!$A$1:$I$89,3,0)*0.475*44/12</f>
        <v>0</v>
      </c>
      <c r="ED149" s="22">
        <f t="shared" si="126"/>
        <v>0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553.99999999999955</v>
      </c>
      <c r="EK149" s="17">
        <f>EJ149*VLOOKUP('Données projet'!$B$15,Paramètres!$A$1:$I$89,3,0)*VLOOKUP('Données projet'!$B$15,Paramètres!$A$1:$I$89,5,0)</f>
        <v>331.29199999999975</v>
      </c>
      <c r="EL149" s="13">
        <f t="shared" si="153"/>
        <v>77.698110787752</v>
      </c>
      <c r="EM149" s="20">
        <f t="shared" si="127"/>
        <v>712.32444295533423</v>
      </c>
      <c r="EN149" s="59">
        <f t="shared" si="128"/>
        <v>1005.6577762886675</v>
      </c>
      <c r="EO149" s="59">
        <f ca="1">AVERAGE(OFFSET($EN$3,0,0,'Données projet'!$E$15+1,1))-AVERAGE(OFFSET($H$3,0,0,'Données projet'!$E$15+1,1))</f>
        <v>316.58509520829671</v>
      </c>
      <c r="EP149" s="59">
        <f t="shared" si="154"/>
        <v>240.71332110643596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>
        <f>EXP(-LN(2)/35)*EV148+(1-EXP(-LN(2)/35))/(LN(2)/35)*ER149*ES149*VLOOKUP('Données projet'!$B$15,Paramètres!$A$1:$I$89,3,0)*0.475*44/12</f>
        <v>0.25480091821844103</v>
      </c>
      <c r="EW149" s="21">
        <f>EXP(-LN(2)/25)*EW148+(1-EXP(-LN(2)/25))/(LN(2)/25)*Calculateur!ER149*Calculateur!ET149*VLOOKUP('Données projet'!$B$15,Paramètres!$A$1:$I$89,3,0)*0.475*44/12</f>
        <v>0.61235164235328077</v>
      </c>
      <c r="EX149" s="21">
        <f>EXP(-LN(2)/2)*EX148+(1-EXP(-LN(2)/2))/(LN(2)/2)*ER149*EU149*VLOOKUP('Données projet'!$B$15,Paramètres!$A$1:$I$89,3,0)*0.475*44/12</f>
        <v>7.6117386942565105E-17</v>
      </c>
      <c r="EY149" s="22">
        <f t="shared" si="129"/>
        <v>0.86715256057172196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497</v>
      </c>
      <c r="FF149" s="17">
        <f>FE149*VLOOKUP('Données projet'!$B$16,Paramètres!$A$1:$I$89,3,0)*VLOOKUP('Données projet'!$B$16,Paramètres!$A$1:$I$89,5,0)</f>
        <v>297.20600000000002</v>
      </c>
      <c r="FG149" s="13">
        <f t="shared" si="155"/>
        <v>70.590415164571112</v>
      </c>
      <c r="FH149" s="20">
        <f t="shared" si="130"/>
        <v>640.57875641162809</v>
      </c>
      <c r="FI149" s="59">
        <f t="shared" si="131"/>
        <v>933.91208974496135</v>
      </c>
      <c r="FJ149" s="59">
        <f ca="1">AVERAGE(OFFSET($FI$3,0,0,'Données projet'!$E$16+1,1))-AVERAGE(OFFSET($H$3,0,0,'Données projet'!$E$16+1,1))</f>
        <v>270.30888762640245</v>
      </c>
      <c r="FK149" s="59">
        <f t="shared" si="156"/>
        <v>202.23783851977691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>
        <f>EXP(-LN(2)/35)*FQ148+(1-EXP(-LN(2)/35))/(LN(2)/35)*FM149*FN149*VLOOKUP('Données projet'!$B$16,Paramètres!$A$1:$I$89,3,0)*0.475*44/12</f>
        <v>0.21532471962121752</v>
      </c>
      <c r="FR149" s="21">
        <f>EXP(-LN(2)/25)*FR148+(1-EXP(-LN(2)/25))/(LN(2)/25)*Calculateur!FM149*Calculateur!FO149*VLOOKUP('Données projet'!$B$16,Paramètres!$A$1:$I$89,3,0)*0.475*44/12</f>
        <v>0.4931246432556512</v>
      </c>
      <c r="FS149" s="21">
        <f>EXP(-LN(2)/2)*FS148+(1-EXP(-LN(2)/2))/(LN(2)/2)*FM149*FP149*VLOOKUP('Données projet'!$B$16,Paramètres!$A$1:$I$89,3,0)*0.475*44/12</f>
        <v>6.4159124493973846E-17</v>
      </c>
      <c r="FT149" s="22">
        <f t="shared" si="132"/>
        <v>0.70844936287686877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-5.1159076974727213E-13</v>
      </c>
      <c r="GA149" s="17">
        <f>FZ149*VLOOKUP('Données projet'!$B$17,Paramètres!$A$1:$I$89,3,0)*VLOOKUP('Données projet'!$B$17,Paramètres!$A$1:$I$89,5,0)</f>
        <v>-4.0702161641092972E-13</v>
      </c>
      <c r="GB149" s="13" t="e">
        <f t="shared" si="157"/>
        <v>#NUM!</v>
      </c>
      <c r="GC149" s="20" t="e">
        <f t="shared" si="133"/>
        <v>#NUM!</v>
      </c>
      <c r="GD149" s="59" t="e">
        <f t="shared" si="134"/>
        <v>#NUM!</v>
      </c>
      <c r="GE149" s="59">
        <f ca="1">AVERAGE(OFFSET($GD$3,0,0,'Données projet'!$E$17+1,1))-AVERAGE(OFFSET($H$3,0,0,'Données projet'!$E$17+1,1))</f>
        <v>260.20517190557814</v>
      </c>
      <c r="GF149" s="59">
        <f t="shared" si="158"/>
        <v>307.22009971147133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>
        <f>EXP(-LN(2)/35)*GL148+(1-EXP(-LN(2)/35))/(LN(2)/35)*GH149*GI149*VLOOKUP('Données projet'!$B$17,Paramètres!$A$1:$I$89,3,0)*0.475*44/12</f>
        <v>0.32803212721039132</v>
      </c>
      <c r="GM149" s="21">
        <f>EXP(-LN(2)/25)*GM148+(1-EXP(-LN(2)/25))/(LN(2)/25)*Calculateur!GH149*Calculateur!GJ149*VLOOKUP('Données projet'!$B$17,Paramètres!$A$1:$I$89,3,0)*0.475*44/12</f>
        <v>0.82298092327208761</v>
      </c>
      <c r="GN149" s="21">
        <f>EXP(-LN(2)/2)*GN148+(1-EXP(-LN(2)/2))/(LN(2)/2)*GH149*GK149*VLOOKUP('Données projet'!$B$17,Paramètres!$A$1:$I$89,3,0)*0.475*44/12</f>
        <v>8.3402154116137294E-17</v>
      </c>
      <c r="GO149" s="21">
        <f t="shared" si="135"/>
        <v>1.1510130504824789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5.6843418860808015E-14</v>
      </c>
      <c r="GV149" s="17">
        <f>GU149*VLOOKUP('Données projet'!$B$18,Paramètres!$A$1:$I$89,3,0)*VLOOKUP('Données projet'!$B$18,Paramètres!$A$1:$I$89,5,0)</f>
        <v>4.5224624045658861E-14</v>
      </c>
      <c r="GW149" s="13">
        <f t="shared" si="159"/>
        <v>7.4514601661523691E-13</v>
      </c>
      <c r="GX149" s="20">
        <f t="shared" si="136"/>
        <v>1.3765621991510601E-12</v>
      </c>
      <c r="GY149" s="59">
        <f t="shared" si="137"/>
        <v>293.33333333333468</v>
      </c>
      <c r="GZ149" s="59">
        <f ca="1">AVERAGE(OFFSET($GY$3,0,0,'Données projet'!$E$18+1,1))-AVERAGE(OFFSET($H$3,0,0,'Données projet'!$E$18+1,1))</f>
        <v>199.58763537752952</v>
      </c>
      <c r="HA149" s="59">
        <f t="shared" si="160"/>
        <v>242.62852778451929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>
        <f>EXP(-LN(2)/35)*HG148+(1-EXP(-LN(2)/35))/(LN(2)/35)*HC149*HD149*VLOOKUP('Données projet'!$B$18,Paramètres!$A$1:$I$89,3,0)*0.475*44/12</f>
        <v>0</v>
      </c>
      <c r="HH149" s="21">
        <f>EXP(-LN(2)/25)*HH148+(1-EXP(-LN(2)/25))/(LN(2)/25)*Calculateur!HC149*Calculateur!HE149*VLOOKUP('Données projet'!$B$18,Paramètres!$A$1:$I$89,3,0)*0.475*44/12</f>
        <v>0.41241994702728424</v>
      </c>
      <c r="HI149" s="21">
        <f>EXP(-LN(2)/2)*HI148+(1-EXP(-LN(2)/2))/(LN(2)/2)*HC149*HF149*VLOOKUP('Données projet'!$B$18,Paramètres!$A$1:$I$89,3,0)*0.475*44/12</f>
        <v>3.7336655965628726E-17</v>
      </c>
      <c r="HJ149" s="22">
        <f t="shared" si="138"/>
        <v>0.41241994702728429</v>
      </c>
    </row>
    <row r="150" spans="1:218" x14ac:dyDescent="0.2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130.7124000000002</v>
      </c>
      <c r="D150" s="11">
        <f t="shared" si="140"/>
        <v>34.160921660966174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1272.7063426460566</v>
      </c>
      <c r="H150" s="67">
        <f t="shared" si="110"/>
        <v>580.48770189284971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-2.2737367544323206E-13</v>
      </c>
      <c r="O150" s="13">
        <f>N150*VLOOKUP('Données projet'!$B$9,Paramètres!$A$1:$I$89,3,0)*VLOOKUP('Données projet'!$B$9,Paramètres!$A$1:$I$89,5,0)</f>
        <v>-1.2710188457276673E-13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255.5374979188561</v>
      </c>
      <c r="T150" s="59">
        <f t="shared" si="142"/>
        <v>343.10418468620901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0.30455374838958726</v>
      </c>
      <c r="AA150" s="21">
        <f>EXP(-LN(2)/25)*AA149+(1-EXP(-LN(2)/25))/(LN(2)/25)*Calculateur!V150*Calculateur!X150*VLOOKUP('Données projet'!$B$9,Paramètres!$A$1:$I$89,3,0)*0.475*44/12</f>
        <v>0.62261497002185828</v>
      </c>
      <c r="AB150" s="21">
        <f>EXP(-LN(2)/2)*AB149+(1-EXP(-LN(2)/2))/(LN(2)/2)*V150*Y150*VLOOKUP('Données projet'!$B$9,Paramètres!$A$1:$I$89,3,0)*0.475*44/12</f>
        <v>4.1525316642597486E-18</v>
      </c>
      <c r="AC150" s="22">
        <f t="shared" si="111"/>
        <v>0.92716871841144555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1.1368683772161603E-13</v>
      </c>
      <c r="AJ150" s="13">
        <f>AI150*VLOOKUP('Données projet'!$B$10,Paramètres!$A$1:$I$89,3,0)*VLOOKUP('Données projet'!$B$10,Paramètres!$A$1:$I$89,5,0)</f>
        <v>6.3550942286383367E-14</v>
      </c>
      <c r="AK150" s="13">
        <f t="shared" si="143"/>
        <v>1.0064464192543978E-12</v>
      </c>
      <c r="AL150" s="20">
        <f t="shared" si="112"/>
        <v>1.8635787380168604E-12</v>
      </c>
      <c r="AM150" s="59">
        <f t="shared" si="113"/>
        <v>293.33333333333519</v>
      </c>
      <c r="AN150" s="59">
        <f ca="1">AVERAGE(OFFSET($AM$3,0,0,'Données projet'!$E$10+1,1))-AVERAGE(OFFSET($H$3,0,0,'Données projet'!$E$10+1,1))</f>
        <v>224.7049802939942</v>
      </c>
      <c r="AO150" s="59">
        <f t="shared" si="144"/>
        <v>203.48513862195352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0.21990269080798139</v>
      </c>
      <c r="AV150" s="21">
        <f>EXP(-LN(2)/25)*AV149+(1-EXP(-LN(2)/25))/(LN(2)/25)*Calculateur!AQ150*Calculateur!AS150*VLOOKUP('Données projet'!$B$10,Paramètres!$A$1:$I$89,3,0)*0.475*44/12</f>
        <v>0.76165825555337685</v>
      </c>
      <c r="AW150" s="21">
        <f>EXP(-LN(2)/2)*AW149+(1-EXP(-LN(2)/2))/(LN(2)/2)*AQ150*AT150*VLOOKUP('Données projet'!$B$10,Paramètres!$A$1:$I$89,3,0)*0.475*44/12</f>
        <v>2.1982797272584621E-17</v>
      </c>
      <c r="AX150" s="21">
        <f t="shared" si="114"/>
        <v>0.98156094636135827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>
        <f>BD150*VLOOKUP('Données projet'!$B$11,Paramètres!$A$1:$I$89,3,0)*VLOOKUP('Données projet'!$B$11,Paramètres!$A$1:$I$89,5,0)</f>
        <v>0</v>
      </c>
      <c r="BF150" s="13" t="e">
        <f t="shared" si="145"/>
        <v>#NUM!</v>
      </c>
      <c r="BG150" s="20" t="e">
        <f t="shared" si="115"/>
        <v>#NUM!</v>
      </c>
      <c r="BH150" s="59" t="e">
        <f t="shared" si="116"/>
        <v>#NUM!</v>
      </c>
      <c r="BI150" s="59">
        <f ca="1">AVERAGE(OFFSET($BH$3,0,0,'Données projet'!$E$11+1,1))-AVERAGE(OFFSET($H$3,0,0,'Données projet'!$E$11+1,1))</f>
        <v>210.04871822652808</v>
      </c>
      <c r="BJ150" s="59">
        <f t="shared" si="146"/>
        <v>250.17540614049324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0.71958360535813903</v>
      </c>
      <c r="BQ150" s="21">
        <f>EXP(-LN(2)/25)*BQ149+(1-EXP(-LN(2)/25))/(LN(2)/25)*Calculateur!BL150*Calculateur!BN150*VLOOKUP('Données projet'!$B$11,Paramètres!$A$1:$I$89,3,0)*0.475*44/12</f>
        <v>1.0856853114010869</v>
      </c>
      <c r="BR150" s="21">
        <f>EXP(-LN(2)/2)*BR149+(1-EXP(-LN(2)/2))/(LN(2)/2)*BL150*BO150*VLOOKUP('Données projet'!$B$11,Paramètres!$A$1:$I$89,3,0)*0.475*44/12</f>
        <v>5.287749712785166E-17</v>
      </c>
      <c r="BS150" s="22">
        <f t="shared" si="117"/>
        <v>1.805268916759226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2.2737367544323206E-13</v>
      </c>
      <c r="BZ150" s="13">
        <f>BY150*VLOOKUP('Données projet'!$B$12,Paramètres!$A$1:$I$89,3,0)*VLOOKUP('Données projet'!$B$12,Paramètres!$A$1:$I$89,5,0)</f>
        <v>1.2414602679200471E-13</v>
      </c>
      <c r="CA150" s="13">
        <f t="shared" si="147"/>
        <v>1.8186582995804361E-12</v>
      </c>
      <c r="CB150" s="20">
        <f t="shared" si="118"/>
        <v>3.3837175350986671E-12</v>
      </c>
      <c r="CC150" s="59">
        <f t="shared" si="119"/>
        <v>293.33333333333672</v>
      </c>
      <c r="CD150" s="59">
        <f ca="1">AVERAGE(OFFSET($CC$3,0,0,'Données projet'!$E$12+1,1))-AVERAGE(OFFSET($H$3,0,0,'Données projet'!$E$12+1,1))</f>
        <v>168.72306536277267</v>
      </c>
      <c r="CE150" s="59">
        <f t="shared" si="148"/>
        <v>203.35476578922339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0.29982650223255791</v>
      </c>
      <c r="CL150" s="21">
        <f>EXP(-LN(2)/25)*CL149+(1-EXP(-LN(2)/25))/(LN(2)/25)*Calculateur!CG150*Calculateur!CI150*VLOOKUP('Données projet'!$B$12,Paramètres!$A$1:$I$89,3,0)*0.475*44/12</f>
        <v>0.89665326760993525</v>
      </c>
      <c r="CM150" s="21">
        <f>EXP(-LN(2)/2)*CM149+(1-EXP(-LN(2)/2))/(LN(2)/2)*CG150*CJ150*VLOOKUP('Données projet'!$B$12,Paramètres!$A$1:$I$89,3,0)*0.475*44/12</f>
        <v>4.9123891523723344E-17</v>
      </c>
      <c r="CN150" s="22">
        <f t="shared" si="120"/>
        <v>1.1964797698424932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1277.6923076923067</v>
      </c>
      <c r="CU150" s="17">
        <f>CT150*VLOOKUP('Données projet'!$B$13,Paramètres!$A$1:$I$89,3,0)*VLOOKUP('Données projet'!$B$13,Paramètres!$A$1:$I$89,5,0)</f>
        <v>614.5699999999996</v>
      </c>
      <c r="CV150" s="13">
        <f t="shared" si="149"/>
        <v>134.13240620831178</v>
      </c>
      <c r="CW150" s="20">
        <f t="shared" si="121"/>
        <v>1303.9900241461421</v>
      </c>
      <c r="CX150" s="59">
        <f t="shared" si="122"/>
        <v>1597.3233574794754</v>
      </c>
      <c r="CY150" s="59">
        <f ca="1">AVERAGE(OFFSET($CX$3,0,0,'Données projet'!$E$13+1,1))-AVERAGE(OFFSET($H$3,0,0,'Données projet'!$E$13+1,1))</f>
        <v>304.15237106473313</v>
      </c>
      <c r="CZ150" s="59">
        <f t="shared" si="150"/>
        <v>120.85458928724336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>
        <f>EXP(-LN(2)/35)*DF149+(1-EXP(-LN(2)/35))/(LN(2)/35)*DB150*DC150*VLOOKUP('Données projet'!$B$13,Paramètres!$A$1:$I$89,3,0)*0.475*44/12</f>
        <v>0</v>
      </c>
      <c r="DG150" s="21">
        <f>EXP(-LN(2)/25)*DG149+(1-EXP(-LN(2)/25))/(LN(2)/25)*Calculateur!DB150*Calculateur!DD150*VLOOKUP('Données projet'!$B$13,Paramètres!$A$1:$I$89,3,0)*0.475*44/12</f>
        <v>0</v>
      </c>
      <c r="DH150" s="21">
        <f>EXP(-LN(2)/2)*DH149+(1-EXP(-LN(2)/2))/(LN(2)/2)*DB150*DE150*VLOOKUP('Données projet'!$B$13,Paramètres!$A$1:$I$89,3,0)*0.475*44/12</f>
        <v>0</v>
      </c>
      <c r="DI150" s="22">
        <f t="shared" si="123"/>
        <v>0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425.38461538461536</v>
      </c>
      <c r="DP150" s="17">
        <f>DO150*VLOOKUP('Données projet'!$B$14,Paramètres!$A$1:$I$89,3,0)*VLOOKUP('Données projet'!$B$14,Paramètres!$A$1:$I$89,5,0)</f>
        <v>204.60999999999999</v>
      </c>
      <c r="DQ150" s="13">
        <f t="shared" si="151"/>
        <v>50.755958577224398</v>
      </c>
      <c r="DR150" s="20">
        <f t="shared" si="124"/>
        <v>444.76237785533249</v>
      </c>
      <c r="DS150" s="59">
        <f t="shared" si="125"/>
        <v>738.09571118866575</v>
      </c>
      <c r="DT150" s="59">
        <f ca="1">AVERAGE(OFFSET($DS$3,0,0,'Données projet'!$E$14+1,1))-AVERAGE(OFFSET($H$3,0,0,'Données projet'!$E$14+1,1))</f>
        <v>91.053246648097399</v>
      </c>
      <c r="DU150" s="59">
        <f t="shared" si="152"/>
        <v>64.716270355703955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>
        <f>EXP(-LN(2)/35)*EA149+(1-EXP(-LN(2)/35))/(LN(2)/35)*DW150*DX150*VLOOKUP('Données projet'!$B$14,Paramètres!$A$1:$I$89,3,0)*0.475*44/12</f>
        <v>0</v>
      </c>
      <c r="EB150" s="21">
        <f>EXP(-LN(2)/25)*EB149+(1-EXP(-LN(2)/25))/(LN(2)/25)*Calculateur!DW150*Calculateur!DY150*VLOOKUP('Données projet'!$B$14,Paramètres!$A$1:$I$89,3,0)*0.475*44/12</f>
        <v>0</v>
      </c>
      <c r="EC150" s="21">
        <f>EXP(-LN(2)/2)*EC149+(1-EXP(-LN(2)/2))/(LN(2)/2)*DW150*DZ150*VLOOKUP('Données projet'!$B$14,Paramètres!$A$1:$I$89,3,0)*0.475*44/12</f>
        <v>0</v>
      </c>
      <c r="ED150" s="22">
        <f t="shared" si="126"/>
        <v>0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553.99999999999955</v>
      </c>
      <c r="EK150" s="17">
        <f>EJ150*VLOOKUP('Données projet'!$B$15,Paramètres!$A$1:$I$89,3,0)*VLOOKUP('Données projet'!$B$15,Paramètres!$A$1:$I$89,5,0)</f>
        <v>331.29199999999975</v>
      </c>
      <c r="EL150" s="13">
        <f t="shared" si="153"/>
        <v>77.698110787752</v>
      </c>
      <c r="EM150" s="20">
        <f t="shared" si="127"/>
        <v>712.32444295533423</v>
      </c>
      <c r="EN150" s="59">
        <f t="shared" si="128"/>
        <v>1005.6577762886675</v>
      </c>
      <c r="EO150" s="59">
        <f ca="1">AVERAGE(OFFSET($EN$3,0,0,'Données projet'!$E$15+1,1))-AVERAGE(OFFSET($H$3,0,0,'Données projet'!$E$15+1,1))</f>
        <v>316.58509520829671</v>
      </c>
      <c r="EP150" s="59">
        <f t="shared" si="154"/>
        <v>240.71332110643596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>
        <f>EXP(-LN(2)/35)*EV149+(1-EXP(-LN(2)/35))/(LN(2)/35)*ER150*ES150*VLOOKUP('Données projet'!$B$15,Paramètres!$A$1:$I$89,3,0)*0.475*44/12</f>
        <v>0.24980442762539173</v>
      </c>
      <c r="EW150" s="21">
        <f>EXP(-LN(2)/25)*EW149+(1-EXP(-LN(2)/25))/(LN(2)/25)*Calculateur!ER150*Calculateur!ET150*VLOOKUP('Données projet'!$B$15,Paramètres!$A$1:$I$89,3,0)*0.475*44/12</f>
        <v>0.59560685449095696</v>
      </c>
      <c r="EX150" s="21">
        <f>EXP(-LN(2)/2)*EX149+(1-EXP(-LN(2)/2))/(LN(2)/2)*ER150*EU150*VLOOKUP('Données projet'!$B$15,Paramètres!$A$1:$I$89,3,0)*0.475*44/12</f>
        <v>5.3823120473288154E-17</v>
      </c>
      <c r="EY150" s="22">
        <f t="shared" si="129"/>
        <v>0.84541128211634864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497</v>
      </c>
      <c r="FF150" s="17">
        <f>FE150*VLOOKUP('Données projet'!$B$16,Paramètres!$A$1:$I$89,3,0)*VLOOKUP('Données projet'!$B$16,Paramètres!$A$1:$I$89,5,0)</f>
        <v>297.20600000000002</v>
      </c>
      <c r="FG150" s="13">
        <f t="shared" si="155"/>
        <v>70.590415164571112</v>
      </c>
      <c r="FH150" s="20">
        <f t="shared" si="130"/>
        <v>640.57875641162809</v>
      </c>
      <c r="FI150" s="59">
        <f t="shared" si="131"/>
        <v>933.91208974496135</v>
      </c>
      <c r="FJ150" s="59">
        <f ca="1">AVERAGE(OFFSET($FI$3,0,0,'Données projet'!$E$16+1,1))-AVERAGE(OFFSET($H$3,0,0,'Données projet'!$E$16+1,1))</f>
        <v>270.30888762640245</v>
      </c>
      <c r="FK150" s="59">
        <f t="shared" si="156"/>
        <v>202.23783851977691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>
        <f>EXP(-LN(2)/35)*FQ149+(1-EXP(-LN(2)/35))/(LN(2)/35)*FM150*FN150*VLOOKUP('Données projet'!$B$16,Paramètres!$A$1:$I$89,3,0)*0.475*44/12</f>
        <v>0.21110233320455615</v>
      </c>
      <c r="FR150" s="21">
        <f>EXP(-LN(2)/25)*FR149+(1-EXP(-LN(2)/25))/(LN(2)/25)*Calculateur!FM150*Calculateur!FO150*VLOOKUP('Données projet'!$B$16,Paramètres!$A$1:$I$89,3,0)*0.475*44/12</f>
        <v>0.47964012395352745</v>
      </c>
      <c r="FS150" s="21">
        <f>EXP(-LN(2)/2)*FS149+(1-EXP(-LN(2)/2))/(LN(2)/2)*FM150*FP150*VLOOKUP('Données projet'!$B$16,Paramètres!$A$1:$I$89,3,0)*0.475*44/12</f>
        <v>4.5367352004680826E-17</v>
      </c>
      <c r="FT150" s="22">
        <f t="shared" si="132"/>
        <v>0.69074245715808358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-5.1159076974727213E-13</v>
      </c>
      <c r="GA150" s="17">
        <f>FZ150*VLOOKUP('Données projet'!$B$17,Paramètres!$A$1:$I$89,3,0)*VLOOKUP('Données projet'!$B$17,Paramètres!$A$1:$I$89,5,0)</f>
        <v>-4.0702161641092972E-13</v>
      </c>
      <c r="GB150" s="13" t="e">
        <f t="shared" si="157"/>
        <v>#NUM!</v>
      </c>
      <c r="GC150" s="20" t="e">
        <f t="shared" si="133"/>
        <v>#NUM!</v>
      </c>
      <c r="GD150" s="59" t="e">
        <f t="shared" si="134"/>
        <v>#NUM!</v>
      </c>
      <c r="GE150" s="59">
        <f ca="1">AVERAGE(OFFSET($GD$3,0,0,'Données projet'!$E$17+1,1))-AVERAGE(OFFSET($H$3,0,0,'Données projet'!$E$17+1,1))</f>
        <v>260.20517190557814</v>
      </c>
      <c r="GF150" s="59">
        <f t="shared" si="158"/>
        <v>307.22009971147133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>
        <f>EXP(-LN(2)/35)*GL149+(1-EXP(-LN(2)/35))/(LN(2)/35)*GH150*GI150*VLOOKUP('Données projet'!$B$17,Paramètres!$A$1:$I$89,3,0)*0.475*44/12</f>
        <v>0.32159961727563691</v>
      </c>
      <c r="GM150" s="21">
        <f>EXP(-LN(2)/25)*GM149+(1-EXP(-LN(2)/25))/(LN(2)/25)*Calculateur!GH150*Calculateur!GJ150*VLOOKUP('Données projet'!$B$17,Paramètres!$A$1:$I$89,3,0)*0.475*44/12</f>
        <v>0.80047646664652661</v>
      </c>
      <c r="GN150" s="21">
        <f>EXP(-LN(2)/2)*GN149+(1-EXP(-LN(2)/2))/(LN(2)/2)*GH150*GK150*VLOOKUP('Données projet'!$B$17,Paramètres!$A$1:$I$89,3,0)*0.475*44/12</f>
        <v>5.8974228741086207E-17</v>
      </c>
      <c r="GO150" s="21">
        <f t="shared" si="135"/>
        <v>1.1220760839221635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5.6843418860808015E-14</v>
      </c>
      <c r="GV150" s="17">
        <f>GU150*VLOOKUP('Données projet'!$B$18,Paramètres!$A$1:$I$89,3,0)*VLOOKUP('Données projet'!$B$18,Paramètres!$A$1:$I$89,5,0)</f>
        <v>4.5224624045658861E-14</v>
      </c>
      <c r="GW150" s="13">
        <f t="shared" si="159"/>
        <v>7.4514601661523691E-13</v>
      </c>
      <c r="GX150" s="20">
        <f t="shared" si="136"/>
        <v>1.3765621991510601E-12</v>
      </c>
      <c r="GY150" s="59">
        <f t="shared" si="137"/>
        <v>293.33333333333468</v>
      </c>
      <c r="GZ150" s="59">
        <f ca="1">AVERAGE(OFFSET($GY$3,0,0,'Données projet'!$E$18+1,1))-AVERAGE(OFFSET($H$3,0,0,'Données projet'!$E$18+1,1))</f>
        <v>199.58763537752952</v>
      </c>
      <c r="HA150" s="59">
        <f t="shared" si="160"/>
        <v>242.62852778451929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>
        <f>EXP(-LN(2)/35)*HG149+(1-EXP(-LN(2)/35))/(LN(2)/35)*HC150*HD150*VLOOKUP('Données projet'!$B$18,Paramètres!$A$1:$I$89,3,0)*0.475*44/12</f>
        <v>0</v>
      </c>
      <c r="HH150" s="21">
        <f>EXP(-LN(2)/25)*HH149+(1-EXP(-LN(2)/25))/(LN(2)/25)*Calculateur!HC150*Calculateur!HE150*VLOOKUP('Données projet'!$B$18,Paramètres!$A$1:$I$89,3,0)*0.475*44/12</f>
        <v>0.40114230188760075</v>
      </c>
      <c r="HI150" s="21">
        <f>EXP(-LN(2)/2)*HI149+(1-EXP(-LN(2)/2))/(LN(2)/2)*HC150*HF150*VLOOKUP('Données projet'!$B$18,Paramètres!$A$1:$I$89,3,0)*0.475*44/12</f>
        <v>2.6401002620125236E-17</v>
      </c>
      <c r="HJ150" s="22">
        <f t="shared" si="138"/>
        <v>0.40114230188760075</v>
      </c>
    </row>
    <row r="151" spans="1:218" x14ac:dyDescent="0.2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131.60160000000019</v>
      </c>
      <c r="D151" s="11">
        <f t="shared" si="140"/>
        <v>34.366177918726152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1281.1547769164843</v>
      </c>
      <c r="H151" s="67">
        <f t="shared" si="110"/>
        <v>582.39387987511509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-2.2737367544323206E-13</v>
      </c>
      <c r="O151" s="13">
        <f>N151*VLOOKUP('Données projet'!$B$9,Paramètres!$A$1:$I$89,3,0)*VLOOKUP('Données projet'!$B$9,Paramètres!$A$1:$I$89,5,0)</f>
        <v>-1.2710188457276673E-13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255.5374979188561</v>
      </c>
      <c r="T151" s="59">
        <f t="shared" si="142"/>
        <v>343.10418468620901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0.29858163514311176</v>
      </c>
      <c r="AA151" s="21">
        <f>EXP(-LN(2)/25)*AA150+(1-EXP(-LN(2)/25))/(LN(2)/25)*Calculateur!V151*Calculateur!X151*VLOOKUP('Données projet'!$B$9,Paramètres!$A$1:$I$89,3,0)*0.475*44/12</f>
        <v>0.60558953092471235</v>
      </c>
      <c r="AB151" s="21">
        <f>EXP(-LN(2)/2)*AB150+(1-EXP(-LN(2)/2))/(LN(2)/2)*V151*Y151*VLOOKUP('Données projet'!$B$9,Paramètres!$A$1:$I$89,3,0)*0.475*44/12</f>
        <v>2.9362832988899281E-18</v>
      </c>
      <c r="AC151" s="22">
        <f t="shared" si="111"/>
        <v>0.90417116606782411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1.1368683772161603E-13</v>
      </c>
      <c r="AJ151" s="13">
        <f>AI151*VLOOKUP('Données projet'!$B$10,Paramètres!$A$1:$I$89,3,0)*VLOOKUP('Données projet'!$B$10,Paramètres!$A$1:$I$89,5,0)</f>
        <v>6.3550942286383367E-14</v>
      </c>
      <c r="AK151" s="13">
        <f t="shared" si="143"/>
        <v>1.0064464192543978E-12</v>
      </c>
      <c r="AL151" s="20">
        <f t="shared" si="112"/>
        <v>1.8635787380168604E-12</v>
      </c>
      <c r="AM151" s="59">
        <f t="shared" si="113"/>
        <v>293.33333333333519</v>
      </c>
      <c r="AN151" s="59">
        <f ca="1">AVERAGE(OFFSET($AM$3,0,0,'Données projet'!$E$10+1,1))-AVERAGE(OFFSET($H$3,0,0,'Données projet'!$E$10+1,1))</f>
        <v>224.7049802939942</v>
      </c>
      <c r="AO151" s="59">
        <f t="shared" si="144"/>
        <v>203.48513862195352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0.21559053316863427</v>
      </c>
      <c r="AV151" s="21">
        <f>EXP(-LN(2)/25)*AV150+(1-EXP(-LN(2)/25))/(LN(2)/25)*Calculateur!AQ151*Calculateur!AS151*VLOOKUP('Données projet'!$B$10,Paramètres!$A$1:$I$89,3,0)*0.475*44/12</f>
        <v>0.74083067050140294</v>
      </c>
      <c r="AW151" s="21">
        <f>EXP(-LN(2)/2)*AW150+(1-EXP(-LN(2)/2))/(LN(2)/2)*AQ151*AT151*VLOOKUP('Données projet'!$B$10,Paramètres!$A$1:$I$89,3,0)*0.475*44/12</f>
        <v>1.5544185020893727E-17</v>
      </c>
      <c r="AX151" s="21">
        <f t="shared" si="114"/>
        <v>0.95642120367003725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>
        <f>BD151*VLOOKUP('Données projet'!$B$11,Paramètres!$A$1:$I$89,3,0)*VLOOKUP('Données projet'!$B$11,Paramètres!$A$1:$I$89,5,0)</f>
        <v>0</v>
      </c>
      <c r="BF151" s="13" t="e">
        <f t="shared" si="145"/>
        <v>#NUM!</v>
      </c>
      <c r="BG151" s="20" t="e">
        <f t="shared" si="115"/>
        <v>#NUM!</v>
      </c>
      <c r="BH151" s="59" t="e">
        <f t="shared" si="116"/>
        <v>#NUM!</v>
      </c>
      <c r="BI151" s="59">
        <f ca="1">AVERAGE(OFFSET($BH$3,0,0,'Données projet'!$E$11+1,1))-AVERAGE(OFFSET($H$3,0,0,'Données projet'!$E$11+1,1))</f>
        <v>210.04871822652808</v>
      </c>
      <c r="BJ151" s="59">
        <f t="shared" si="146"/>
        <v>250.17540614049324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0.70547300975972715</v>
      </c>
      <c r="BQ151" s="21">
        <f>EXP(-LN(2)/25)*BQ150+(1-EXP(-LN(2)/25))/(LN(2)/25)*Calculateur!BL151*Calculateur!BN151*VLOOKUP('Données projet'!$B$11,Paramètres!$A$1:$I$89,3,0)*0.475*44/12</f>
        <v>1.055997189467115</v>
      </c>
      <c r="BR151" s="21">
        <f>EXP(-LN(2)/2)*BR150+(1-EXP(-LN(2)/2))/(LN(2)/2)*BL151*BO151*VLOOKUP('Données projet'!$B$11,Paramètres!$A$1:$I$89,3,0)*0.475*44/12</f>
        <v>3.7390036791276098E-17</v>
      </c>
      <c r="BS151" s="22">
        <f t="shared" si="117"/>
        <v>1.7614701992268422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2.2737367544323206E-13</v>
      </c>
      <c r="BZ151" s="13">
        <f>BY151*VLOOKUP('Données projet'!$B$12,Paramètres!$A$1:$I$89,3,0)*VLOOKUP('Données projet'!$B$12,Paramètres!$A$1:$I$89,5,0)</f>
        <v>1.2414602679200471E-13</v>
      </c>
      <c r="CA151" s="13">
        <f t="shared" si="147"/>
        <v>1.8186582995804361E-12</v>
      </c>
      <c r="CB151" s="20">
        <f t="shared" si="118"/>
        <v>3.3837175350986671E-12</v>
      </c>
      <c r="CC151" s="59">
        <f t="shared" si="119"/>
        <v>293.33333333333672</v>
      </c>
      <c r="CD151" s="59">
        <f ca="1">AVERAGE(OFFSET($CC$3,0,0,'Données projet'!$E$12+1,1))-AVERAGE(OFFSET($H$3,0,0,'Données projet'!$E$12+1,1))</f>
        <v>168.72306536277267</v>
      </c>
      <c r="CE151" s="59">
        <f t="shared" si="148"/>
        <v>203.35476578922339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0.29394708739988629</v>
      </c>
      <c r="CL151" s="21">
        <f>EXP(-LN(2)/25)*CL150+(1-EXP(-LN(2)/25))/(LN(2)/25)*Calculateur!CG151*Calculateur!CI151*VLOOKUP('Données projet'!$B$12,Paramètres!$A$1:$I$89,3,0)*0.475*44/12</f>
        <v>0.87213423685419555</v>
      </c>
      <c r="CM151" s="21">
        <f>EXP(-LN(2)/2)*CM150+(1-EXP(-LN(2)/2))/(LN(2)/2)*CG151*CJ151*VLOOKUP('Données projet'!$B$12,Paramètres!$A$1:$I$89,3,0)*0.475*44/12</f>
        <v>3.4735836814697139E-17</v>
      </c>
      <c r="CN151" s="22">
        <f t="shared" si="120"/>
        <v>1.166081324254082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1277.6923076923067</v>
      </c>
      <c r="CU151" s="17">
        <f>CT151*VLOOKUP('Données projet'!$B$13,Paramètres!$A$1:$I$89,3,0)*VLOOKUP('Données projet'!$B$13,Paramètres!$A$1:$I$89,5,0)</f>
        <v>614.5699999999996</v>
      </c>
      <c r="CV151" s="13">
        <f t="shared" si="149"/>
        <v>134.13240620831178</v>
      </c>
      <c r="CW151" s="20">
        <f t="shared" si="121"/>
        <v>1303.9900241461421</v>
      </c>
      <c r="CX151" s="59">
        <f t="shared" si="122"/>
        <v>1597.3233574794754</v>
      </c>
      <c r="CY151" s="59">
        <f ca="1">AVERAGE(OFFSET($CX$3,0,0,'Données projet'!$E$13+1,1))-AVERAGE(OFFSET($H$3,0,0,'Données projet'!$E$13+1,1))</f>
        <v>304.15237106473313</v>
      </c>
      <c r="CZ151" s="59">
        <f t="shared" si="150"/>
        <v>120.85458928724336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>
        <f>EXP(-LN(2)/35)*DF150+(1-EXP(-LN(2)/35))/(LN(2)/35)*DB151*DC151*VLOOKUP('Données projet'!$B$13,Paramètres!$A$1:$I$89,3,0)*0.475*44/12</f>
        <v>0</v>
      </c>
      <c r="DG151" s="21">
        <f>EXP(-LN(2)/25)*DG150+(1-EXP(-LN(2)/25))/(LN(2)/25)*Calculateur!DB151*Calculateur!DD151*VLOOKUP('Données projet'!$B$13,Paramètres!$A$1:$I$89,3,0)*0.475*44/12</f>
        <v>0</v>
      </c>
      <c r="DH151" s="21">
        <f>EXP(-LN(2)/2)*DH150+(1-EXP(-LN(2)/2))/(LN(2)/2)*DB151*DE151*VLOOKUP('Données projet'!$B$13,Paramètres!$A$1:$I$89,3,0)*0.475*44/12</f>
        <v>0</v>
      </c>
      <c r="DI151" s="22">
        <f t="shared" si="123"/>
        <v>0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425.38461538461536</v>
      </c>
      <c r="DP151" s="17">
        <f>DO151*VLOOKUP('Données projet'!$B$14,Paramètres!$A$1:$I$89,3,0)*VLOOKUP('Données projet'!$B$14,Paramètres!$A$1:$I$89,5,0)</f>
        <v>204.60999999999999</v>
      </c>
      <c r="DQ151" s="13">
        <f t="shared" si="151"/>
        <v>50.755958577224398</v>
      </c>
      <c r="DR151" s="20">
        <f t="shared" si="124"/>
        <v>444.76237785533249</v>
      </c>
      <c r="DS151" s="59">
        <f t="shared" si="125"/>
        <v>738.09571118866575</v>
      </c>
      <c r="DT151" s="59">
        <f ca="1">AVERAGE(OFFSET($DS$3,0,0,'Données projet'!$E$14+1,1))-AVERAGE(OFFSET($H$3,0,0,'Données projet'!$E$14+1,1))</f>
        <v>91.053246648097399</v>
      </c>
      <c r="DU151" s="59">
        <f t="shared" si="152"/>
        <v>64.716270355703955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>
        <f>EXP(-LN(2)/35)*EA150+(1-EXP(-LN(2)/35))/(LN(2)/35)*DW151*DX151*VLOOKUP('Données projet'!$B$14,Paramètres!$A$1:$I$89,3,0)*0.475*44/12</f>
        <v>0</v>
      </c>
      <c r="EB151" s="21">
        <f>EXP(-LN(2)/25)*EB150+(1-EXP(-LN(2)/25))/(LN(2)/25)*Calculateur!DW151*Calculateur!DY151*VLOOKUP('Données projet'!$B$14,Paramètres!$A$1:$I$89,3,0)*0.475*44/12</f>
        <v>0</v>
      </c>
      <c r="EC151" s="21">
        <f>EXP(-LN(2)/2)*EC150+(1-EXP(-LN(2)/2))/(LN(2)/2)*DW151*DZ151*VLOOKUP('Données projet'!$B$14,Paramètres!$A$1:$I$89,3,0)*0.475*44/12</f>
        <v>0</v>
      </c>
      <c r="ED151" s="22">
        <f t="shared" si="126"/>
        <v>0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553.99999999999955</v>
      </c>
      <c r="EK151" s="17">
        <f>EJ151*VLOOKUP('Données projet'!$B$15,Paramètres!$A$1:$I$89,3,0)*VLOOKUP('Données projet'!$B$15,Paramètres!$A$1:$I$89,5,0)</f>
        <v>331.29199999999975</v>
      </c>
      <c r="EL151" s="13">
        <f t="shared" si="153"/>
        <v>77.698110787752</v>
      </c>
      <c r="EM151" s="20">
        <f t="shared" si="127"/>
        <v>712.32444295533423</v>
      </c>
      <c r="EN151" s="59">
        <f t="shared" si="128"/>
        <v>1005.6577762886675</v>
      </c>
      <c r="EO151" s="59">
        <f ca="1">AVERAGE(OFFSET($EN$3,0,0,'Données projet'!$E$15+1,1))-AVERAGE(OFFSET($H$3,0,0,'Données projet'!$E$15+1,1))</f>
        <v>316.58509520829671</v>
      </c>
      <c r="EP151" s="59">
        <f t="shared" si="154"/>
        <v>240.71332110643596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>
        <f>EXP(-LN(2)/35)*EV150+(1-EXP(-LN(2)/35))/(LN(2)/35)*ER151*ES151*VLOOKUP('Données projet'!$B$15,Paramètres!$A$1:$I$89,3,0)*0.475*44/12</f>
        <v>0.24490591516531379</v>
      </c>
      <c r="EW151" s="21">
        <f>EXP(-LN(2)/25)*EW150+(1-EXP(-LN(2)/25))/(LN(2)/25)*Calculateur!ER151*Calculateur!ET151*VLOOKUP('Données projet'!$B$15,Paramètres!$A$1:$I$89,3,0)*0.475*44/12</f>
        <v>0.57931995373329859</v>
      </c>
      <c r="EX151" s="21">
        <f>EXP(-LN(2)/2)*EX150+(1-EXP(-LN(2)/2))/(LN(2)/2)*ER151*EU151*VLOOKUP('Données projet'!$B$15,Paramètres!$A$1:$I$89,3,0)*0.475*44/12</f>
        <v>3.8058693471282553E-17</v>
      </c>
      <c r="EY151" s="22">
        <f t="shared" si="129"/>
        <v>0.82422586889861238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497</v>
      </c>
      <c r="FF151" s="17">
        <f>FE151*VLOOKUP('Données projet'!$B$16,Paramètres!$A$1:$I$89,3,0)*VLOOKUP('Données projet'!$B$16,Paramètres!$A$1:$I$89,5,0)</f>
        <v>297.20600000000002</v>
      </c>
      <c r="FG151" s="13">
        <f t="shared" si="155"/>
        <v>70.590415164571112</v>
      </c>
      <c r="FH151" s="20">
        <f t="shared" si="130"/>
        <v>640.57875641162809</v>
      </c>
      <c r="FI151" s="59">
        <f t="shared" si="131"/>
        <v>933.91208974496135</v>
      </c>
      <c r="FJ151" s="59">
        <f ca="1">AVERAGE(OFFSET($FI$3,0,0,'Données projet'!$E$16+1,1))-AVERAGE(OFFSET($H$3,0,0,'Données projet'!$E$16+1,1))</f>
        <v>270.30888762640245</v>
      </c>
      <c r="FK151" s="59">
        <f t="shared" si="156"/>
        <v>202.23783851977691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>
        <f>EXP(-LN(2)/35)*FQ150+(1-EXP(-LN(2)/35))/(LN(2)/35)*FM151*FN151*VLOOKUP('Données projet'!$B$16,Paramètres!$A$1:$I$89,3,0)*0.475*44/12</f>
        <v>0.20696274521012409</v>
      </c>
      <c r="FR151" s="21">
        <f>EXP(-LN(2)/25)*FR150+(1-EXP(-LN(2)/25))/(LN(2)/25)*Calculateur!FM151*Calculateur!FO151*VLOOKUP('Données projet'!$B$16,Paramètres!$A$1:$I$89,3,0)*0.475*44/12</f>
        <v>0.46652433954084038</v>
      </c>
      <c r="FS151" s="21">
        <f>EXP(-LN(2)/2)*FS150+(1-EXP(-LN(2)/2))/(LN(2)/2)*FM151*FP151*VLOOKUP('Données projet'!$B$16,Paramètres!$A$1:$I$89,3,0)*0.475*44/12</f>
        <v>3.2079562246986923E-17</v>
      </c>
      <c r="FT151" s="22">
        <f t="shared" si="132"/>
        <v>0.67348708475096442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-5.1159076974727213E-13</v>
      </c>
      <c r="GA151" s="17">
        <f>FZ151*VLOOKUP('Données projet'!$B$17,Paramètres!$A$1:$I$89,3,0)*VLOOKUP('Données projet'!$B$17,Paramètres!$A$1:$I$89,5,0)</f>
        <v>-4.0702161641092972E-13</v>
      </c>
      <c r="GB151" s="13" t="e">
        <f t="shared" si="157"/>
        <v>#NUM!</v>
      </c>
      <c r="GC151" s="20" t="e">
        <f t="shared" si="133"/>
        <v>#NUM!</v>
      </c>
      <c r="GD151" s="59" t="e">
        <f t="shared" si="134"/>
        <v>#NUM!</v>
      </c>
      <c r="GE151" s="59">
        <f ca="1">AVERAGE(OFFSET($GD$3,0,0,'Données projet'!$E$17+1,1))-AVERAGE(OFFSET($H$3,0,0,'Données projet'!$E$17+1,1))</f>
        <v>260.20517190557814</v>
      </c>
      <c r="GF151" s="59">
        <f t="shared" si="158"/>
        <v>307.22009971147133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>
        <f>EXP(-LN(2)/35)*GL150+(1-EXP(-LN(2)/35))/(LN(2)/35)*GH151*GI151*VLOOKUP('Données projet'!$B$17,Paramètres!$A$1:$I$89,3,0)*0.475*44/12</f>
        <v>0.31529324493725935</v>
      </c>
      <c r="GM151" s="21">
        <f>EXP(-LN(2)/25)*GM150+(1-EXP(-LN(2)/25))/(LN(2)/25)*Calculateur!GH151*Calculateur!GJ151*VLOOKUP('Données projet'!$B$17,Paramètres!$A$1:$I$89,3,0)*0.475*44/12</f>
        <v>0.77858739557084944</v>
      </c>
      <c r="GN151" s="21">
        <f>EXP(-LN(2)/2)*GN150+(1-EXP(-LN(2)/2))/(LN(2)/2)*GH151*GK151*VLOOKUP('Données projet'!$B$17,Paramètres!$A$1:$I$89,3,0)*0.475*44/12</f>
        <v>4.1701077058068647E-17</v>
      </c>
      <c r="GO151" s="21">
        <f t="shared" si="135"/>
        <v>1.0938806405081087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5.6843418860808015E-14</v>
      </c>
      <c r="GV151" s="17">
        <f>GU151*VLOOKUP('Données projet'!$B$18,Paramètres!$A$1:$I$89,3,0)*VLOOKUP('Données projet'!$B$18,Paramètres!$A$1:$I$89,5,0)</f>
        <v>4.5224624045658861E-14</v>
      </c>
      <c r="GW151" s="13">
        <f t="shared" si="159"/>
        <v>7.4514601661523691E-13</v>
      </c>
      <c r="GX151" s="20">
        <f t="shared" si="136"/>
        <v>1.3765621991510601E-12</v>
      </c>
      <c r="GY151" s="59">
        <f t="shared" si="137"/>
        <v>293.33333333333468</v>
      </c>
      <c r="GZ151" s="59">
        <f ca="1">AVERAGE(OFFSET($GY$3,0,0,'Données projet'!$E$18+1,1))-AVERAGE(OFFSET($H$3,0,0,'Données projet'!$E$18+1,1))</f>
        <v>199.58763537752952</v>
      </c>
      <c r="HA151" s="59">
        <f t="shared" si="160"/>
        <v>242.62852778451929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>
        <f>EXP(-LN(2)/35)*HG150+(1-EXP(-LN(2)/35))/(LN(2)/35)*HC151*HD151*VLOOKUP('Données projet'!$B$18,Paramètres!$A$1:$I$89,3,0)*0.475*44/12</f>
        <v>0</v>
      </c>
      <c r="HH151" s="21">
        <f>EXP(-LN(2)/25)*HH150+(1-EXP(-LN(2)/25))/(LN(2)/25)*Calculateur!HC151*Calculateur!HE151*VLOOKUP('Données projet'!$B$18,Paramètres!$A$1:$I$89,3,0)*0.475*44/12</f>
        <v>0.39017304454732749</v>
      </c>
      <c r="HI151" s="21">
        <f>EXP(-LN(2)/2)*HI150+(1-EXP(-LN(2)/2))/(LN(2)/2)*HC151*HF151*VLOOKUP('Données projet'!$B$18,Paramètres!$A$1:$I$89,3,0)*0.475*44/12</f>
        <v>1.8668327982814363E-17</v>
      </c>
      <c r="HJ151" s="22">
        <f t="shared" si="138"/>
        <v>0.39017304454732749</v>
      </c>
    </row>
    <row r="152" spans="1:218" x14ac:dyDescent="0.2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132.49080000000018</v>
      </c>
      <c r="D152" s="11">
        <f t="shared" si="140"/>
        <v>34.571272807379401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1289.6019655306493</v>
      </c>
      <c r="H152" s="67">
        <f t="shared" si="110"/>
        <v>584.29977680618606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-2.2737367544323206E-13</v>
      </c>
      <c r="O152" s="13">
        <f>N152*VLOOKUP('Données projet'!$B$9,Paramètres!$A$1:$I$89,3,0)*VLOOKUP('Données projet'!$B$9,Paramètres!$A$1:$I$89,5,0)</f>
        <v>-1.2710188457276673E-13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255.5374979188561</v>
      </c>
      <c r="T152" s="59">
        <f t="shared" si="142"/>
        <v>343.10418468620901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0.29272663139477023</v>
      </c>
      <c r="AA152" s="21">
        <f>EXP(-LN(2)/25)*AA151+(1-EXP(-LN(2)/25))/(LN(2)/25)*Calculateur!V152*Calculateur!X152*VLOOKUP('Données projet'!$B$9,Paramètres!$A$1:$I$89,3,0)*0.475*44/12</f>
        <v>0.58902965335500679</v>
      </c>
      <c r="AB152" s="21">
        <f>EXP(-LN(2)/2)*AB151+(1-EXP(-LN(2)/2))/(LN(2)/2)*V152*Y152*VLOOKUP('Données projet'!$B$9,Paramètres!$A$1:$I$89,3,0)*0.475*44/12</f>
        <v>2.0762658321298743E-18</v>
      </c>
      <c r="AC152" s="22">
        <f t="shared" si="111"/>
        <v>0.88175628474977708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1.1368683772161603E-13</v>
      </c>
      <c r="AJ152" s="13">
        <f>AI152*VLOOKUP('Données projet'!$B$10,Paramètres!$A$1:$I$89,3,0)*VLOOKUP('Données projet'!$B$10,Paramètres!$A$1:$I$89,5,0)</f>
        <v>6.3550942286383367E-14</v>
      </c>
      <c r="AK152" s="13">
        <f t="shared" si="143"/>
        <v>1.0064464192543978E-12</v>
      </c>
      <c r="AL152" s="20">
        <f t="shared" si="112"/>
        <v>1.8635787380168604E-12</v>
      </c>
      <c r="AM152" s="59">
        <f t="shared" si="113"/>
        <v>293.33333333333519</v>
      </c>
      <c r="AN152" s="59">
        <f ca="1">AVERAGE(OFFSET($AM$3,0,0,'Données projet'!$E$10+1,1))-AVERAGE(OFFSET($H$3,0,0,'Données projet'!$E$10+1,1))</f>
        <v>224.7049802939942</v>
      </c>
      <c r="AO152" s="59">
        <f t="shared" si="144"/>
        <v>203.48513862195352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0.21136293431043832</v>
      </c>
      <c r="AV152" s="21">
        <f>EXP(-LN(2)/25)*AV151+(1-EXP(-LN(2)/25))/(LN(2)/25)*Calculateur!AQ152*Calculateur!AS152*VLOOKUP('Données projet'!$B$10,Paramètres!$A$1:$I$89,3,0)*0.475*44/12</f>
        <v>0.72057261685795027</v>
      </c>
      <c r="AW152" s="21">
        <f>EXP(-LN(2)/2)*AW151+(1-EXP(-LN(2)/2))/(LN(2)/2)*AQ152*AT152*VLOOKUP('Données projet'!$B$10,Paramètres!$A$1:$I$89,3,0)*0.475*44/12</f>
        <v>1.099139863629231E-17</v>
      </c>
      <c r="AX152" s="21">
        <f t="shared" si="114"/>
        <v>0.93193555116838855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>
        <f>BD152*VLOOKUP('Données projet'!$B$11,Paramètres!$A$1:$I$89,3,0)*VLOOKUP('Données projet'!$B$11,Paramètres!$A$1:$I$89,5,0)</f>
        <v>0</v>
      </c>
      <c r="BF152" s="13" t="e">
        <f t="shared" si="145"/>
        <v>#NUM!</v>
      </c>
      <c r="BG152" s="20" t="e">
        <f t="shared" si="115"/>
        <v>#NUM!</v>
      </c>
      <c r="BH152" s="59" t="e">
        <f t="shared" si="116"/>
        <v>#NUM!</v>
      </c>
      <c r="BI152" s="59">
        <f ca="1">AVERAGE(OFFSET($BH$3,0,0,'Données projet'!$E$11+1,1))-AVERAGE(OFFSET($H$3,0,0,'Données projet'!$E$11+1,1))</f>
        <v>210.04871822652808</v>
      </c>
      <c r="BJ152" s="59">
        <f t="shared" si="146"/>
        <v>250.17540614049324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0.69163911433438663</v>
      </c>
      <c r="BQ152" s="21">
        <f>EXP(-LN(2)/25)*BQ151+(1-EXP(-LN(2)/25))/(LN(2)/25)*Calculateur!BL152*Calculateur!BN152*VLOOKUP('Données projet'!$B$11,Paramètres!$A$1:$I$89,3,0)*0.475*44/12</f>
        <v>1.027120890788658</v>
      </c>
      <c r="BR152" s="21">
        <f>EXP(-LN(2)/2)*BR151+(1-EXP(-LN(2)/2))/(LN(2)/2)*BL152*BO152*VLOOKUP('Données projet'!$B$11,Paramètres!$A$1:$I$89,3,0)*0.475*44/12</f>
        <v>2.643874856392583E-17</v>
      </c>
      <c r="BS152" s="22">
        <f t="shared" si="117"/>
        <v>1.7187600051230447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2.2737367544323206E-13</v>
      </c>
      <c r="BZ152" s="13">
        <f>BY152*VLOOKUP('Données projet'!$B$12,Paramètres!$A$1:$I$89,3,0)*VLOOKUP('Données projet'!$B$12,Paramètres!$A$1:$I$89,5,0)</f>
        <v>1.2414602679200471E-13</v>
      </c>
      <c r="CA152" s="13">
        <f t="shared" si="147"/>
        <v>1.8186582995804361E-12</v>
      </c>
      <c r="CB152" s="20">
        <f t="shared" si="118"/>
        <v>3.3837175350986671E-12</v>
      </c>
      <c r="CC152" s="59">
        <f t="shared" si="119"/>
        <v>293.33333333333672</v>
      </c>
      <c r="CD152" s="59">
        <f ca="1">AVERAGE(OFFSET($CC$3,0,0,'Données projet'!$E$12+1,1))-AVERAGE(OFFSET($H$3,0,0,'Données projet'!$E$12+1,1))</f>
        <v>168.72306536277267</v>
      </c>
      <c r="CE152" s="59">
        <f t="shared" si="148"/>
        <v>203.35476578922339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0.28818296430599444</v>
      </c>
      <c r="CL152" s="21">
        <f>EXP(-LN(2)/25)*CL151+(1-EXP(-LN(2)/25))/(LN(2)/25)*Calculateur!CG152*Calculateur!CI152*VLOOKUP('Données projet'!$B$12,Paramètres!$A$1:$I$89,3,0)*0.475*44/12</f>
        <v>0.8482856802838713</v>
      </c>
      <c r="CM152" s="21">
        <f>EXP(-LN(2)/2)*CM151+(1-EXP(-LN(2)/2))/(LN(2)/2)*CG152*CJ152*VLOOKUP('Données projet'!$B$12,Paramètres!$A$1:$I$89,3,0)*0.475*44/12</f>
        <v>2.4561945761861672E-17</v>
      </c>
      <c r="CN152" s="22">
        <f t="shared" si="120"/>
        <v>1.1364686445898657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1277.6923076923067</v>
      </c>
      <c r="CU152" s="17">
        <f>CT152*VLOOKUP('Données projet'!$B$13,Paramètres!$A$1:$I$89,3,0)*VLOOKUP('Données projet'!$B$13,Paramètres!$A$1:$I$89,5,0)</f>
        <v>614.5699999999996</v>
      </c>
      <c r="CV152" s="13">
        <f t="shared" si="149"/>
        <v>134.13240620831178</v>
      </c>
      <c r="CW152" s="20">
        <f t="shared" si="121"/>
        <v>1303.9900241461421</v>
      </c>
      <c r="CX152" s="59">
        <f t="shared" si="122"/>
        <v>1597.3233574794754</v>
      </c>
      <c r="CY152" s="59">
        <f ca="1">AVERAGE(OFFSET($CX$3,0,0,'Données projet'!$E$13+1,1))-AVERAGE(OFFSET($H$3,0,0,'Données projet'!$E$13+1,1))</f>
        <v>304.15237106473313</v>
      </c>
      <c r="CZ152" s="59">
        <f t="shared" si="150"/>
        <v>120.85458928724336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>
        <f>EXP(-LN(2)/35)*DF151+(1-EXP(-LN(2)/35))/(LN(2)/35)*DB152*DC152*VLOOKUP('Données projet'!$B$13,Paramètres!$A$1:$I$89,3,0)*0.475*44/12</f>
        <v>0</v>
      </c>
      <c r="DG152" s="21">
        <f>EXP(-LN(2)/25)*DG151+(1-EXP(-LN(2)/25))/(LN(2)/25)*Calculateur!DB152*Calculateur!DD152*VLOOKUP('Données projet'!$B$13,Paramètres!$A$1:$I$89,3,0)*0.475*44/12</f>
        <v>0</v>
      </c>
      <c r="DH152" s="21">
        <f>EXP(-LN(2)/2)*DH151+(1-EXP(-LN(2)/2))/(LN(2)/2)*DB152*DE152*VLOOKUP('Données projet'!$B$13,Paramètres!$A$1:$I$89,3,0)*0.475*44/12</f>
        <v>0</v>
      </c>
      <c r="DI152" s="22">
        <f t="shared" si="123"/>
        <v>0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425.38461538461536</v>
      </c>
      <c r="DP152" s="17">
        <f>DO152*VLOOKUP('Données projet'!$B$14,Paramètres!$A$1:$I$89,3,0)*VLOOKUP('Données projet'!$B$14,Paramètres!$A$1:$I$89,5,0)</f>
        <v>204.60999999999999</v>
      </c>
      <c r="DQ152" s="13">
        <f t="shared" si="151"/>
        <v>50.755958577224398</v>
      </c>
      <c r="DR152" s="20">
        <f t="shared" si="124"/>
        <v>444.76237785533249</v>
      </c>
      <c r="DS152" s="59">
        <f t="shared" si="125"/>
        <v>738.09571118866575</v>
      </c>
      <c r="DT152" s="59">
        <f ca="1">AVERAGE(OFFSET($DS$3,0,0,'Données projet'!$E$14+1,1))-AVERAGE(OFFSET($H$3,0,0,'Données projet'!$E$14+1,1))</f>
        <v>91.053246648097399</v>
      </c>
      <c r="DU152" s="59">
        <f t="shared" si="152"/>
        <v>64.716270355703955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>
        <f>EXP(-LN(2)/35)*EA151+(1-EXP(-LN(2)/35))/(LN(2)/35)*DW152*DX152*VLOOKUP('Données projet'!$B$14,Paramètres!$A$1:$I$89,3,0)*0.475*44/12</f>
        <v>0</v>
      </c>
      <c r="EB152" s="21">
        <f>EXP(-LN(2)/25)*EB151+(1-EXP(-LN(2)/25))/(LN(2)/25)*Calculateur!DW152*Calculateur!DY152*VLOOKUP('Données projet'!$B$14,Paramètres!$A$1:$I$89,3,0)*0.475*44/12</f>
        <v>0</v>
      </c>
      <c r="EC152" s="21">
        <f>EXP(-LN(2)/2)*EC151+(1-EXP(-LN(2)/2))/(LN(2)/2)*DW152*DZ152*VLOOKUP('Données projet'!$B$14,Paramètres!$A$1:$I$89,3,0)*0.475*44/12</f>
        <v>0</v>
      </c>
      <c r="ED152" s="22">
        <f t="shared" si="126"/>
        <v>0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553.99999999999955</v>
      </c>
      <c r="EK152" s="17">
        <f>EJ152*VLOOKUP('Données projet'!$B$15,Paramètres!$A$1:$I$89,3,0)*VLOOKUP('Données projet'!$B$15,Paramètres!$A$1:$I$89,5,0)</f>
        <v>331.29199999999975</v>
      </c>
      <c r="EL152" s="13">
        <f t="shared" si="153"/>
        <v>77.698110787752</v>
      </c>
      <c r="EM152" s="20">
        <f t="shared" si="127"/>
        <v>712.32444295533423</v>
      </c>
      <c r="EN152" s="59">
        <f t="shared" si="128"/>
        <v>1005.6577762886675</v>
      </c>
      <c r="EO152" s="59">
        <f ca="1">AVERAGE(OFFSET($EN$3,0,0,'Données projet'!$E$15+1,1))-AVERAGE(OFFSET($H$3,0,0,'Données projet'!$E$15+1,1))</f>
        <v>316.58509520829671</v>
      </c>
      <c r="EP152" s="59">
        <f t="shared" si="154"/>
        <v>240.71332110643596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>
        <f>EXP(-LN(2)/35)*EV151+(1-EXP(-LN(2)/35))/(LN(2)/35)*ER152*ES152*VLOOKUP('Données projet'!$B$15,Paramètres!$A$1:$I$89,3,0)*0.475*44/12</f>
        <v>0.24010345954678039</v>
      </c>
      <c r="EW152" s="21">
        <f>EXP(-LN(2)/25)*EW151+(1-EXP(-LN(2)/25))/(LN(2)/25)*Calculateur!ER152*Calculateur!ET152*VLOOKUP('Données projet'!$B$15,Paramètres!$A$1:$I$89,3,0)*0.475*44/12</f>
        <v>0.56347841913334917</v>
      </c>
      <c r="EX152" s="21">
        <f>EXP(-LN(2)/2)*EX151+(1-EXP(-LN(2)/2))/(LN(2)/2)*ER152*EU152*VLOOKUP('Données projet'!$B$15,Paramètres!$A$1:$I$89,3,0)*0.475*44/12</f>
        <v>2.6911560236644077E-17</v>
      </c>
      <c r="EY152" s="22">
        <f t="shared" si="129"/>
        <v>0.80358187868012954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497</v>
      </c>
      <c r="FF152" s="17">
        <f>FE152*VLOOKUP('Données projet'!$B$16,Paramètres!$A$1:$I$89,3,0)*VLOOKUP('Données projet'!$B$16,Paramètres!$A$1:$I$89,5,0)</f>
        <v>297.20600000000002</v>
      </c>
      <c r="FG152" s="13">
        <f t="shared" si="155"/>
        <v>70.590415164571112</v>
      </c>
      <c r="FH152" s="20">
        <f t="shared" si="130"/>
        <v>640.57875641162809</v>
      </c>
      <c r="FI152" s="59">
        <f t="shared" si="131"/>
        <v>933.91208974496135</v>
      </c>
      <c r="FJ152" s="59">
        <f ca="1">AVERAGE(OFFSET($FI$3,0,0,'Données projet'!$E$16+1,1))-AVERAGE(OFFSET($H$3,0,0,'Données projet'!$E$16+1,1))</f>
        <v>270.30888762640245</v>
      </c>
      <c r="FK152" s="59">
        <f t="shared" si="156"/>
        <v>202.23783851977691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>
        <f>EXP(-LN(2)/35)*FQ151+(1-EXP(-LN(2)/35))/(LN(2)/35)*FM152*FN152*VLOOKUP('Données projet'!$B$16,Paramètres!$A$1:$I$89,3,0)*0.475*44/12</f>
        <v>0.20290433201136349</v>
      </c>
      <c r="FR152" s="21">
        <f>EXP(-LN(2)/25)*FR151+(1-EXP(-LN(2)/25))/(LN(2)/25)*Calculateur!FM152*Calculateur!FO152*VLOOKUP('Données projet'!$B$16,Paramètres!$A$1:$I$89,3,0)*0.475*44/12</f>
        <v>0.45376720694264733</v>
      </c>
      <c r="FS152" s="21">
        <f>EXP(-LN(2)/2)*FS151+(1-EXP(-LN(2)/2))/(LN(2)/2)*FM152*FP152*VLOOKUP('Données projet'!$B$16,Paramètres!$A$1:$I$89,3,0)*0.475*44/12</f>
        <v>2.2683676002340413E-17</v>
      </c>
      <c r="FT152" s="22">
        <f t="shared" si="132"/>
        <v>0.65667153895401076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-5.1159076974727213E-13</v>
      </c>
      <c r="GA152" s="17">
        <f>FZ152*VLOOKUP('Données projet'!$B$17,Paramètres!$A$1:$I$89,3,0)*VLOOKUP('Données projet'!$B$17,Paramètres!$A$1:$I$89,5,0)</f>
        <v>-4.0702161641092972E-13</v>
      </c>
      <c r="GB152" s="13" t="e">
        <f t="shared" si="157"/>
        <v>#NUM!</v>
      </c>
      <c r="GC152" s="20" t="e">
        <f t="shared" si="133"/>
        <v>#NUM!</v>
      </c>
      <c r="GD152" s="59" t="e">
        <f t="shared" si="134"/>
        <v>#NUM!</v>
      </c>
      <c r="GE152" s="59">
        <f ca="1">AVERAGE(OFFSET($GD$3,0,0,'Données projet'!$E$17+1,1))-AVERAGE(OFFSET($H$3,0,0,'Données projet'!$E$17+1,1))</f>
        <v>260.20517190557814</v>
      </c>
      <c r="GF152" s="59">
        <f t="shared" si="158"/>
        <v>307.22009971147133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>
        <f>EXP(-LN(2)/35)*GL151+(1-EXP(-LN(2)/35))/(LN(2)/35)*GH152*GI152*VLOOKUP('Données projet'!$B$17,Paramètres!$A$1:$I$89,3,0)*0.475*44/12</f>
        <v>0.30911053671393007</v>
      </c>
      <c r="GM152" s="21">
        <f>EXP(-LN(2)/25)*GM151+(1-EXP(-LN(2)/25))/(LN(2)/25)*Calculateur!GH152*Calculateur!GJ152*VLOOKUP('Données projet'!$B$17,Paramètres!$A$1:$I$89,3,0)*0.475*44/12</f>
        <v>0.75729688229483294</v>
      </c>
      <c r="GN152" s="21">
        <f>EXP(-LN(2)/2)*GN151+(1-EXP(-LN(2)/2))/(LN(2)/2)*GH152*GK152*VLOOKUP('Données projet'!$B$17,Paramètres!$A$1:$I$89,3,0)*0.475*44/12</f>
        <v>2.9487114370543104E-17</v>
      </c>
      <c r="GO152" s="21">
        <f t="shared" si="135"/>
        <v>1.0664074190087631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5.6843418860808015E-14</v>
      </c>
      <c r="GV152" s="17">
        <f>GU152*VLOOKUP('Données projet'!$B$18,Paramètres!$A$1:$I$89,3,0)*VLOOKUP('Données projet'!$B$18,Paramètres!$A$1:$I$89,5,0)</f>
        <v>4.5224624045658861E-14</v>
      </c>
      <c r="GW152" s="13">
        <f t="shared" si="159"/>
        <v>7.4514601661523691E-13</v>
      </c>
      <c r="GX152" s="20">
        <f t="shared" si="136"/>
        <v>1.3765621991510601E-12</v>
      </c>
      <c r="GY152" s="59">
        <f t="shared" si="137"/>
        <v>293.33333333333468</v>
      </c>
      <c r="GZ152" s="59">
        <f ca="1">AVERAGE(OFFSET($GY$3,0,0,'Données projet'!$E$18+1,1))-AVERAGE(OFFSET($H$3,0,0,'Données projet'!$E$18+1,1))</f>
        <v>199.58763537752952</v>
      </c>
      <c r="HA152" s="59">
        <f t="shared" si="160"/>
        <v>242.62852778451929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>
        <f>EXP(-LN(2)/35)*HG151+(1-EXP(-LN(2)/35))/(LN(2)/35)*HC152*HD152*VLOOKUP('Données projet'!$B$18,Paramètres!$A$1:$I$89,3,0)*0.475*44/12</f>
        <v>0</v>
      </c>
      <c r="HH152" s="21">
        <f>EXP(-LN(2)/25)*HH151+(1-EXP(-LN(2)/25))/(LN(2)/25)*Calculateur!HC152*Calculateur!HE152*VLOOKUP('Données projet'!$B$18,Paramètres!$A$1:$I$89,3,0)*0.475*44/12</f>
        <v>0.37950374212587218</v>
      </c>
      <c r="HI152" s="21">
        <f>EXP(-LN(2)/2)*HI151+(1-EXP(-LN(2)/2))/(LN(2)/2)*HC152*HF152*VLOOKUP('Données projet'!$B$18,Paramètres!$A$1:$I$89,3,0)*0.475*44/12</f>
        <v>1.3200501310062618E-17</v>
      </c>
      <c r="HJ152" s="22">
        <f t="shared" si="138"/>
        <v>0.37950374212587218</v>
      </c>
    </row>
    <row r="153" spans="1:218" x14ac:dyDescent="0.2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133.38000000000017</v>
      </c>
      <c r="D153" s="11">
        <f t="shared" si="140"/>
        <v>34.776207535549027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1298.0479178182745</v>
      </c>
      <c r="H153" s="67">
        <f t="shared" si="110"/>
        <v>586.20539479108152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-2.2737367544323206E-13</v>
      </c>
      <c r="O153" s="13">
        <f>N153*VLOOKUP('Données projet'!$B$9,Paramètres!$A$1:$I$89,3,0)*VLOOKUP('Données projet'!$B$9,Paramètres!$A$1:$I$89,5,0)</f>
        <v>-1.2710188457276673E-13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255.5374979188561</v>
      </c>
      <c r="T153" s="59">
        <f t="shared" si="142"/>
        <v>343.10418468620901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0.28698644069873402</v>
      </c>
      <c r="AA153" s="21">
        <f>EXP(-LN(2)/25)*AA152+(1-EXP(-LN(2)/25))/(LN(2)/25)*Calculateur!V153*Calculateur!X153*VLOOKUP('Données projet'!$B$9,Paramètres!$A$1:$I$89,3,0)*0.475*44/12</f>
        <v>0.57292260650829085</v>
      </c>
      <c r="AB153" s="21">
        <f>EXP(-LN(2)/2)*AB152+(1-EXP(-LN(2)/2))/(LN(2)/2)*V153*Y153*VLOOKUP('Données projet'!$B$9,Paramètres!$A$1:$I$89,3,0)*0.475*44/12</f>
        <v>1.4681416494449641E-18</v>
      </c>
      <c r="AC153" s="22">
        <f t="shared" si="111"/>
        <v>0.85990904720702488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1.1368683772161603E-13</v>
      </c>
      <c r="AJ153" s="13">
        <f>AI153*VLOOKUP('Données projet'!$B$10,Paramètres!$A$1:$I$89,3,0)*VLOOKUP('Données projet'!$B$10,Paramètres!$A$1:$I$89,5,0)</f>
        <v>6.3550942286383367E-14</v>
      </c>
      <c r="AK153" s="13">
        <f t="shared" si="143"/>
        <v>1.0064464192543978E-12</v>
      </c>
      <c r="AL153" s="20">
        <f t="shared" si="112"/>
        <v>1.8635787380168604E-12</v>
      </c>
      <c r="AM153" s="59">
        <f t="shared" si="113"/>
        <v>293.33333333333519</v>
      </c>
      <c r="AN153" s="59">
        <f ca="1">AVERAGE(OFFSET($AM$3,0,0,'Données projet'!$E$10+1,1))-AVERAGE(OFFSET($H$3,0,0,'Données projet'!$E$10+1,1))</f>
        <v>224.7049802939942</v>
      </c>
      <c r="AO153" s="59">
        <f t="shared" si="144"/>
        <v>203.48513862195352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0.20721823608727089</v>
      </c>
      <c r="AV153" s="21">
        <f>EXP(-LN(2)/25)*AV152+(1-EXP(-LN(2)/25))/(LN(2)/25)*Calculateur!AQ153*Calculateur!AS153*VLOOKUP('Données projet'!$B$10,Paramètres!$A$1:$I$89,3,0)*0.475*44/12</f>
        <v>0.70086852075670258</v>
      </c>
      <c r="AW153" s="21">
        <f>EXP(-LN(2)/2)*AW152+(1-EXP(-LN(2)/2))/(LN(2)/2)*AQ153*AT153*VLOOKUP('Données projet'!$B$10,Paramètres!$A$1:$I$89,3,0)*0.475*44/12</f>
        <v>7.7720925104468636E-18</v>
      </c>
      <c r="AX153" s="21">
        <f t="shared" si="114"/>
        <v>0.90808675684397344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>
        <f>BD153*VLOOKUP('Données projet'!$B$11,Paramètres!$A$1:$I$89,3,0)*VLOOKUP('Données projet'!$B$11,Paramètres!$A$1:$I$89,5,0)</f>
        <v>0</v>
      </c>
      <c r="BF153" s="13" t="e">
        <f t="shared" si="145"/>
        <v>#NUM!</v>
      </c>
      <c r="BG153" s="20" t="e">
        <f t="shared" si="115"/>
        <v>#NUM!</v>
      </c>
      <c r="BH153" s="59" t="e">
        <f t="shared" si="116"/>
        <v>#NUM!</v>
      </c>
      <c r="BI153" s="59">
        <f ca="1">AVERAGE(OFFSET($BH$3,0,0,'Données projet'!$E$11+1,1))-AVERAGE(OFFSET($H$3,0,0,'Données projet'!$E$11+1,1))</f>
        <v>210.04871822652808</v>
      </c>
      <c r="BJ153" s="59">
        <f t="shared" si="146"/>
        <v>250.17540614049324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0.67807649316049401</v>
      </c>
      <c r="BQ153" s="21">
        <f>EXP(-LN(2)/25)*BQ152+(1-EXP(-LN(2)/25))/(LN(2)/25)*Calculateur!BL153*Calculateur!BN153*VLOOKUP('Données projet'!$B$11,Paramètres!$A$1:$I$89,3,0)*0.475*44/12</f>
        <v>0.99903421601610198</v>
      </c>
      <c r="BR153" s="21">
        <f>EXP(-LN(2)/2)*BR152+(1-EXP(-LN(2)/2))/(LN(2)/2)*BL153*BO153*VLOOKUP('Données projet'!$B$11,Paramètres!$A$1:$I$89,3,0)*0.475*44/12</f>
        <v>1.8695018395638049E-17</v>
      </c>
      <c r="BS153" s="22">
        <f t="shared" si="117"/>
        <v>1.677110709176596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2.2737367544323206E-13</v>
      </c>
      <c r="BZ153" s="13">
        <f>BY153*VLOOKUP('Données projet'!$B$12,Paramètres!$A$1:$I$89,3,0)*VLOOKUP('Données projet'!$B$12,Paramètres!$A$1:$I$89,5,0)</f>
        <v>1.2414602679200471E-13</v>
      </c>
      <c r="CA153" s="13">
        <f t="shared" si="147"/>
        <v>1.8186582995804361E-12</v>
      </c>
      <c r="CB153" s="20">
        <f t="shared" si="118"/>
        <v>3.3837175350986671E-12</v>
      </c>
      <c r="CC153" s="59">
        <f t="shared" si="119"/>
        <v>293.33333333333672</v>
      </c>
      <c r="CD153" s="59">
        <f ca="1">AVERAGE(OFFSET($CC$3,0,0,'Données projet'!$E$12+1,1))-AVERAGE(OFFSET($H$3,0,0,'Données projet'!$E$12+1,1))</f>
        <v>168.72306536277267</v>
      </c>
      <c r="CE153" s="59">
        <f t="shared" si="148"/>
        <v>203.35476578922339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0.28253187215020586</v>
      </c>
      <c r="CL153" s="21">
        <f>EXP(-LN(2)/25)*CL152+(1-EXP(-LN(2)/25))/(LN(2)/25)*Calculateur!CG153*Calculateur!CI153*VLOOKUP('Données projet'!$B$12,Paramètres!$A$1:$I$89,3,0)*0.475*44/12</f>
        <v>0.82508926374710367</v>
      </c>
      <c r="CM153" s="21">
        <f>EXP(-LN(2)/2)*CM152+(1-EXP(-LN(2)/2))/(LN(2)/2)*CG153*CJ153*VLOOKUP('Données projet'!$B$12,Paramètres!$A$1:$I$89,3,0)*0.475*44/12</f>
        <v>1.7367918407348569E-17</v>
      </c>
      <c r="CN153" s="22">
        <f t="shared" si="120"/>
        <v>1.1076211358973096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1277.6923076923067</v>
      </c>
      <c r="CU153" s="17">
        <f>CT153*VLOOKUP('Données projet'!$B$13,Paramètres!$A$1:$I$89,3,0)*VLOOKUP('Données projet'!$B$13,Paramètres!$A$1:$I$89,5,0)</f>
        <v>614.5699999999996</v>
      </c>
      <c r="CV153" s="13">
        <f t="shared" si="149"/>
        <v>134.13240620831178</v>
      </c>
      <c r="CW153" s="20">
        <f t="shared" si="121"/>
        <v>1303.9900241461421</v>
      </c>
      <c r="CX153" s="59">
        <f t="shared" si="122"/>
        <v>1597.3233574794754</v>
      </c>
      <c r="CY153" s="59">
        <f ca="1">AVERAGE(OFFSET($CX$3,0,0,'Données projet'!$E$13+1,1))-AVERAGE(OFFSET($H$3,0,0,'Données projet'!$E$13+1,1))</f>
        <v>304.15237106473313</v>
      </c>
      <c r="CZ153" s="59">
        <f t="shared" si="150"/>
        <v>120.85458928724336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>
        <f>EXP(-LN(2)/35)*DF152+(1-EXP(-LN(2)/35))/(LN(2)/35)*DB153*DC153*VLOOKUP('Données projet'!$B$13,Paramètres!$A$1:$I$89,3,0)*0.475*44/12</f>
        <v>0</v>
      </c>
      <c r="DG153" s="21">
        <f>EXP(-LN(2)/25)*DG152+(1-EXP(-LN(2)/25))/(LN(2)/25)*Calculateur!DB153*Calculateur!DD153*VLOOKUP('Données projet'!$B$13,Paramètres!$A$1:$I$89,3,0)*0.475*44/12</f>
        <v>0</v>
      </c>
      <c r="DH153" s="21">
        <f>EXP(-LN(2)/2)*DH152+(1-EXP(-LN(2)/2))/(LN(2)/2)*DB153*DE153*VLOOKUP('Données projet'!$B$13,Paramètres!$A$1:$I$89,3,0)*0.475*44/12</f>
        <v>0</v>
      </c>
      <c r="DI153" s="22">
        <f t="shared" si="123"/>
        <v>0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425.38461538461536</v>
      </c>
      <c r="DP153" s="17">
        <f>DO153*VLOOKUP('Données projet'!$B$14,Paramètres!$A$1:$I$89,3,0)*VLOOKUP('Données projet'!$B$14,Paramètres!$A$1:$I$89,5,0)</f>
        <v>204.60999999999999</v>
      </c>
      <c r="DQ153" s="13">
        <f t="shared" si="151"/>
        <v>50.755958577224398</v>
      </c>
      <c r="DR153" s="20">
        <f t="shared" si="124"/>
        <v>444.76237785533249</v>
      </c>
      <c r="DS153" s="59">
        <f t="shared" si="125"/>
        <v>738.09571118866575</v>
      </c>
      <c r="DT153" s="59">
        <f ca="1">AVERAGE(OFFSET($DS$3,0,0,'Données projet'!$E$14+1,1))-AVERAGE(OFFSET($H$3,0,0,'Données projet'!$E$14+1,1))</f>
        <v>91.053246648097399</v>
      </c>
      <c r="DU153" s="59">
        <f t="shared" si="152"/>
        <v>64.716270355703955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>
        <f>EXP(-LN(2)/35)*EA152+(1-EXP(-LN(2)/35))/(LN(2)/35)*DW153*DX153*VLOOKUP('Données projet'!$B$14,Paramètres!$A$1:$I$89,3,0)*0.475*44/12</f>
        <v>0</v>
      </c>
      <c r="EB153" s="21">
        <f>EXP(-LN(2)/25)*EB152+(1-EXP(-LN(2)/25))/(LN(2)/25)*Calculateur!DW153*Calculateur!DY153*VLOOKUP('Données projet'!$B$14,Paramètres!$A$1:$I$89,3,0)*0.475*44/12</f>
        <v>0</v>
      </c>
      <c r="EC153" s="21">
        <f>EXP(-LN(2)/2)*EC152+(1-EXP(-LN(2)/2))/(LN(2)/2)*DW153*DZ153*VLOOKUP('Données projet'!$B$14,Paramètres!$A$1:$I$89,3,0)*0.475*44/12</f>
        <v>0</v>
      </c>
      <c r="ED153" s="22">
        <f t="shared" si="126"/>
        <v>0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553.99999999999955</v>
      </c>
      <c r="EK153" s="17">
        <f>EJ153*VLOOKUP('Données projet'!$B$15,Paramètres!$A$1:$I$89,3,0)*VLOOKUP('Données projet'!$B$15,Paramètres!$A$1:$I$89,5,0)</f>
        <v>331.29199999999975</v>
      </c>
      <c r="EL153" s="13">
        <f t="shared" si="153"/>
        <v>77.698110787752</v>
      </c>
      <c r="EM153" s="20">
        <f t="shared" si="127"/>
        <v>712.32444295533423</v>
      </c>
      <c r="EN153" s="59">
        <f t="shared" si="128"/>
        <v>1005.6577762886675</v>
      </c>
      <c r="EO153" s="59">
        <f ca="1">AVERAGE(OFFSET($EN$3,0,0,'Données projet'!$E$15+1,1))-AVERAGE(OFFSET($H$3,0,0,'Données projet'!$E$15+1,1))</f>
        <v>316.58509520829671</v>
      </c>
      <c r="EP153" s="59">
        <f t="shared" si="154"/>
        <v>240.71332110643596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>
        <f>EXP(-LN(2)/35)*EV152+(1-EXP(-LN(2)/35))/(LN(2)/35)*ER153*ES153*VLOOKUP('Données projet'!$B$15,Paramètres!$A$1:$I$89,3,0)*0.475*44/12</f>
        <v>0.23539517715371774</v>
      </c>
      <c r="EW153" s="21">
        <f>EXP(-LN(2)/25)*EW152+(1-EXP(-LN(2)/25))/(LN(2)/25)*Calculateur!ER153*Calculateur!ET153*VLOOKUP('Données projet'!$B$15,Paramètres!$A$1:$I$89,3,0)*0.475*44/12</f>
        <v>0.5480700721301055</v>
      </c>
      <c r="EX153" s="21">
        <f>EXP(-LN(2)/2)*EX152+(1-EXP(-LN(2)/2))/(LN(2)/2)*ER153*EU153*VLOOKUP('Données projet'!$B$15,Paramètres!$A$1:$I$89,3,0)*0.475*44/12</f>
        <v>1.9029346735641276E-17</v>
      </c>
      <c r="EY153" s="22">
        <f t="shared" si="129"/>
        <v>0.78346524928382322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497</v>
      </c>
      <c r="FF153" s="17">
        <f>FE153*VLOOKUP('Données projet'!$B$16,Paramètres!$A$1:$I$89,3,0)*VLOOKUP('Données projet'!$B$16,Paramètres!$A$1:$I$89,5,0)</f>
        <v>297.20600000000002</v>
      </c>
      <c r="FG153" s="13">
        <f t="shared" si="155"/>
        <v>70.590415164571112</v>
      </c>
      <c r="FH153" s="20">
        <f t="shared" si="130"/>
        <v>640.57875641162809</v>
      </c>
      <c r="FI153" s="59">
        <f t="shared" si="131"/>
        <v>933.91208974496135</v>
      </c>
      <c r="FJ153" s="59">
        <f ca="1">AVERAGE(OFFSET($FI$3,0,0,'Données projet'!$E$16+1,1))-AVERAGE(OFFSET($H$3,0,0,'Données projet'!$E$16+1,1))</f>
        <v>270.30888762640245</v>
      </c>
      <c r="FK153" s="59">
        <f t="shared" si="156"/>
        <v>202.23783851977691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>
        <f>EXP(-LN(2)/35)*FQ152+(1-EXP(-LN(2)/35))/(LN(2)/35)*FM153*FN153*VLOOKUP('Données projet'!$B$16,Paramètres!$A$1:$I$89,3,0)*0.475*44/12</f>
        <v>0.19892550182004295</v>
      </c>
      <c r="FR153" s="21">
        <f>EXP(-LN(2)/25)*FR152+(1-EXP(-LN(2)/25))/(LN(2)/25)*Calculateur!FM153*Calculateur!FO153*VLOOKUP('Données projet'!$B$16,Paramètres!$A$1:$I$89,3,0)*0.475*44/12</f>
        <v>0.4413589188062203</v>
      </c>
      <c r="FS153" s="21">
        <f>EXP(-LN(2)/2)*FS152+(1-EXP(-LN(2)/2))/(LN(2)/2)*FM153*FP153*VLOOKUP('Données projet'!$B$16,Paramètres!$A$1:$I$89,3,0)*0.475*44/12</f>
        <v>1.6039781123493461E-17</v>
      </c>
      <c r="FT153" s="22">
        <f t="shared" si="132"/>
        <v>0.64028442062626323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-5.1159076974727213E-13</v>
      </c>
      <c r="GA153" s="17">
        <f>FZ153*VLOOKUP('Données projet'!$B$17,Paramètres!$A$1:$I$89,3,0)*VLOOKUP('Données projet'!$B$17,Paramètres!$A$1:$I$89,5,0)</f>
        <v>-4.0702161641092972E-13</v>
      </c>
      <c r="GB153" s="13" t="e">
        <f t="shared" si="157"/>
        <v>#NUM!</v>
      </c>
      <c r="GC153" s="20" t="e">
        <f t="shared" si="133"/>
        <v>#NUM!</v>
      </c>
      <c r="GD153" s="59" t="e">
        <f t="shared" si="134"/>
        <v>#NUM!</v>
      </c>
      <c r="GE153" s="59">
        <f ca="1">AVERAGE(OFFSET($GD$3,0,0,'Données projet'!$E$17+1,1))-AVERAGE(OFFSET($H$3,0,0,'Données projet'!$E$17+1,1))</f>
        <v>260.20517190557814</v>
      </c>
      <c r="GF153" s="59">
        <f t="shared" si="158"/>
        <v>307.22009971147133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>
        <f>EXP(-LN(2)/35)*GL152+(1-EXP(-LN(2)/35))/(LN(2)/35)*GH153*GI153*VLOOKUP('Données projet'!$B$17,Paramètres!$A$1:$I$89,3,0)*0.475*44/12</f>
        <v>0.30304906762778067</v>
      </c>
      <c r="GM153" s="21">
        <f>EXP(-LN(2)/25)*GM152+(1-EXP(-LN(2)/25))/(LN(2)/25)*Calculateur!GH153*Calculateur!GJ153*VLOOKUP('Données projet'!$B$17,Paramètres!$A$1:$I$89,3,0)*0.475*44/12</f>
        <v>0.73658855922396849</v>
      </c>
      <c r="GN153" s="21">
        <f>EXP(-LN(2)/2)*GN152+(1-EXP(-LN(2)/2))/(LN(2)/2)*GH153*GK153*VLOOKUP('Données projet'!$B$17,Paramètres!$A$1:$I$89,3,0)*0.475*44/12</f>
        <v>2.0850538529034324E-17</v>
      </c>
      <c r="GO153" s="21">
        <f t="shared" si="135"/>
        <v>1.0396376268517491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5.6843418860808015E-14</v>
      </c>
      <c r="GV153" s="17">
        <f>GU153*VLOOKUP('Données projet'!$B$18,Paramètres!$A$1:$I$89,3,0)*VLOOKUP('Données projet'!$B$18,Paramètres!$A$1:$I$89,5,0)</f>
        <v>4.5224624045658861E-14</v>
      </c>
      <c r="GW153" s="13">
        <f t="shared" si="159"/>
        <v>7.4514601661523691E-13</v>
      </c>
      <c r="GX153" s="20">
        <f t="shared" si="136"/>
        <v>1.3765621991510601E-12</v>
      </c>
      <c r="GY153" s="59">
        <f t="shared" si="137"/>
        <v>293.33333333333468</v>
      </c>
      <c r="GZ153" s="59">
        <f ca="1">AVERAGE(OFFSET($GY$3,0,0,'Données projet'!$E$18+1,1))-AVERAGE(OFFSET($H$3,0,0,'Données projet'!$E$18+1,1))</f>
        <v>199.58763537752952</v>
      </c>
      <c r="HA153" s="59">
        <f t="shared" si="160"/>
        <v>242.62852778451929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>
        <f>EXP(-LN(2)/35)*HG152+(1-EXP(-LN(2)/35))/(LN(2)/35)*HC153*HD153*VLOOKUP('Données projet'!$B$18,Paramètres!$A$1:$I$89,3,0)*0.475*44/12</f>
        <v>0</v>
      </c>
      <c r="HH153" s="21">
        <f>EXP(-LN(2)/25)*HH152+(1-EXP(-LN(2)/25))/(LN(2)/25)*Calculateur!HC153*Calculateur!HE153*VLOOKUP('Données projet'!$B$18,Paramètres!$A$1:$I$89,3,0)*0.475*44/12</f>
        <v>0.36912619234020577</v>
      </c>
      <c r="HI153" s="21">
        <f>EXP(-LN(2)/2)*HI152+(1-EXP(-LN(2)/2))/(LN(2)/2)*HC153*HF153*VLOOKUP('Données projet'!$B$18,Paramètres!$A$1:$I$89,3,0)*0.475*44/12</f>
        <v>9.3341639914071814E-18</v>
      </c>
      <c r="HJ153" s="22">
        <f t="shared" si="138"/>
        <v>0.36912619234020577</v>
      </c>
    </row>
    <row r="154" spans="1:218" x14ac:dyDescent="0.2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134.26920000000015</v>
      </c>
      <c r="D154" s="11">
        <f t="shared" si="140"/>
        <v>34.980983294811438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1306.492642977493</v>
      </c>
      <c r="H154" s="67">
        <f t="shared" si="110"/>
        <v>588.11073590513013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-2.2737367544323206E-13</v>
      </c>
      <c r="O154" s="13">
        <f>N154*VLOOKUP('Données projet'!$B$9,Paramètres!$A$1:$I$89,3,0)*VLOOKUP('Données projet'!$B$9,Paramètres!$A$1:$I$89,5,0)</f>
        <v>-1.2710188457276673E-13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255.5374979188561</v>
      </c>
      <c r="T154" s="59">
        <f t="shared" si="142"/>
        <v>343.10418468620901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0.28135881164107646</v>
      </c>
      <c r="AA154" s="21">
        <f>EXP(-LN(2)/25)*AA153+(1-EXP(-LN(2)/25))/(LN(2)/25)*Calculateur!V154*Calculateur!X154*VLOOKUP('Données projet'!$B$9,Paramètres!$A$1:$I$89,3,0)*0.475*44/12</f>
        <v>0.55725600770463124</v>
      </c>
      <c r="AB154" s="21">
        <f>EXP(-LN(2)/2)*AB153+(1-EXP(-LN(2)/2))/(LN(2)/2)*V154*Y154*VLOOKUP('Données projet'!$B$9,Paramètres!$A$1:$I$89,3,0)*0.475*44/12</f>
        <v>1.0381329160649371E-18</v>
      </c>
      <c r="AC154" s="22">
        <f t="shared" ref="AC154:AC203" si="163">SUM(Z154:AB154)</f>
        <v>0.8386148193457077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1.1368683772161603E-13</v>
      </c>
      <c r="AJ154" s="13">
        <f>AI154*VLOOKUP('Données projet'!$B$10,Paramètres!$A$1:$I$89,3,0)*VLOOKUP('Données projet'!$B$10,Paramètres!$A$1:$I$89,5,0)</f>
        <v>6.3550942286383367E-14</v>
      </c>
      <c r="AK154" s="13">
        <f t="shared" ref="AK154:AK203" si="164">EXP(-1.0587+0.8836*LN(AJ154)+0.284)</f>
        <v>1.0064464192543978E-12</v>
      </c>
      <c r="AL154" s="20">
        <f t="shared" ref="AL154:AL203" si="165">(AJ154+AK154)*0.475*44/12</f>
        <v>1.8635787380168604E-12</v>
      </c>
      <c r="AM154" s="59">
        <f t="shared" si="113"/>
        <v>293.33333333333519</v>
      </c>
      <c r="AN154" s="59">
        <f ca="1">AVERAGE(OFFSET($AM$3,0,0,'Données projet'!$E$10+1,1))-AVERAGE(OFFSET($H$3,0,0,'Données projet'!$E$10+1,1))</f>
        <v>224.7049802939942</v>
      </c>
      <c r="AO154" s="59">
        <f t="shared" si="144"/>
        <v>203.48513862195352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0.20315481286824347</v>
      </c>
      <c r="AV154" s="21">
        <f>EXP(-LN(2)/25)*AV153+(1-EXP(-LN(2)/25))/(LN(2)/25)*Calculateur!AQ154*Calculateur!AS154*VLOOKUP('Données projet'!$B$10,Paramètres!$A$1:$I$89,3,0)*0.475*44/12</f>
        <v>0.68170323419953693</v>
      </c>
      <c r="AW154" s="21">
        <f>EXP(-LN(2)/2)*AW153+(1-EXP(-LN(2)/2))/(LN(2)/2)*AQ154*AT154*VLOOKUP('Données projet'!$B$10,Paramètres!$A$1:$I$89,3,0)*0.475*44/12</f>
        <v>5.4956993181461552E-18</v>
      </c>
      <c r="AX154" s="21">
        <f t="shared" ref="AX154:AX203" si="166">SUM(AU154:AW154)</f>
        <v>0.88485804706778037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>
        <f>BD154*VLOOKUP('Données projet'!$B$11,Paramètres!$A$1:$I$89,3,0)*VLOOKUP('Données projet'!$B$11,Paramètres!$A$1:$I$89,5,0)</f>
        <v>0</v>
      </c>
      <c r="BF154" s="13" t="e">
        <f t="shared" ref="BF154:BF203" si="167">EXP(-1.0587+0.8836*LN(BE154)+0.284)</f>
        <v>#NUM!</v>
      </c>
      <c r="BG154" s="20" t="e">
        <f t="shared" ref="BG154:BG203" si="168">(BE154+BF154)*0.475*44/12</f>
        <v>#NUM!</v>
      </c>
      <c r="BH154" s="59" t="e">
        <f t="shared" si="116"/>
        <v>#NUM!</v>
      </c>
      <c r="BI154" s="59">
        <f ca="1">AVERAGE(OFFSET($BH$3,0,0,'Données projet'!$E$11+1,1))-AVERAGE(OFFSET($H$3,0,0,'Données projet'!$E$11+1,1))</f>
        <v>210.04871822652808</v>
      </c>
      <c r="BJ154" s="59">
        <f t="shared" si="146"/>
        <v>250.17540614049324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0.66477982671543934</v>
      </c>
      <c r="BQ154" s="21">
        <f>EXP(-LN(2)/25)*BQ153+(1-EXP(-LN(2)/25))/(LN(2)/25)*Calculateur!BL154*Calculateur!BN154*VLOOKUP('Données projet'!$B$11,Paramètres!$A$1:$I$89,3,0)*0.475*44/12</f>
        <v>0.97171557284221555</v>
      </c>
      <c r="BR154" s="21">
        <f>EXP(-LN(2)/2)*BR153+(1-EXP(-LN(2)/2))/(LN(2)/2)*BL154*BO154*VLOOKUP('Données projet'!$B$11,Paramètres!$A$1:$I$89,3,0)*0.475*44/12</f>
        <v>1.3219374281962915E-17</v>
      </c>
      <c r="BS154" s="22">
        <f t="shared" ref="BS154:BS203" si="169">SUM(BP154:BR154)</f>
        <v>1.636495399557655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2.2737367544323206E-13</v>
      </c>
      <c r="BZ154" s="13">
        <f>BY154*VLOOKUP('Données projet'!$B$12,Paramètres!$A$1:$I$89,3,0)*VLOOKUP('Données projet'!$B$12,Paramètres!$A$1:$I$89,5,0)</f>
        <v>1.2414602679200471E-13</v>
      </c>
      <c r="CA154" s="13">
        <f t="shared" ref="CA154:CA203" si="170">EXP(-1.0587+0.8836*LN(BZ154)+0.284)</f>
        <v>1.8186582995804361E-12</v>
      </c>
      <c r="CB154" s="20">
        <f t="shared" ref="CB154:CB203" si="171">(BZ154+CA154)*0.475*44/12</f>
        <v>3.3837175350986671E-12</v>
      </c>
      <c r="CC154" s="59">
        <f t="shared" si="119"/>
        <v>293.33333333333672</v>
      </c>
      <c r="CD154" s="59">
        <f ca="1">AVERAGE(OFFSET($CC$3,0,0,'Données projet'!$E$12+1,1))-AVERAGE(OFFSET($H$3,0,0,'Données projet'!$E$12+1,1))</f>
        <v>168.72306536277267</v>
      </c>
      <c r="CE154" s="59">
        <f t="shared" si="148"/>
        <v>203.35476578922339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0.2769915944647664</v>
      </c>
      <c r="CL154" s="21">
        <f>EXP(-LN(2)/25)*CL153+(1-EXP(-LN(2)/25))/(LN(2)/25)*Calculateur!CG154*Calculateur!CI154*VLOOKUP('Données projet'!$B$12,Paramètres!$A$1:$I$89,3,0)*0.475*44/12</f>
        <v>0.80252715444038047</v>
      </c>
      <c r="CM154" s="21">
        <f>EXP(-LN(2)/2)*CM153+(1-EXP(-LN(2)/2))/(LN(2)/2)*CG154*CJ154*VLOOKUP('Données projet'!$B$12,Paramètres!$A$1:$I$89,3,0)*0.475*44/12</f>
        <v>1.2280972880930836E-17</v>
      </c>
      <c r="CN154" s="22">
        <f t="shared" ref="CN154:CN203" si="172">SUM(CK154:CM154)</f>
        <v>1.079518748905147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1277.6923076923067</v>
      </c>
      <c r="CU154" s="17">
        <f>CT154*VLOOKUP('Données projet'!$B$13,Paramètres!$A$1:$I$89,3,0)*VLOOKUP('Données projet'!$B$13,Paramètres!$A$1:$I$89,5,0)</f>
        <v>614.5699999999996</v>
      </c>
      <c r="CV154" s="13">
        <f t="shared" ref="CV154:CV203" si="173">EXP(-1.0587+0.8836*LN(CU154)+0.284)</f>
        <v>134.13240620831178</v>
      </c>
      <c r="CW154" s="20">
        <f t="shared" ref="CW154:CW203" si="174">(CU154+CV154)*0.475*44/12</f>
        <v>1303.9900241461421</v>
      </c>
      <c r="CX154" s="59">
        <f t="shared" si="122"/>
        <v>1597.3233574794754</v>
      </c>
      <c r="CY154" s="59">
        <f ca="1">AVERAGE(OFFSET($CX$3,0,0,'Données projet'!$E$13+1,1))-AVERAGE(OFFSET($H$3,0,0,'Données projet'!$E$13+1,1))</f>
        <v>304.15237106473313</v>
      </c>
      <c r="CZ154" s="59">
        <f t="shared" si="150"/>
        <v>120.85458928724336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>
        <f>EXP(-LN(2)/35)*DF153+(1-EXP(-LN(2)/35))/(LN(2)/35)*DB154*DC154*VLOOKUP('Données projet'!$B$13,Paramètres!$A$1:$I$89,3,0)*0.475*44/12</f>
        <v>0</v>
      </c>
      <c r="DG154" s="21">
        <f>EXP(-LN(2)/25)*DG153+(1-EXP(-LN(2)/25))/(LN(2)/25)*Calculateur!DB154*Calculateur!DD154*VLOOKUP('Données projet'!$B$13,Paramètres!$A$1:$I$89,3,0)*0.475*44/12</f>
        <v>0</v>
      </c>
      <c r="DH154" s="21">
        <f>EXP(-LN(2)/2)*DH153+(1-EXP(-LN(2)/2))/(LN(2)/2)*DB154*DE154*VLOOKUP('Données projet'!$B$13,Paramètres!$A$1:$I$89,3,0)*0.475*44/12</f>
        <v>0</v>
      </c>
      <c r="DI154" s="22">
        <f t="shared" ref="DI154:DI203" si="175">SUM(DF154:DH154)</f>
        <v>0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425.38461538461536</v>
      </c>
      <c r="DP154" s="17">
        <f>DO154*VLOOKUP('Données projet'!$B$14,Paramètres!$A$1:$I$89,3,0)*VLOOKUP('Données projet'!$B$14,Paramètres!$A$1:$I$89,5,0)</f>
        <v>204.60999999999999</v>
      </c>
      <c r="DQ154" s="13">
        <f t="shared" ref="DQ154:DQ203" si="176">EXP(-1.0587+0.8836*LN(DP154)+0.284)</f>
        <v>50.755958577224398</v>
      </c>
      <c r="DR154" s="20">
        <f t="shared" ref="DR154:DR203" si="177">(DP154+DQ154)*0.475*44/12</f>
        <v>444.76237785533249</v>
      </c>
      <c r="DS154" s="59">
        <f t="shared" si="125"/>
        <v>738.09571118866575</v>
      </c>
      <c r="DT154" s="59">
        <f ca="1">AVERAGE(OFFSET($DS$3,0,0,'Données projet'!$E$14+1,1))-AVERAGE(OFFSET($H$3,0,0,'Données projet'!$E$14+1,1))</f>
        <v>91.053246648097399</v>
      </c>
      <c r="DU154" s="59">
        <f t="shared" si="152"/>
        <v>64.716270355703955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>
        <f>EXP(-LN(2)/35)*EA153+(1-EXP(-LN(2)/35))/(LN(2)/35)*DW154*DX154*VLOOKUP('Données projet'!$B$14,Paramètres!$A$1:$I$89,3,0)*0.475*44/12</f>
        <v>0</v>
      </c>
      <c r="EB154" s="21">
        <f>EXP(-LN(2)/25)*EB153+(1-EXP(-LN(2)/25))/(LN(2)/25)*Calculateur!DW154*Calculateur!DY154*VLOOKUP('Données projet'!$B$14,Paramètres!$A$1:$I$89,3,0)*0.475*44/12</f>
        <v>0</v>
      </c>
      <c r="EC154" s="21">
        <f>EXP(-LN(2)/2)*EC153+(1-EXP(-LN(2)/2))/(LN(2)/2)*DW154*DZ154*VLOOKUP('Données projet'!$B$14,Paramètres!$A$1:$I$89,3,0)*0.475*44/12</f>
        <v>0</v>
      </c>
      <c r="ED154" s="22">
        <f t="shared" ref="ED154:ED203" si="178">SUM(EA154:EC154)</f>
        <v>0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553.99999999999955</v>
      </c>
      <c r="EK154" s="17">
        <f>EJ154*VLOOKUP('Données projet'!$B$15,Paramètres!$A$1:$I$89,3,0)*VLOOKUP('Données projet'!$B$15,Paramètres!$A$1:$I$89,5,0)</f>
        <v>331.29199999999975</v>
      </c>
      <c r="EL154" s="13">
        <f t="shared" ref="EL154:EL203" si="179">EXP(-1.0587+0.8836*LN(EK154)+0.284)</f>
        <v>77.698110787752</v>
      </c>
      <c r="EM154" s="20">
        <f t="shared" ref="EM154:EM203" si="180">(EK154+EL154)*0.475*44/12</f>
        <v>712.32444295533423</v>
      </c>
      <c r="EN154" s="59">
        <f t="shared" si="128"/>
        <v>1005.6577762886675</v>
      </c>
      <c r="EO154" s="59">
        <f ca="1">AVERAGE(OFFSET($EN$3,0,0,'Données projet'!$E$15+1,1))-AVERAGE(OFFSET($H$3,0,0,'Données projet'!$E$15+1,1))</f>
        <v>316.58509520829671</v>
      </c>
      <c r="EP154" s="59">
        <f t="shared" si="154"/>
        <v>240.71332110643596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>
        <f>EXP(-LN(2)/35)*EV153+(1-EXP(-LN(2)/35))/(LN(2)/35)*ER154*ES154*VLOOKUP('Données projet'!$B$15,Paramètres!$A$1:$I$89,3,0)*0.475*44/12</f>
        <v>0.23077922130661435</v>
      </c>
      <c r="EW154" s="21">
        <f>EXP(-LN(2)/25)*EW153+(1-EXP(-LN(2)/25))/(LN(2)/25)*Calculateur!ER154*Calculateur!ET154*VLOOKUP('Données projet'!$B$15,Paramètres!$A$1:$I$89,3,0)*0.475*44/12</f>
        <v>0.53308306718595533</v>
      </c>
      <c r="EX154" s="21">
        <f>EXP(-LN(2)/2)*EX153+(1-EXP(-LN(2)/2))/(LN(2)/2)*ER154*EU154*VLOOKUP('Données projet'!$B$15,Paramètres!$A$1:$I$89,3,0)*0.475*44/12</f>
        <v>1.3455780118322039E-17</v>
      </c>
      <c r="EY154" s="22">
        <f t="shared" ref="EY154:EY203" si="181">SUM(EV154:EX154)</f>
        <v>0.76386228849256965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497</v>
      </c>
      <c r="FF154" s="17">
        <f>FE154*VLOOKUP('Données projet'!$B$16,Paramètres!$A$1:$I$89,3,0)*VLOOKUP('Données projet'!$B$16,Paramètres!$A$1:$I$89,5,0)</f>
        <v>297.20600000000002</v>
      </c>
      <c r="FG154" s="13">
        <f t="shared" ref="FG154:FG203" si="182">EXP(-1.0587+0.8836*LN(FF154)+0.284)</f>
        <v>70.590415164571112</v>
      </c>
      <c r="FH154" s="20">
        <f t="shared" ref="FH154:FH203" si="183">(FF154+FG154)*0.475*44/12</f>
        <v>640.57875641162809</v>
      </c>
      <c r="FI154" s="59">
        <f t="shared" si="131"/>
        <v>933.91208974496135</v>
      </c>
      <c r="FJ154" s="59">
        <f ca="1">AVERAGE(OFFSET($FI$3,0,0,'Données projet'!$E$16+1,1))-AVERAGE(OFFSET($H$3,0,0,'Données projet'!$E$16+1,1))</f>
        <v>270.30888762640245</v>
      </c>
      <c r="FK154" s="59">
        <f t="shared" si="156"/>
        <v>202.23783851977691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>
        <f>EXP(-LN(2)/35)*FQ153+(1-EXP(-LN(2)/35))/(LN(2)/35)*FM154*FN154*VLOOKUP('Données projet'!$B$16,Paramètres!$A$1:$I$89,3,0)*0.475*44/12</f>
        <v>0.19502469406192743</v>
      </c>
      <c r="FR154" s="21">
        <f>EXP(-LN(2)/25)*FR153+(1-EXP(-LN(2)/25))/(LN(2)/25)*Calculateur!FM154*Calculateur!FO154*VLOOKUP('Données projet'!$B$16,Paramètres!$A$1:$I$89,3,0)*0.475*44/12</f>
        <v>0.42928993596140741</v>
      </c>
      <c r="FS154" s="21">
        <f>EXP(-LN(2)/2)*FS153+(1-EXP(-LN(2)/2))/(LN(2)/2)*FM154*FP154*VLOOKUP('Données projet'!$B$16,Paramètres!$A$1:$I$89,3,0)*0.475*44/12</f>
        <v>1.1341838001170207E-17</v>
      </c>
      <c r="FT154" s="22">
        <f t="shared" ref="FT154:FT203" si="184">SUM(FQ154:FS154)</f>
        <v>0.62431463002333487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-5.1159076974727213E-13</v>
      </c>
      <c r="GA154" s="17">
        <f>FZ154*VLOOKUP('Données projet'!$B$17,Paramètres!$A$1:$I$89,3,0)*VLOOKUP('Données projet'!$B$17,Paramètres!$A$1:$I$89,5,0)</f>
        <v>-4.0702161641092972E-13</v>
      </c>
      <c r="GB154" s="13" t="e">
        <f t="shared" ref="GB154:GB203" si="185">EXP(-1.0587+0.8836*LN(GA154)+0.284)</f>
        <v>#NUM!</v>
      </c>
      <c r="GC154" s="20" t="e">
        <f t="shared" ref="GC154:GC203" si="186">(GA154+GB154)*0.475*44/12</f>
        <v>#NUM!</v>
      </c>
      <c r="GD154" s="59" t="e">
        <f t="shared" si="134"/>
        <v>#NUM!</v>
      </c>
      <c r="GE154" s="59">
        <f ca="1">AVERAGE(OFFSET($GD$3,0,0,'Données projet'!$E$17+1,1))-AVERAGE(OFFSET($H$3,0,0,'Données projet'!$E$17+1,1))</f>
        <v>260.20517190557814</v>
      </c>
      <c r="GF154" s="59">
        <f t="shared" si="158"/>
        <v>307.22009971147133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>
        <f>EXP(-LN(2)/35)*GL153+(1-EXP(-LN(2)/35))/(LN(2)/35)*GH154*GI154*VLOOKUP('Données projet'!$B$17,Paramètres!$A$1:$I$89,3,0)*0.475*44/12</f>
        <v>0.29710646025327953</v>
      </c>
      <c r="GM154" s="21">
        <f>EXP(-LN(2)/25)*GM153+(1-EXP(-LN(2)/25))/(LN(2)/25)*Calculateur!GH154*Calculateur!GJ154*VLOOKUP('Données projet'!$B$17,Paramètres!$A$1:$I$89,3,0)*0.475*44/12</f>
        <v>0.71644650633648022</v>
      </c>
      <c r="GN154" s="21">
        <f>EXP(-LN(2)/2)*GN153+(1-EXP(-LN(2)/2))/(LN(2)/2)*GH154*GK154*VLOOKUP('Données projet'!$B$17,Paramètres!$A$1:$I$89,3,0)*0.475*44/12</f>
        <v>1.4743557185271552E-17</v>
      </c>
      <c r="GO154" s="21">
        <f t="shared" ref="GO154:GO203" si="187">SUM(GL154:GN154)</f>
        <v>1.0135529665897598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5.6843418860808015E-14</v>
      </c>
      <c r="GV154" s="17">
        <f>GU154*VLOOKUP('Données projet'!$B$18,Paramètres!$A$1:$I$89,3,0)*VLOOKUP('Données projet'!$B$18,Paramètres!$A$1:$I$89,5,0)</f>
        <v>4.5224624045658861E-14</v>
      </c>
      <c r="GW154" s="13">
        <f t="shared" ref="GW154:GW203" si="188">EXP(-1.0587+0.8836*LN(GV154)+0.284)</f>
        <v>7.4514601661523691E-13</v>
      </c>
      <c r="GX154" s="20">
        <f t="shared" ref="GX154:GX203" si="189">(GV154+GW154)*0.475*44/12</f>
        <v>1.3765621991510601E-12</v>
      </c>
      <c r="GY154" s="59">
        <f t="shared" si="137"/>
        <v>293.33333333333468</v>
      </c>
      <c r="GZ154" s="59">
        <f ca="1">AVERAGE(OFFSET($GY$3,0,0,'Données projet'!$E$18+1,1))-AVERAGE(OFFSET($H$3,0,0,'Données projet'!$E$18+1,1))</f>
        <v>199.58763537752952</v>
      </c>
      <c r="HA154" s="59">
        <f t="shared" si="160"/>
        <v>242.62852778451929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>
        <f>EXP(-LN(2)/35)*HG153+(1-EXP(-LN(2)/35))/(LN(2)/35)*HC154*HD154*VLOOKUP('Données projet'!$B$18,Paramètres!$A$1:$I$89,3,0)*0.475*44/12</f>
        <v>0</v>
      </c>
      <c r="HH154" s="21">
        <f>EXP(-LN(2)/25)*HH153+(1-EXP(-LN(2)/25))/(LN(2)/25)*Calculateur!HC154*Calculateur!HE154*VLOOKUP('Données projet'!$B$18,Paramètres!$A$1:$I$89,3,0)*0.475*44/12</f>
        <v>0.35903241719916001</v>
      </c>
      <c r="HI154" s="21">
        <f>EXP(-LN(2)/2)*HI153+(1-EXP(-LN(2)/2))/(LN(2)/2)*HC154*HF154*VLOOKUP('Données projet'!$B$18,Paramètres!$A$1:$I$89,3,0)*0.475*44/12</f>
        <v>6.600250655031309E-18</v>
      </c>
      <c r="HJ154" s="22">
        <f t="shared" ref="HJ154:HJ203" si="190">SUM(HG154:HI154)</f>
        <v>0.35903241719916001</v>
      </c>
    </row>
    <row r="155" spans="1:218" x14ac:dyDescent="0.2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135.15840000000014</v>
      </c>
      <c r="D155" s="11">
        <f t="shared" si="140"/>
        <v>35.185601260048031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1314.9361500775651</v>
      </c>
      <c r="H155" s="67">
        <f t="shared" si="110"/>
        <v>590.0158021945839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-2.2737367544323206E-13</v>
      </c>
      <c r="O155" s="13">
        <f>N155*VLOOKUP('Données projet'!$B$9,Paramètres!$A$1:$I$89,3,0)*VLOOKUP('Données projet'!$B$9,Paramètres!$A$1:$I$89,5,0)</f>
        <v>-1.2710188457276673E-13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255.5374979188561</v>
      </c>
      <c r="T155" s="59">
        <f t="shared" si="142"/>
        <v>343.10418468620901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0.27584153695672475</v>
      </c>
      <c r="AA155" s="21">
        <f>EXP(-LN(2)/25)*AA154+(1-EXP(-LN(2)/25))/(LN(2)/25)*Calculateur!V155*Calculateur!X155*VLOOKUP('Données projet'!$B$9,Paramètres!$A$1:$I$89,3,0)*0.475*44/12</f>
        <v>0.54201781286912831</v>
      </c>
      <c r="AB155" s="21">
        <f>EXP(-LN(2)/2)*AB154+(1-EXP(-LN(2)/2))/(LN(2)/2)*V155*Y155*VLOOKUP('Données projet'!$B$9,Paramètres!$A$1:$I$89,3,0)*0.475*44/12</f>
        <v>7.3407082472248203E-19</v>
      </c>
      <c r="AC155" s="22">
        <f t="shared" si="163"/>
        <v>0.81785934982585307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1.1368683772161603E-13</v>
      </c>
      <c r="AJ155" s="13">
        <f>AI155*VLOOKUP('Données projet'!$B$10,Paramètres!$A$1:$I$89,3,0)*VLOOKUP('Données projet'!$B$10,Paramètres!$A$1:$I$89,5,0)</f>
        <v>6.3550942286383367E-14</v>
      </c>
      <c r="AK155" s="13">
        <f t="shared" si="164"/>
        <v>1.0064464192543978E-12</v>
      </c>
      <c r="AL155" s="20">
        <f t="shared" si="165"/>
        <v>1.8635787380168604E-12</v>
      </c>
      <c r="AM155" s="59">
        <f t="shared" si="113"/>
        <v>293.33333333333519</v>
      </c>
      <c r="AN155" s="59">
        <f ca="1">AVERAGE(OFFSET($AM$3,0,0,'Données projet'!$E$10+1,1))-AVERAGE(OFFSET($H$3,0,0,'Données projet'!$E$10+1,1))</f>
        <v>224.7049802939942</v>
      </c>
      <c r="AO155" s="59">
        <f t="shared" si="144"/>
        <v>203.48513862195352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0.19917107090009775</v>
      </c>
      <c r="AV155" s="21">
        <f>EXP(-LN(2)/25)*AV154+(1-EXP(-LN(2)/25))/(LN(2)/25)*Calculateur!AQ155*Calculateur!AS155*VLOOKUP('Données projet'!$B$10,Paramètres!$A$1:$I$89,3,0)*0.475*44/12</f>
        <v>0.66306202341113551</v>
      </c>
      <c r="AW155" s="21">
        <f>EXP(-LN(2)/2)*AW154+(1-EXP(-LN(2)/2))/(LN(2)/2)*AQ155*AT155*VLOOKUP('Données projet'!$B$10,Paramètres!$A$1:$I$89,3,0)*0.475*44/12</f>
        <v>3.8860462552234318E-18</v>
      </c>
      <c r="AX155" s="21">
        <f t="shared" si="166"/>
        <v>0.86223309431123329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>
        <f>BD155*VLOOKUP('Données projet'!$B$11,Paramètres!$A$1:$I$89,3,0)*VLOOKUP('Données projet'!$B$11,Paramètres!$A$1:$I$89,5,0)</f>
        <v>0</v>
      </c>
      <c r="BF155" s="13" t="e">
        <f t="shared" si="167"/>
        <v>#NUM!</v>
      </c>
      <c r="BG155" s="20" t="e">
        <f t="shared" si="168"/>
        <v>#NUM!</v>
      </c>
      <c r="BH155" s="59" t="e">
        <f t="shared" si="116"/>
        <v>#NUM!</v>
      </c>
      <c r="BI155" s="59">
        <f ca="1">AVERAGE(OFFSET($BH$3,0,0,'Données projet'!$E$11+1,1))-AVERAGE(OFFSET($H$3,0,0,'Données projet'!$E$11+1,1))</f>
        <v>210.04871822652808</v>
      </c>
      <c r="BJ155" s="59">
        <f t="shared" si="146"/>
        <v>250.17540614049324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0.65174389978920644</v>
      </c>
      <c r="BQ155" s="21">
        <f>EXP(-LN(2)/25)*BQ154+(1-EXP(-LN(2)/25))/(LN(2)/25)*Calculateur!BL155*Calculateur!BN155*VLOOKUP('Données projet'!$B$11,Paramètres!$A$1:$I$89,3,0)*0.475*44/12</f>
        <v>0.94514395940254403</v>
      </c>
      <c r="BR155" s="21">
        <f>EXP(-LN(2)/2)*BR154+(1-EXP(-LN(2)/2))/(LN(2)/2)*BL155*BO155*VLOOKUP('Données projet'!$B$11,Paramètres!$A$1:$I$89,3,0)*0.475*44/12</f>
        <v>9.3475091978190246E-18</v>
      </c>
      <c r="BS155" s="22">
        <f t="shared" si="169"/>
        <v>1.5968878591917504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2.2737367544323206E-13</v>
      </c>
      <c r="BZ155" s="13">
        <f>BY155*VLOOKUP('Données projet'!$B$12,Paramètres!$A$1:$I$89,3,0)*VLOOKUP('Données projet'!$B$12,Paramètres!$A$1:$I$89,5,0)</f>
        <v>1.2414602679200471E-13</v>
      </c>
      <c r="CA155" s="13">
        <f t="shared" si="170"/>
        <v>1.8186582995804361E-12</v>
      </c>
      <c r="CB155" s="20">
        <f t="shared" si="171"/>
        <v>3.3837175350986671E-12</v>
      </c>
      <c r="CC155" s="59">
        <f t="shared" si="119"/>
        <v>293.33333333333672</v>
      </c>
      <c r="CD155" s="59">
        <f ca="1">AVERAGE(OFFSET($CC$3,0,0,'Données projet'!$E$12+1,1))-AVERAGE(OFFSET($H$3,0,0,'Données projet'!$E$12+1,1))</f>
        <v>168.72306536277267</v>
      </c>
      <c r="CE155" s="59">
        <f t="shared" si="148"/>
        <v>203.35476578922339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0.27155995824550272</v>
      </c>
      <c r="CL155" s="21">
        <f>EXP(-LN(2)/25)*CL154+(1-EXP(-LN(2)/25))/(LN(2)/25)*Calculateur!CG155*Calculateur!CI155*VLOOKUP('Données projet'!$B$12,Paramètres!$A$1:$I$89,3,0)*0.475*44/12</f>
        <v>0.78058200719913939</v>
      </c>
      <c r="CM155" s="21">
        <f>EXP(-LN(2)/2)*CM154+(1-EXP(-LN(2)/2))/(LN(2)/2)*CG155*CJ155*VLOOKUP('Données projet'!$B$12,Paramètres!$A$1:$I$89,3,0)*0.475*44/12</f>
        <v>8.6839592036742847E-18</v>
      </c>
      <c r="CN155" s="22">
        <f t="shared" si="172"/>
        <v>1.0521419654446422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1277.6923076923067</v>
      </c>
      <c r="CU155" s="17">
        <f>CT155*VLOOKUP('Données projet'!$B$13,Paramètres!$A$1:$I$89,3,0)*VLOOKUP('Données projet'!$B$13,Paramètres!$A$1:$I$89,5,0)</f>
        <v>614.5699999999996</v>
      </c>
      <c r="CV155" s="13">
        <f t="shared" si="173"/>
        <v>134.13240620831178</v>
      </c>
      <c r="CW155" s="20">
        <f t="shared" si="174"/>
        <v>1303.9900241461421</v>
      </c>
      <c r="CX155" s="59">
        <f t="shared" si="122"/>
        <v>1597.3233574794754</v>
      </c>
      <c r="CY155" s="59">
        <f ca="1">AVERAGE(OFFSET($CX$3,0,0,'Données projet'!$E$13+1,1))-AVERAGE(OFFSET($H$3,0,0,'Données projet'!$E$13+1,1))</f>
        <v>304.15237106473313</v>
      </c>
      <c r="CZ155" s="59">
        <f t="shared" si="150"/>
        <v>120.85458928724336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>
        <f>EXP(-LN(2)/35)*DF154+(1-EXP(-LN(2)/35))/(LN(2)/35)*DB155*DC155*VLOOKUP('Données projet'!$B$13,Paramètres!$A$1:$I$89,3,0)*0.475*44/12</f>
        <v>0</v>
      </c>
      <c r="DG155" s="21">
        <f>EXP(-LN(2)/25)*DG154+(1-EXP(-LN(2)/25))/(LN(2)/25)*Calculateur!DB155*Calculateur!DD155*VLOOKUP('Données projet'!$B$13,Paramètres!$A$1:$I$89,3,0)*0.475*44/12</f>
        <v>0</v>
      </c>
      <c r="DH155" s="21">
        <f>EXP(-LN(2)/2)*DH154+(1-EXP(-LN(2)/2))/(LN(2)/2)*DB155*DE155*VLOOKUP('Données projet'!$B$13,Paramètres!$A$1:$I$89,3,0)*0.475*44/12</f>
        <v>0</v>
      </c>
      <c r="DI155" s="22">
        <f t="shared" si="175"/>
        <v>0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425.38461538461536</v>
      </c>
      <c r="DP155" s="17">
        <f>DO155*VLOOKUP('Données projet'!$B$14,Paramètres!$A$1:$I$89,3,0)*VLOOKUP('Données projet'!$B$14,Paramètres!$A$1:$I$89,5,0)</f>
        <v>204.60999999999999</v>
      </c>
      <c r="DQ155" s="13">
        <f t="shared" si="176"/>
        <v>50.755958577224398</v>
      </c>
      <c r="DR155" s="20">
        <f t="shared" si="177"/>
        <v>444.76237785533249</v>
      </c>
      <c r="DS155" s="59">
        <f t="shared" si="125"/>
        <v>738.09571118866575</v>
      </c>
      <c r="DT155" s="59">
        <f ca="1">AVERAGE(OFFSET($DS$3,0,0,'Données projet'!$E$14+1,1))-AVERAGE(OFFSET($H$3,0,0,'Données projet'!$E$14+1,1))</f>
        <v>91.053246648097399</v>
      </c>
      <c r="DU155" s="59">
        <f t="shared" si="152"/>
        <v>64.716270355703955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>
        <f>EXP(-LN(2)/35)*EA154+(1-EXP(-LN(2)/35))/(LN(2)/35)*DW155*DX155*VLOOKUP('Données projet'!$B$14,Paramètres!$A$1:$I$89,3,0)*0.475*44/12</f>
        <v>0</v>
      </c>
      <c r="EB155" s="21">
        <f>EXP(-LN(2)/25)*EB154+(1-EXP(-LN(2)/25))/(LN(2)/25)*Calculateur!DW155*Calculateur!DY155*VLOOKUP('Données projet'!$B$14,Paramètres!$A$1:$I$89,3,0)*0.475*44/12</f>
        <v>0</v>
      </c>
      <c r="EC155" s="21">
        <f>EXP(-LN(2)/2)*EC154+(1-EXP(-LN(2)/2))/(LN(2)/2)*DW155*DZ155*VLOOKUP('Données projet'!$B$14,Paramètres!$A$1:$I$89,3,0)*0.475*44/12</f>
        <v>0</v>
      </c>
      <c r="ED155" s="22">
        <f t="shared" si="178"/>
        <v>0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553.99999999999955</v>
      </c>
      <c r="EK155" s="17">
        <f>EJ155*VLOOKUP('Données projet'!$B$15,Paramètres!$A$1:$I$89,3,0)*VLOOKUP('Données projet'!$B$15,Paramètres!$A$1:$I$89,5,0)</f>
        <v>331.29199999999975</v>
      </c>
      <c r="EL155" s="13">
        <f t="shared" si="179"/>
        <v>77.698110787752</v>
      </c>
      <c r="EM155" s="20">
        <f t="shared" si="180"/>
        <v>712.32444295533423</v>
      </c>
      <c r="EN155" s="59">
        <f t="shared" si="128"/>
        <v>1005.6577762886675</v>
      </c>
      <c r="EO155" s="59">
        <f ca="1">AVERAGE(OFFSET($EN$3,0,0,'Données projet'!$E$15+1,1))-AVERAGE(OFFSET($H$3,0,0,'Données projet'!$E$15+1,1))</f>
        <v>316.58509520829671</v>
      </c>
      <c r="EP155" s="59">
        <f t="shared" si="154"/>
        <v>240.71332110643596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>
        <f>EXP(-LN(2)/35)*EV154+(1-EXP(-LN(2)/35))/(LN(2)/35)*ER155*ES155*VLOOKUP('Données projet'!$B$15,Paramètres!$A$1:$I$89,3,0)*0.475*44/12</f>
        <v>0.2262537815382176</v>
      </c>
      <c r="EW155" s="21">
        <f>EXP(-LN(2)/25)*EW154+(1-EXP(-LN(2)/25))/(LN(2)/25)*Calculateur!ER155*Calculateur!ET155*VLOOKUP('Données projet'!$B$15,Paramètres!$A$1:$I$89,3,0)*0.475*44/12</f>
        <v>0.5185058826801352</v>
      </c>
      <c r="EX155" s="21">
        <f>EXP(-LN(2)/2)*EX154+(1-EXP(-LN(2)/2))/(LN(2)/2)*ER155*EU155*VLOOKUP('Données projet'!$B$15,Paramètres!$A$1:$I$89,3,0)*0.475*44/12</f>
        <v>9.5146733678206382E-18</v>
      </c>
      <c r="EY155" s="22">
        <f t="shared" si="181"/>
        <v>0.74475966421835282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497</v>
      </c>
      <c r="FF155" s="17">
        <f>FE155*VLOOKUP('Données projet'!$B$16,Paramètres!$A$1:$I$89,3,0)*VLOOKUP('Données projet'!$B$16,Paramètres!$A$1:$I$89,5,0)</f>
        <v>297.20600000000002</v>
      </c>
      <c r="FG155" s="13">
        <f t="shared" si="182"/>
        <v>70.590415164571112</v>
      </c>
      <c r="FH155" s="20">
        <f t="shared" si="183"/>
        <v>640.57875641162809</v>
      </c>
      <c r="FI155" s="59">
        <f t="shared" si="131"/>
        <v>933.91208974496135</v>
      </c>
      <c r="FJ155" s="59">
        <f ca="1">AVERAGE(OFFSET($FI$3,0,0,'Données projet'!$E$16+1,1))-AVERAGE(OFFSET($H$3,0,0,'Données projet'!$E$16+1,1))</f>
        <v>270.30888762640245</v>
      </c>
      <c r="FK155" s="59">
        <f t="shared" si="156"/>
        <v>202.23783851977691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>
        <f>EXP(-LN(2)/35)*FQ154+(1-EXP(-LN(2)/35))/(LN(2)/35)*FM155*FN155*VLOOKUP('Données projet'!$B$16,Paramètres!$A$1:$I$89,3,0)*0.475*44/12</f>
        <v>0.19120037876469076</v>
      </c>
      <c r="FR155" s="21">
        <f>EXP(-LN(2)/25)*FR154+(1-EXP(-LN(2)/25))/(LN(2)/25)*Calculateur!FM155*Calculateur!FO155*VLOOKUP('Données projet'!$B$16,Paramètres!$A$1:$I$89,3,0)*0.475*44/12</f>
        <v>0.41755098008716612</v>
      </c>
      <c r="FS155" s="21">
        <f>EXP(-LN(2)/2)*FS154+(1-EXP(-LN(2)/2))/(LN(2)/2)*FM155*FP155*VLOOKUP('Données projet'!$B$16,Paramètres!$A$1:$I$89,3,0)*0.475*44/12</f>
        <v>8.0198905617467307E-18</v>
      </c>
      <c r="FT155" s="22">
        <f t="shared" si="184"/>
        <v>0.60875135885185694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-5.1159076974727213E-13</v>
      </c>
      <c r="GA155" s="17">
        <f>FZ155*VLOOKUP('Données projet'!$B$17,Paramètres!$A$1:$I$89,3,0)*VLOOKUP('Données projet'!$B$17,Paramètres!$A$1:$I$89,5,0)</f>
        <v>-4.0702161641092972E-13</v>
      </c>
      <c r="GB155" s="13" t="e">
        <f t="shared" si="185"/>
        <v>#NUM!</v>
      </c>
      <c r="GC155" s="20" t="e">
        <f t="shared" si="186"/>
        <v>#NUM!</v>
      </c>
      <c r="GD155" s="59" t="e">
        <f t="shared" si="134"/>
        <v>#NUM!</v>
      </c>
      <c r="GE155" s="59">
        <f ca="1">AVERAGE(OFFSET($GD$3,0,0,'Données projet'!$E$17+1,1))-AVERAGE(OFFSET($H$3,0,0,'Données projet'!$E$17+1,1))</f>
        <v>260.20517190557814</v>
      </c>
      <c r="GF155" s="59">
        <f t="shared" si="158"/>
        <v>307.22009971147133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>
        <f>EXP(-LN(2)/35)*GL154+(1-EXP(-LN(2)/35))/(LN(2)/35)*GH155*GI155*VLOOKUP('Données projet'!$B$17,Paramètres!$A$1:$I$89,3,0)*0.475*44/12</f>
        <v>0.29128038378475979</v>
      </c>
      <c r="GM155" s="21">
        <f>EXP(-LN(2)/25)*GM154+(1-EXP(-LN(2)/25))/(LN(2)/25)*Calculateur!GH155*Calculateur!GJ155*VLOOKUP('Données projet'!$B$17,Paramètres!$A$1:$I$89,3,0)*0.475*44/12</f>
        <v>0.6968552389444248</v>
      </c>
      <c r="GN155" s="21">
        <f>EXP(-LN(2)/2)*GN154+(1-EXP(-LN(2)/2))/(LN(2)/2)*GH155*GK155*VLOOKUP('Données projet'!$B$17,Paramètres!$A$1:$I$89,3,0)*0.475*44/12</f>
        <v>1.0425269264517162E-17</v>
      </c>
      <c r="GO155" s="21">
        <f t="shared" si="187"/>
        <v>0.98813562272918465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5.6843418860808015E-14</v>
      </c>
      <c r="GV155" s="17">
        <f>GU155*VLOOKUP('Données projet'!$B$18,Paramètres!$A$1:$I$89,3,0)*VLOOKUP('Données projet'!$B$18,Paramètres!$A$1:$I$89,5,0)</f>
        <v>4.5224624045658861E-14</v>
      </c>
      <c r="GW155" s="13">
        <f t="shared" si="188"/>
        <v>7.4514601661523691E-13</v>
      </c>
      <c r="GX155" s="20">
        <f t="shared" si="189"/>
        <v>1.3765621991510601E-12</v>
      </c>
      <c r="GY155" s="59">
        <f t="shared" si="137"/>
        <v>293.33333333333468</v>
      </c>
      <c r="GZ155" s="59">
        <f ca="1">AVERAGE(OFFSET($GY$3,0,0,'Données projet'!$E$18+1,1))-AVERAGE(OFFSET($H$3,0,0,'Données projet'!$E$18+1,1))</f>
        <v>199.58763537752952</v>
      </c>
      <c r="HA155" s="59">
        <f t="shared" si="160"/>
        <v>242.62852778451929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>
        <f>EXP(-LN(2)/35)*HG154+(1-EXP(-LN(2)/35))/(LN(2)/35)*HC155*HD155*VLOOKUP('Données projet'!$B$18,Paramètres!$A$1:$I$89,3,0)*0.475*44/12</f>
        <v>0</v>
      </c>
      <c r="HH155" s="21">
        <f>EXP(-LN(2)/25)*HH154+(1-EXP(-LN(2)/25))/(LN(2)/25)*Calculateur!HC155*Calculateur!HE155*VLOOKUP('Données projet'!$B$18,Paramètres!$A$1:$I$89,3,0)*0.475*44/12</f>
        <v>0.34921465687015474</v>
      </c>
      <c r="HI155" s="21">
        <f>EXP(-LN(2)/2)*HI154+(1-EXP(-LN(2)/2))/(LN(2)/2)*HC155*HF155*VLOOKUP('Données projet'!$B$18,Paramètres!$A$1:$I$89,3,0)*0.475*44/12</f>
        <v>4.6670819957035907E-18</v>
      </c>
      <c r="HJ155" s="22">
        <f t="shared" si="190"/>
        <v>0.34921465687015474</v>
      </c>
    </row>
    <row r="156" spans="1:218" x14ac:dyDescent="0.2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136.04760000000013</v>
      </c>
      <c r="D156" s="11">
        <f t="shared" si="140"/>
        <v>35.390062589787611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1323.3784480615195</v>
      </c>
      <c r="H156" s="67">
        <f t="shared" si="110"/>
        <v>591.92059567721367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-2.2737367544323206E-13</v>
      </c>
      <c r="O156" s="13">
        <f>N156*VLOOKUP('Données projet'!$B$9,Paramètres!$A$1:$I$89,3,0)*VLOOKUP('Données projet'!$B$9,Paramètres!$A$1:$I$89,5,0)</f>
        <v>-1.2710188457276673E-13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255.5374979188561</v>
      </c>
      <c r="T156" s="59">
        <f t="shared" si="142"/>
        <v>343.10418468620901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0.27043245266372795</v>
      </c>
      <c r="AA156" s="21">
        <f>EXP(-LN(2)/25)*AA155+(1-EXP(-LN(2)/25))/(LN(2)/25)*Calculateur!V156*Calculateur!X156*VLOOKUP('Données projet'!$B$9,Paramètres!$A$1:$I$89,3,0)*0.475*44/12</f>
        <v>0.52719630727274402</v>
      </c>
      <c r="AB156" s="21">
        <f>EXP(-LN(2)/2)*AB155+(1-EXP(-LN(2)/2))/(LN(2)/2)*V156*Y156*VLOOKUP('Données projet'!$B$9,Paramètres!$A$1:$I$89,3,0)*0.475*44/12</f>
        <v>5.1906645803246857E-19</v>
      </c>
      <c r="AC156" s="22">
        <f t="shared" si="163"/>
        <v>0.79762875993647198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1.1368683772161603E-13</v>
      </c>
      <c r="AJ156" s="13">
        <f>AI156*VLOOKUP('Données projet'!$B$10,Paramètres!$A$1:$I$89,3,0)*VLOOKUP('Données projet'!$B$10,Paramètres!$A$1:$I$89,5,0)</f>
        <v>6.3550942286383367E-14</v>
      </c>
      <c r="AK156" s="13">
        <f t="shared" si="164"/>
        <v>1.0064464192543978E-12</v>
      </c>
      <c r="AL156" s="20">
        <f t="shared" si="165"/>
        <v>1.8635787380168604E-12</v>
      </c>
      <c r="AM156" s="59">
        <f t="shared" si="113"/>
        <v>293.33333333333519</v>
      </c>
      <c r="AN156" s="59">
        <f ca="1">AVERAGE(OFFSET($AM$3,0,0,'Données projet'!$E$10+1,1))-AVERAGE(OFFSET($H$3,0,0,'Données projet'!$E$10+1,1))</f>
        <v>224.7049802939942</v>
      </c>
      <c r="AO156" s="59">
        <f t="shared" si="144"/>
        <v>203.48513862195352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0.19526544768210469</v>
      </c>
      <c r="AV156" s="21">
        <f>EXP(-LN(2)/25)*AV155+(1-EXP(-LN(2)/25))/(LN(2)/25)*Calculateur!AQ156*Calculateur!AS156*VLOOKUP('Données projet'!$B$10,Paramètres!$A$1:$I$89,3,0)*0.475*44/12</f>
        <v>0.64493055751204165</v>
      </c>
      <c r="AW156" s="21">
        <f>EXP(-LN(2)/2)*AW155+(1-EXP(-LN(2)/2))/(LN(2)/2)*AQ156*AT156*VLOOKUP('Données projet'!$B$10,Paramètres!$A$1:$I$89,3,0)*0.475*44/12</f>
        <v>2.7478496590730776E-18</v>
      </c>
      <c r="AX156" s="21">
        <f t="shared" si="166"/>
        <v>0.84019600519414639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>
        <f>BD156*VLOOKUP('Données projet'!$B$11,Paramètres!$A$1:$I$89,3,0)*VLOOKUP('Données projet'!$B$11,Paramètres!$A$1:$I$89,5,0)</f>
        <v>0</v>
      </c>
      <c r="BF156" s="13" t="e">
        <f t="shared" si="167"/>
        <v>#NUM!</v>
      </c>
      <c r="BG156" s="20" t="e">
        <f t="shared" si="168"/>
        <v>#NUM!</v>
      </c>
      <c r="BH156" s="59" t="e">
        <f t="shared" si="116"/>
        <v>#NUM!</v>
      </c>
      <c r="BI156" s="59">
        <f ca="1">AVERAGE(OFFSET($BH$3,0,0,'Données projet'!$E$11+1,1))-AVERAGE(OFFSET($H$3,0,0,'Données projet'!$E$11+1,1))</f>
        <v>210.04871822652808</v>
      </c>
      <c r="BJ156" s="59">
        <f t="shared" si="146"/>
        <v>250.17540614049324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0.63896359943886671</v>
      </c>
      <c r="BQ156" s="21">
        <f>EXP(-LN(2)/25)*BQ155+(1-EXP(-LN(2)/25))/(LN(2)/25)*Calculateur!BL156*Calculateur!BN156*VLOOKUP('Données projet'!$B$11,Paramètres!$A$1:$I$89,3,0)*0.475*44/12</f>
        <v>0.91929894812972079</v>
      </c>
      <c r="BR156" s="21">
        <f>EXP(-LN(2)/2)*BR155+(1-EXP(-LN(2)/2))/(LN(2)/2)*BL156*BO156*VLOOKUP('Données projet'!$B$11,Paramètres!$A$1:$I$89,3,0)*0.475*44/12</f>
        <v>6.6096871409814575E-18</v>
      </c>
      <c r="BS156" s="22">
        <f t="shared" si="169"/>
        <v>1.5582625475685874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2.2737367544323206E-13</v>
      </c>
      <c r="BZ156" s="13">
        <f>BY156*VLOOKUP('Données projet'!$B$12,Paramètres!$A$1:$I$89,3,0)*VLOOKUP('Données projet'!$B$12,Paramètres!$A$1:$I$89,5,0)</f>
        <v>1.2414602679200471E-13</v>
      </c>
      <c r="CA156" s="13">
        <f t="shared" si="170"/>
        <v>1.8186582995804361E-12</v>
      </c>
      <c r="CB156" s="20">
        <f t="shared" si="171"/>
        <v>3.3837175350986671E-12</v>
      </c>
      <c r="CC156" s="59">
        <f t="shared" si="119"/>
        <v>293.33333333333672</v>
      </c>
      <c r="CD156" s="59">
        <f ca="1">AVERAGE(OFFSET($CC$3,0,0,'Données projet'!$E$12+1,1))-AVERAGE(OFFSET($H$3,0,0,'Données projet'!$E$12+1,1))</f>
        <v>168.72306536277267</v>
      </c>
      <c r="CE156" s="59">
        <f t="shared" si="148"/>
        <v>203.35476578922339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0.26623483309952783</v>
      </c>
      <c r="CL156" s="21">
        <f>EXP(-LN(2)/25)*CL155+(1-EXP(-LN(2)/25))/(LN(2)/25)*Calculateur!CG156*Calculateur!CI156*VLOOKUP('Données projet'!$B$12,Paramètres!$A$1:$I$89,3,0)*0.475*44/12</f>
        <v>0.75923695116325518</v>
      </c>
      <c r="CM156" s="21">
        <f>EXP(-LN(2)/2)*CM155+(1-EXP(-LN(2)/2))/(LN(2)/2)*CG156*CJ156*VLOOKUP('Données projet'!$B$12,Paramètres!$A$1:$I$89,3,0)*0.475*44/12</f>
        <v>6.1404864404654181E-18</v>
      </c>
      <c r="CN156" s="22">
        <f t="shared" si="172"/>
        <v>1.025471784262783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1277.6923076923067</v>
      </c>
      <c r="CU156" s="17">
        <f>CT156*VLOOKUP('Données projet'!$B$13,Paramètres!$A$1:$I$89,3,0)*VLOOKUP('Données projet'!$B$13,Paramètres!$A$1:$I$89,5,0)</f>
        <v>614.5699999999996</v>
      </c>
      <c r="CV156" s="13">
        <f t="shared" si="173"/>
        <v>134.13240620831178</v>
      </c>
      <c r="CW156" s="20">
        <f t="shared" si="174"/>
        <v>1303.9900241461421</v>
      </c>
      <c r="CX156" s="59">
        <f t="shared" si="122"/>
        <v>1597.3233574794754</v>
      </c>
      <c r="CY156" s="59">
        <f ca="1">AVERAGE(OFFSET($CX$3,0,0,'Données projet'!$E$13+1,1))-AVERAGE(OFFSET($H$3,0,0,'Données projet'!$E$13+1,1))</f>
        <v>304.15237106473313</v>
      </c>
      <c r="CZ156" s="59">
        <f t="shared" si="150"/>
        <v>120.85458928724336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>
        <f>EXP(-LN(2)/35)*DF155+(1-EXP(-LN(2)/35))/(LN(2)/35)*DB156*DC156*VLOOKUP('Données projet'!$B$13,Paramètres!$A$1:$I$89,3,0)*0.475*44/12</f>
        <v>0</v>
      </c>
      <c r="DG156" s="21">
        <f>EXP(-LN(2)/25)*DG155+(1-EXP(-LN(2)/25))/(LN(2)/25)*Calculateur!DB156*Calculateur!DD156*VLOOKUP('Données projet'!$B$13,Paramètres!$A$1:$I$89,3,0)*0.475*44/12</f>
        <v>0</v>
      </c>
      <c r="DH156" s="21">
        <f>EXP(-LN(2)/2)*DH155+(1-EXP(-LN(2)/2))/(LN(2)/2)*DB156*DE156*VLOOKUP('Données projet'!$B$13,Paramètres!$A$1:$I$89,3,0)*0.475*44/12</f>
        <v>0</v>
      </c>
      <c r="DI156" s="22">
        <f t="shared" si="175"/>
        <v>0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425.38461538461536</v>
      </c>
      <c r="DP156" s="17">
        <f>DO156*VLOOKUP('Données projet'!$B$14,Paramètres!$A$1:$I$89,3,0)*VLOOKUP('Données projet'!$B$14,Paramètres!$A$1:$I$89,5,0)</f>
        <v>204.60999999999999</v>
      </c>
      <c r="DQ156" s="13">
        <f t="shared" si="176"/>
        <v>50.755958577224398</v>
      </c>
      <c r="DR156" s="20">
        <f t="shared" si="177"/>
        <v>444.76237785533249</v>
      </c>
      <c r="DS156" s="59">
        <f t="shared" si="125"/>
        <v>738.09571118866575</v>
      </c>
      <c r="DT156" s="59">
        <f ca="1">AVERAGE(OFFSET($DS$3,0,0,'Données projet'!$E$14+1,1))-AVERAGE(OFFSET($H$3,0,0,'Données projet'!$E$14+1,1))</f>
        <v>91.053246648097399</v>
      </c>
      <c r="DU156" s="59">
        <f t="shared" si="152"/>
        <v>64.716270355703955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>
        <f>EXP(-LN(2)/35)*EA155+(1-EXP(-LN(2)/35))/(LN(2)/35)*DW156*DX156*VLOOKUP('Données projet'!$B$14,Paramètres!$A$1:$I$89,3,0)*0.475*44/12</f>
        <v>0</v>
      </c>
      <c r="EB156" s="21">
        <f>EXP(-LN(2)/25)*EB155+(1-EXP(-LN(2)/25))/(LN(2)/25)*Calculateur!DW156*Calculateur!DY156*VLOOKUP('Données projet'!$B$14,Paramètres!$A$1:$I$89,3,0)*0.475*44/12</f>
        <v>0</v>
      </c>
      <c r="EC156" s="21">
        <f>EXP(-LN(2)/2)*EC155+(1-EXP(-LN(2)/2))/(LN(2)/2)*DW156*DZ156*VLOOKUP('Données projet'!$B$14,Paramètres!$A$1:$I$89,3,0)*0.475*44/12</f>
        <v>0</v>
      </c>
      <c r="ED156" s="22">
        <f t="shared" si="178"/>
        <v>0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553.99999999999955</v>
      </c>
      <c r="EK156" s="17">
        <f>EJ156*VLOOKUP('Données projet'!$B$15,Paramètres!$A$1:$I$89,3,0)*VLOOKUP('Données projet'!$B$15,Paramètres!$A$1:$I$89,5,0)</f>
        <v>331.29199999999975</v>
      </c>
      <c r="EL156" s="13">
        <f t="shared" si="179"/>
        <v>77.698110787752</v>
      </c>
      <c r="EM156" s="20">
        <f t="shared" si="180"/>
        <v>712.32444295533423</v>
      </c>
      <c r="EN156" s="59">
        <f t="shared" si="128"/>
        <v>1005.6577762886675</v>
      </c>
      <c r="EO156" s="59">
        <f ca="1">AVERAGE(OFFSET($EN$3,0,0,'Données projet'!$E$15+1,1))-AVERAGE(OFFSET($H$3,0,0,'Données projet'!$E$15+1,1))</f>
        <v>316.58509520829671</v>
      </c>
      <c r="EP156" s="59">
        <f t="shared" si="154"/>
        <v>240.71332110643596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>
        <f>EXP(-LN(2)/35)*EV155+(1-EXP(-LN(2)/35))/(LN(2)/35)*ER156*ES156*VLOOKUP('Données projet'!$B$15,Paramètres!$A$1:$I$89,3,0)*0.475*44/12</f>
        <v>0.22181708288343341</v>
      </c>
      <c r="EW156" s="21">
        <f>EXP(-LN(2)/25)*EW155+(1-EXP(-LN(2)/25))/(LN(2)/25)*Calculateur!ER156*Calculateur!ET156*VLOOKUP('Données projet'!$B$15,Paramètres!$A$1:$I$89,3,0)*0.475*44/12</f>
        <v>0.50432731205120762</v>
      </c>
      <c r="EX156" s="21">
        <f>EXP(-LN(2)/2)*EX155+(1-EXP(-LN(2)/2))/(LN(2)/2)*ER156*EU156*VLOOKUP('Données projet'!$B$15,Paramètres!$A$1:$I$89,3,0)*0.475*44/12</f>
        <v>6.7278900591610193E-18</v>
      </c>
      <c r="EY156" s="22">
        <f t="shared" si="181"/>
        <v>0.726144394934641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497</v>
      </c>
      <c r="FF156" s="17">
        <f>FE156*VLOOKUP('Données projet'!$B$16,Paramètres!$A$1:$I$89,3,0)*VLOOKUP('Données projet'!$B$16,Paramètres!$A$1:$I$89,5,0)</f>
        <v>297.20600000000002</v>
      </c>
      <c r="FG156" s="13">
        <f t="shared" si="182"/>
        <v>70.590415164571112</v>
      </c>
      <c r="FH156" s="20">
        <f t="shared" si="183"/>
        <v>640.57875641162809</v>
      </c>
      <c r="FI156" s="59">
        <f t="shared" si="131"/>
        <v>933.91208974496135</v>
      </c>
      <c r="FJ156" s="59">
        <f ca="1">AVERAGE(OFFSET($FI$3,0,0,'Données projet'!$E$16+1,1))-AVERAGE(OFFSET($H$3,0,0,'Données projet'!$E$16+1,1))</f>
        <v>270.30888762640245</v>
      </c>
      <c r="FK156" s="59">
        <f t="shared" si="156"/>
        <v>202.23783851977691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>
        <f>EXP(-LN(2)/35)*FQ155+(1-EXP(-LN(2)/35))/(LN(2)/35)*FM156*FN156*VLOOKUP('Données projet'!$B$16,Paramètres!$A$1:$I$89,3,0)*0.475*44/12</f>
        <v>0.18745105595783088</v>
      </c>
      <c r="FR156" s="21">
        <f>EXP(-LN(2)/25)*FR155+(1-EXP(-LN(2)/25))/(LN(2)/25)*Calculateur!FM156*Calculateur!FO156*VLOOKUP('Données projet'!$B$16,Paramètres!$A$1:$I$89,3,0)*0.475*44/12</f>
        <v>0.40613302657863087</v>
      </c>
      <c r="FS156" s="21">
        <f>EXP(-LN(2)/2)*FS155+(1-EXP(-LN(2)/2))/(LN(2)/2)*FM156*FP156*VLOOKUP('Données projet'!$B$16,Paramètres!$A$1:$I$89,3,0)*0.475*44/12</f>
        <v>5.6709190005851033E-18</v>
      </c>
      <c r="FT156" s="22">
        <f t="shared" si="184"/>
        <v>0.59358408253646178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-5.1159076974727213E-13</v>
      </c>
      <c r="GA156" s="17">
        <f>FZ156*VLOOKUP('Données projet'!$B$17,Paramètres!$A$1:$I$89,3,0)*VLOOKUP('Données projet'!$B$17,Paramètres!$A$1:$I$89,5,0)</f>
        <v>-4.0702161641092972E-13</v>
      </c>
      <c r="GB156" s="13" t="e">
        <f t="shared" si="185"/>
        <v>#NUM!</v>
      </c>
      <c r="GC156" s="20" t="e">
        <f t="shared" si="186"/>
        <v>#NUM!</v>
      </c>
      <c r="GD156" s="59" t="e">
        <f t="shared" si="134"/>
        <v>#NUM!</v>
      </c>
      <c r="GE156" s="59">
        <f ca="1">AVERAGE(OFFSET($GD$3,0,0,'Données projet'!$E$17+1,1))-AVERAGE(OFFSET($H$3,0,0,'Données projet'!$E$17+1,1))</f>
        <v>260.20517190557814</v>
      </c>
      <c r="GF156" s="59">
        <f t="shared" si="158"/>
        <v>307.22009971147133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>
        <f>EXP(-LN(2)/35)*GL155+(1-EXP(-LN(2)/35))/(LN(2)/35)*GH156*GI156*VLOOKUP('Données projet'!$B$17,Paramètres!$A$1:$I$89,3,0)*0.475*44/12</f>
        <v>0.28556855312223195</v>
      </c>
      <c r="GM156" s="21">
        <f>EXP(-LN(2)/25)*GM155+(1-EXP(-LN(2)/25))/(LN(2)/25)*Calculateur!GH156*Calculateur!GJ156*VLOOKUP('Données projet'!$B$17,Paramètres!$A$1:$I$89,3,0)*0.475*44/12</f>
        <v>0.6777996957894652</v>
      </c>
      <c r="GN156" s="21">
        <f>EXP(-LN(2)/2)*GN155+(1-EXP(-LN(2)/2))/(LN(2)/2)*GH156*GK156*VLOOKUP('Données projet'!$B$17,Paramètres!$A$1:$I$89,3,0)*0.475*44/12</f>
        <v>7.3717785926357759E-18</v>
      </c>
      <c r="GO156" s="21">
        <f t="shared" si="187"/>
        <v>0.96336824891169714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5.6843418860808015E-14</v>
      </c>
      <c r="GV156" s="17">
        <f>GU156*VLOOKUP('Données projet'!$B$18,Paramètres!$A$1:$I$89,3,0)*VLOOKUP('Données projet'!$B$18,Paramètres!$A$1:$I$89,5,0)</f>
        <v>4.5224624045658861E-14</v>
      </c>
      <c r="GW156" s="13">
        <f t="shared" si="188"/>
        <v>7.4514601661523691E-13</v>
      </c>
      <c r="GX156" s="20">
        <f t="shared" si="189"/>
        <v>1.3765621991510601E-12</v>
      </c>
      <c r="GY156" s="59">
        <f t="shared" si="137"/>
        <v>293.33333333333468</v>
      </c>
      <c r="GZ156" s="59">
        <f ca="1">AVERAGE(OFFSET($GY$3,0,0,'Données projet'!$E$18+1,1))-AVERAGE(OFFSET($H$3,0,0,'Données projet'!$E$18+1,1))</f>
        <v>199.58763537752952</v>
      </c>
      <c r="HA156" s="59">
        <f t="shared" si="160"/>
        <v>242.62852778451929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>
        <f>EXP(-LN(2)/35)*HG155+(1-EXP(-LN(2)/35))/(LN(2)/35)*HC156*HD156*VLOOKUP('Données projet'!$B$18,Paramètres!$A$1:$I$89,3,0)*0.475*44/12</f>
        <v>0</v>
      </c>
      <c r="HH156" s="21">
        <f>EXP(-LN(2)/25)*HH155+(1-EXP(-LN(2)/25))/(LN(2)/25)*Calculateur!HC156*Calculateur!HE156*VLOOKUP('Données projet'!$B$18,Paramètres!$A$1:$I$89,3,0)*0.475*44/12</f>
        <v>0.3396653637136397</v>
      </c>
      <c r="HI156" s="21">
        <f>EXP(-LN(2)/2)*HI155+(1-EXP(-LN(2)/2))/(LN(2)/2)*HC156*HF156*VLOOKUP('Données projet'!$B$18,Paramètres!$A$1:$I$89,3,0)*0.475*44/12</f>
        <v>3.3001253275156545E-18</v>
      </c>
      <c r="HJ156" s="22">
        <f t="shared" si="190"/>
        <v>0.3396653637136397</v>
      </c>
    </row>
    <row r="157" spans="1:218" x14ac:dyDescent="0.2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136.93680000000012</v>
      </c>
      <c r="D157" s="11">
        <f t="shared" si="140"/>
        <v>35.594368426539035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1331.8195457487234</v>
      </c>
      <c r="H157" s="67">
        <f t="shared" si="110"/>
        <v>593.82511834288903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-2.2737367544323206E-13</v>
      </c>
      <c r="O157" s="13">
        <f>N157*VLOOKUP('Données projet'!$B$9,Paramètres!$A$1:$I$89,3,0)*VLOOKUP('Données projet'!$B$9,Paramètres!$A$1:$I$89,5,0)</f>
        <v>-1.2710188457276673E-13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255.5374979188561</v>
      </c>
      <c r="T157" s="59">
        <f t="shared" si="142"/>
        <v>343.10418468620901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0.26512943721450116</v>
      </c>
      <c r="AA157" s="21">
        <f>EXP(-LN(2)/25)*AA156+(1-EXP(-LN(2)/25))/(LN(2)/25)*Calculateur!V157*Calculateur!X157*VLOOKUP('Données projet'!$B$9,Paramètres!$A$1:$I$89,3,0)*0.475*44/12</f>
        <v>0.51278009652632195</v>
      </c>
      <c r="AB157" s="21">
        <f>EXP(-LN(2)/2)*AB156+(1-EXP(-LN(2)/2))/(LN(2)/2)*V157*Y157*VLOOKUP('Données projet'!$B$9,Paramètres!$A$1:$I$89,3,0)*0.475*44/12</f>
        <v>3.6703541236124101E-19</v>
      </c>
      <c r="AC157" s="22">
        <f t="shared" si="163"/>
        <v>0.77790953374082306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1.1368683772161603E-13</v>
      </c>
      <c r="AJ157" s="13">
        <f>AI157*VLOOKUP('Données projet'!$B$10,Paramètres!$A$1:$I$89,3,0)*VLOOKUP('Données projet'!$B$10,Paramètres!$A$1:$I$89,5,0)</f>
        <v>6.3550942286383367E-14</v>
      </c>
      <c r="AK157" s="13">
        <f t="shared" si="164"/>
        <v>1.0064464192543978E-12</v>
      </c>
      <c r="AL157" s="20">
        <f t="shared" si="165"/>
        <v>1.8635787380168604E-12</v>
      </c>
      <c r="AM157" s="59">
        <f t="shared" si="113"/>
        <v>293.33333333333519</v>
      </c>
      <c r="AN157" s="59">
        <f ca="1">AVERAGE(OFFSET($AM$3,0,0,'Données projet'!$E$10+1,1))-AVERAGE(OFFSET($H$3,0,0,'Données projet'!$E$10+1,1))</f>
        <v>224.7049802939942</v>
      </c>
      <c r="AO157" s="59">
        <f t="shared" si="144"/>
        <v>203.48513862195352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0.19143641135322154</v>
      </c>
      <c r="AV157" s="21">
        <f>EXP(-LN(2)/25)*AV156+(1-EXP(-LN(2)/25))/(LN(2)/25)*Calculateur!AQ157*Calculateur!AS157*VLOOKUP('Données projet'!$B$10,Paramètres!$A$1:$I$89,3,0)*0.475*44/12</f>
        <v>0.62729489750145084</v>
      </c>
      <c r="AW157" s="21">
        <f>EXP(-LN(2)/2)*AW156+(1-EXP(-LN(2)/2))/(LN(2)/2)*AQ157*AT157*VLOOKUP('Données projet'!$B$10,Paramètres!$A$1:$I$89,3,0)*0.475*44/12</f>
        <v>1.9430231276117159E-18</v>
      </c>
      <c r="AX157" s="21">
        <f t="shared" si="166"/>
        <v>0.81873130885467238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>
        <f>BD157*VLOOKUP('Données projet'!$B$11,Paramètres!$A$1:$I$89,3,0)*VLOOKUP('Données projet'!$B$11,Paramètres!$A$1:$I$89,5,0)</f>
        <v>0</v>
      </c>
      <c r="BF157" s="13" t="e">
        <f t="shared" si="167"/>
        <v>#NUM!</v>
      </c>
      <c r="BG157" s="20" t="e">
        <f t="shared" si="168"/>
        <v>#NUM!</v>
      </c>
      <c r="BH157" s="59" t="e">
        <f t="shared" si="116"/>
        <v>#NUM!</v>
      </c>
      <c r="BI157" s="59">
        <f ca="1">AVERAGE(OFFSET($BH$3,0,0,'Données projet'!$E$11+1,1))-AVERAGE(OFFSET($H$3,0,0,'Données projet'!$E$11+1,1))</f>
        <v>210.04871822652808</v>
      </c>
      <c r="BJ157" s="59">
        <f t="shared" si="146"/>
        <v>250.17540614049324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0.62643391298318363</v>
      </c>
      <c r="BQ157" s="21">
        <f>EXP(-LN(2)/25)*BQ156+(1-EXP(-LN(2)/25))/(LN(2)/25)*Calculateur!BL157*Calculateur!BN157*VLOOKUP('Données projet'!$B$11,Paramètres!$A$1:$I$89,3,0)*0.475*44/12</f>
        <v>0.89416067004928301</v>
      </c>
      <c r="BR157" s="21">
        <f>EXP(-LN(2)/2)*BR156+(1-EXP(-LN(2)/2))/(LN(2)/2)*BL157*BO157*VLOOKUP('Données projet'!$B$11,Paramètres!$A$1:$I$89,3,0)*0.475*44/12</f>
        <v>4.6737545989095123E-18</v>
      </c>
      <c r="BS157" s="22">
        <f t="shared" si="169"/>
        <v>1.5205945830324668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2.2737367544323206E-13</v>
      </c>
      <c r="BZ157" s="13">
        <f>BY157*VLOOKUP('Données projet'!$B$12,Paramètres!$A$1:$I$89,3,0)*VLOOKUP('Données projet'!$B$12,Paramètres!$A$1:$I$89,5,0)</f>
        <v>1.2414602679200471E-13</v>
      </c>
      <c r="CA157" s="13">
        <f t="shared" si="170"/>
        <v>1.8186582995804361E-12</v>
      </c>
      <c r="CB157" s="20">
        <f t="shared" si="171"/>
        <v>3.3837175350986671E-12</v>
      </c>
      <c r="CC157" s="59">
        <f t="shared" si="119"/>
        <v>293.33333333333672</v>
      </c>
      <c r="CD157" s="59">
        <f ca="1">AVERAGE(OFFSET($CC$3,0,0,'Données projet'!$E$12+1,1))-AVERAGE(OFFSET($H$3,0,0,'Données projet'!$E$12+1,1))</f>
        <v>168.72306536277267</v>
      </c>
      <c r="CE157" s="59">
        <f t="shared" si="148"/>
        <v>203.35476578922339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0.26101413040965987</v>
      </c>
      <c r="CL157" s="21">
        <f>EXP(-LN(2)/25)*CL156+(1-EXP(-LN(2)/25))/(LN(2)/25)*Calculateur!CG157*Calculateur!CI157*VLOOKUP('Données projet'!$B$12,Paramètres!$A$1:$I$89,3,0)*0.475*44/12</f>
        <v>0.73847557680715992</v>
      </c>
      <c r="CM157" s="21">
        <f>EXP(-LN(2)/2)*CM156+(1-EXP(-LN(2)/2))/(LN(2)/2)*CG157*CJ157*VLOOKUP('Données projet'!$B$12,Paramètres!$A$1:$I$89,3,0)*0.475*44/12</f>
        <v>4.3419796018371424E-18</v>
      </c>
      <c r="CN157" s="22">
        <f t="shared" si="172"/>
        <v>0.99948970721681984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1277.6923076923067</v>
      </c>
      <c r="CU157" s="17">
        <f>CT157*VLOOKUP('Données projet'!$B$13,Paramètres!$A$1:$I$89,3,0)*VLOOKUP('Données projet'!$B$13,Paramètres!$A$1:$I$89,5,0)</f>
        <v>614.5699999999996</v>
      </c>
      <c r="CV157" s="13">
        <f t="shared" si="173"/>
        <v>134.13240620831178</v>
      </c>
      <c r="CW157" s="20">
        <f t="shared" si="174"/>
        <v>1303.9900241461421</v>
      </c>
      <c r="CX157" s="59">
        <f t="shared" si="122"/>
        <v>1597.3233574794754</v>
      </c>
      <c r="CY157" s="59">
        <f ca="1">AVERAGE(OFFSET($CX$3,0,0,'Données projet'!$E$13+1,1))-AVERAGE(OFFSET($H$3,0,0,'Données projet'!$E$13+1,1))</f>
        <v>304.15237106473313</v>
      </c>
      <c r="CZ157" s="59">
        <f t="shared" si="150"/>
        <v>120.85458928724336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>
        <f>EXP(-LN(2)/35)*DF156+(1-EXP(-LN(2)/35))/(LN(2)/35)*DB157*DC157*VLOOKUP('Données projet'!$B$13,Paramètres!$A$1:$I$89,3,0)*0.475*44/12</f>
        <v>0</v>
      </c>
      <c r="DG157" s="21">
        <f>EXP(-LN(2)/25)*DG156+(1-EXP(-LN(2)/25))/(LN(2)/25)*Calculateur!DB157*Calculateur!DD157*VLOOKUP('Données projet'!$B$13,Paramètres!$A$1:$I$89,3,0)*0.475*44/12</f>
        <v>0</v>
      </c>
      <c r="DH157" s="21">
        <f>EXP(-LN(2)/2)*DH156+(1-EXP(-LN(2)/2))/(LN(2)/2)*DB157*DE157*VLOOKUP('Données projet'!$B$13,Paramètres!$A$1:$I$89,3,0)*0.475*44/12</f>
        <v>0</v>
      </c>
      <c r="DI157" s="22">
        <f t="shared" si="175"/>
        <v>0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425.38461538461536</v>
      </c>
      <c r="DP157" s="17">
        <f>DO157*VLOOKUP('Données projet'!$B$14,Paramètres!$A$1:$I$89,3,0)*VLOOKUP('Données projet'!$B$14,Paramètres!$A$1:$I$89,5,0)</f>
        <v>204.60999999999999</v>
      </c>
      <c r="DQ157" s="13">
        <f t="shared" si="176"/>
        <v>50.755958577224398</v>
      </c>
      <c r="DR157" s="20">
        <f t="shared" si="177"/>
        <v>444.76237785533249</v>
      </c>
      <c r="DS157" s="59">
        <f t="shared" si="125"/>
        <v>738.09571118866575</v>
      </c>
      <c r="DT157" s="59">
        <f ca="1">AVERAGE(OFFSET($DS$3,0,0,'Données projet'!$E$14+1,1))-AVERAGE(OFFSET($H$3,0,0,'Données projet'!$E$14+1,1))</f>
        <v>91.053246648097399</v>
      </c>
      <c r="DU157" s="59">
        <f t="shared" si="152"/>
        <v>64.716270355703955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>
        <f>EXP(-LN(2)/35)*EA156+(1-EXP(-LN(2)/35))/(LN(2)/35)*DW157*DX157*VLOOKUP('Données projet'!$B$14,Paramètres!$A$1:$I$89,3,0)*0.475*44/12</f>
        <v>0</v>
      </c>
      <c r="EB157" s="21">
        <f>EXP(-LN(2)/25)*EB156+(1-EXP(-LN(2)/25))/(LN(2)/25)*Calculateur!DW157*Calculateur!DY157*VLOOKUP('Données projet'!$B$14,Paramètres!$A$1:$I$89,3,0)*0.475*44/12</f>
        <v>0</v>
      </c>
      <c r="EC157" s="21">
        <f>EXP(-LN(2)/2)*EC156+(1-EXP(-LN(2)/2))/(LN(2)/2)*DW157*DZ157*VLOOKUP('Données projet'!$B$14,Paramètres!$A$1:$I$89,3,0)*0.475*44/12</f>
        <v>0</v>
      </c>
      <c r="ED157" s="22">
        <f t="shared" si="178"/>
        <v>0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553.99999999999955</v>
      </c>
      <c r="EK157" s="17">
        <f>EJ157*VLOOKUP('Données projet'!$B$15,Paramètres!$A$1:$I$89,3,0)*VLOOKUP('Données projet'!$B$15,Paramètres!$A$1:$I$89,5,0)</f>
        <v>331.29199999999975</v>
      </c>
      <c r="EL157" s="13">
        <f t="shared" si="179"/>
        <v>77.698110787752</v>
      </c>
      <c r="EM157" s="20">
        <f t="shared" si="180"/>
        <v>712.32444295533423</v>
      </c>
      <c r="EN157" s="59">
        <f t="shared" si="128"/>
        <v>1005.6577762886675</v>
      </c>
      <c r="EO157" s="59">
        <f ca="1">AVERAGE(OFFSET($EN$3,0,0,'Données projet'!$E$15+1,1))-AVERAGE(OFFSET($H$3,0,0,'Données projet'!$E$15+1,1))</f>
        <v>316.58509520829671</v>
      </c>
      <c r="EP157" s="59">
        <f t="shared" si="154"/>
        <v>240.71332110643596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>
        <f>EXP(-LN(2)/35)*EV156+(1-EXP(-LN(2)/35))/(LN(2)/35)*ER157*ES157*VLOOKUP('Données projet'!$B$15,Paramètres!$A$1:$I$89,3,0)*0.475*44/12</f>
        <v>0.21746738518315056</v>
      </c>
      <c r="EW157" s="21">
        <f>EXP(-LN(2)/25)*EW156+(1-EXP(-LN(2)/25))/(LN(2)/25)*Calculateur!ER157*Calculateur!ET157*VLOOKUP('Données projet'!$B$15,Paramètres!$A$1:$I$89,3,0)*0.475*44/12</f>
        <v>0.49053645518174666</v>
      </c>
      <c r="EX157" s="21">
        <f>EXP(-LN(2)/2)*EX156+(1-EXP(-LN(2)/2))/(LN(2)/2)*ER157*EU157*VLOOKUP('Données projet'!$B$15,Paramètres!$A$1:$I$89,3,0)*0.475*44/12</f>
        <v>4.7573366839103191E-18</v>
      </c>
      <c r="EY157" s="22">
        <f t="shared" si="181"/>
        <v>0.70800384036489716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497</v>
      </c>
      <c r="FF157" s="17">
        <f>FE157*VLOOKUP('Données projet'!$B$16,Paramètres!$A$1:$I$89,3,0)*VLOOKUP('Données projet'!$B$16,Paramètres!$A$1:$I$89,5,0)</f>
        <v>297.20600000000002</v>
      </c>
      <c r="FG157" s="13">
        <f t="shared" si="182"/>
        <v>70.590415164571112</v>
      </c>
      <c r="FH157" s="20">
        <f t="shared" si="183"/>
        <v>640.57875641162809</v>
      </c>
      <c r="FI157" s="59">
        <f t="shared" si="131"/>
        <v>933.91208974496135</v>
      </c>
      <c r="FJ157" s="59">
        <f ca="1">AVERAGE(OFFSET($FI$3,0,0,'Données projet'!$E$16+1,1))-AVERAGE(OFFSET($H$3,0,0,'Données projet'!$E$16+1,1))</f>
        <v>270.30888762640245</v>
      </c>
      <c r="FK157" s="59">
        <f t="shared" si="156"/>
        <v>202.23783851977691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>
        <f>EXP(-LN(2)/35)*FQ156+(1-EXP(-LN(2)/35))/(LN(2)/35)*FM157*FN157*VLOOKUP('Données projet'!$B$16,Paramètres!$A$1:$I$89,3,0)*0.475*44/12</f>
        <v>0.18377525508435241</v>
      </c>
      <c r="FR157" s="21">
        <f>EXP(-LN(2)/25)*FR156+(1-EXP(-LN(2)/25))/(LN(2)/25)*Calculateur!FM157*Calculateur!FO157*VLOOKUP('Données projet'!$B$16,Paramètres!$A$1:$I$89,3,0)*0.475*44/12</f>
        <v>0.39502729760923055</v>
      </c>
      <c r="FS157" s="21">
        <f>EXP(-LN(2)/2)*FS156+(1-EXP(-LN(2)/2))/(LN(2)/2)*FM157*FP157*VLOOKUP('Données projet'!$B$16,Paramètres!$A$1:$I$89,3,0)*0.475*44/12</f>
        <v>4.0099452808733654E-18</v>
      </c>
      <c r="FT157" s="22">
        <f t="shared" si="184"/>
        <v>0.57880255269358294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-5.1159076974727213E-13</v>
      </c>
      <c r="GA157" s="17">
        <f>FZ157*VLOOKUP('Données projet'!$B$17,Paramètres!$A$1:$I$89,3,0)*VLOOKUP('Données projet'!$B$17,Paramètres!$A$1:$I$89,5,0)</f>
        <v>-4.0702161641092972E-13</v>
      </c>
      <c r="GB157" s="13" t="e">
        <f t="shared" si="185"/>
        <v>#NUM!</v>
      </c>
      <c r="GC157" s="20" t="e">
        <f t="shared" si="186"/>
        <v>#NUM!</v>
      </c>
      <c r="GD157" s="59" t="e">
        <f t="shared" si="134"/>
        <v>#NUM!</v>
      </c>
      <c r="GE157" s="59">
        <f ca="1">AVERAGE(OFFSET($GD$3,0,0,'Données projet'!$E$17+1,1))-AVERAGE(OFFSET($H$3,0,0,'Données projet'!$E$17+1,1))</f>
        <v>260.20517190557814</v>
      </c>
      <c r="GF157" s="59">
        <f t="shared" si="158"/>
        <v>307.22009971147133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>
        <f>EXP(-LN(2)/35)*GL156+(1-EXP(-LN(2)/35))/(LN(2)/35)*GH157*GI157*VLOOKUP('Données projet'!$B$17,Paramètres!$A$1:$I$89,3,0)*0.475*44/12</f>
        <v>0.27996872797512357</v>
      </c>
      <c r="GM157" s="21">
        <f>EXP(-LN(2)/25)*GM156+(1-EXP(-LN(2)/25))/(LN(2)/25)*Calculateur!GH157*Calculateur!GJ157*VLOOKUP('Données projet'!$B$17,Paramètres!$A$1:$I$89,3,0)*0.475*44/12</f>
        <v>0.65926522746416538</v>
      </c>
      <c r="GN157" s="21">
        <f>EXP(-LN(2)/2)*GN156+(1-EXP(-LN(2)/2))/(LN(2)/2)*GH157*GK157*VLOOKUP('Données projet'!$B$17,Paramètres!$A$1:$I$89,3,0)*0.475*44/12</f>
        <v>5.2126346322585809E-18</v>
      </c>
      <c r="GO157" s="21">
        <f t="shared" si="187"/>
        <v>0.939233955439289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5.6843418860808015E-14</v>
      </c>
      <c r="GV157" s="17">
        <f>GU157*VLOOKUP('Données projet'!$B$18,Paramètres!$A$1:$I$89,3,0)*VLOOKUP('Données projet'!$B$18,Paramètres!$A$1:$I$89,5,0)</f>
        <v>4.5224624045658861E-14</v>
      </c>
      <c r="GW157" s="13">
        <f t="shared" si="188"/>
        <v>7.4514601661523691E-13</v>
      </c>
      <c r="GX157" s="20">
        <f t="shared" si="189"/>
        <v>1.3765621991510601E-12</v>
      </c>
      <c r="GY157" s="59">
        <f t="shared" si="137"/>
        <v>293.33333333333468</v>
      </c>
      <c r="GZ157" s="59">
        <f ca="1">AVERAGE(OFFSET($GY$3,0,0,'Données projet'!$E$18+1,1))-AVERAGE(OFFSET($H$3,0,0,'Données projet'!$E$18+1,1))</f>
        <v>199.58763537752952</v>
      </c>
      <c r="HA157" s="59">
        <f t="shared" si="160"/>
        <v>242.62852778451929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>
        <f>EXP(-LN(2)/35)*HG156+(1-EXP(-LN(2)/35))/(LN(2)/35)*HC157*HD157*VLOOKUP('Données projet'!$B$18,Paramètres!$A$1:$I$89,3,0)*0.475*44/12</f>
        <v>0</v>
      </c>
      <c r="HH157" s="21">
        <f>EXP(-LN(2)/25)*HH156+(1-EXP(-LN(2)/25))/(LN(2)/25)*Calculateur!HC157*Calculateur!HE157*VLOOKUP('Données projet'!$B$18,Paramètres!$A$1:$I$89,3,0)*0.475*44/12</f>
        <v>0.33037719648066505</v>
      </c>
      <c r="HI157" s="21">
        <f>EXP(-LN(2)/2)*HI156+(1-EXP(-LN(2)/2))/(LN(2)/2)*HC157*HF157*VLOOKUP('Données projet'!$B$18,Paramètres!$A$1:$I$89,3,0)*0.475*44/12</f>
        <v>2.3335409978517954E-18</v>
      </c>
      <c r="HJ157" s="22">
        <f t="shared" si="190"/>
        <v>0.33037719648066505</v>
      </c>
    </row>
    <row r="158" spans="1:218" x14ac:dyDescent="0.2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137.82600000000011</v>
      </c>
      <c r="D158" s="11">
        <f t="shared" si="140"/>
        <v>35.798519897115533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1340.2594518373839</v>
      </c>
      <c r="H158" s="67">
        <f t="shared" si="110"/>
        <v>595.72937215414299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-2.2737367544323206E-13</v>
      </c>
      <c r="O158" s="13">
        <f>N158*VLOOKUP('Données projet'!$B$9,Paramètres!$A$1:$I$89,3,0)*VLOOKUP('Données projet'!$B$9,Paramètres!$A$1:$I$89,5,0)</f>
        <v>-1.2710188457276673E-13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255.5374979188561</v>
      </c>
      <c r="T158" s="59">
        <f t="shared" si="142"/>
        <v>343.10418468620901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0.25993041066371364</v>
      </c>
      <c r="AA158" s="21">
        <f>EXP(-LN(2)/25)*AA157+(1-EXP(-LN(2)/25))/(LN(2)/25)*Calculateur!V158*Calculateur!X158*VLOOKUP('Données projet'!$B$9,Paramètres!$A$1:$I$89,3,0)*0.475*44/12</f>
        <v>0.49875809782087638</v>
      </c>
      <c r="AB158" s="21">
        <f>EXP(-LN(2)/2)*AB157+(1-EXP(-LN(2)/2))/(LN(2)/2)*V158*Y158*VLOOKUP('Données projet'!$B$9,Paramètres!$A$1:$I$89,3,0)*0.475*44/12</f>
        <v>2.5953322901623428E-19</v>
      </c>
      <c r="AC158" s="22">
        <f t="shared" si="163"/>
        <v>0.75868850848459002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1.1368683772161603E-13</v>
      </c>
      <c r="AJ158" s="13">
        <f>AI158*VLOOKUP('Données projet'!$B$10,Paramètres!$A$1:$I$89,3,0)*VLOOKUP('Données projet'!$B$10,Paramètres!$A$1:$I$89,5,0)</f>
        <v>6.3550942286383367E-14</v>
      </c>
      <c r="AK158" s="13">
        <f t="shared" si="164"/>
        <v>1.0064464192543978E-12</v>
      </c>
      <c r="AL158" s="20">
        <f t="shared" si="165"/>
        <v>1.8635787380168604E-12</v>
      </c>
      <c r="AM158" s="59">
        <f t="shared" si="113"/>
        <v>293.33333333333519</v>
      </c>
      <c r="AN158" s="59">
        <f ca="1">AVERAGE(OFFSET($AM$3,0,0,'Données projet'!$E$10+1,1))-AVERAGE(OFFSET($H$3,0,0,'Données projet'!$E$10+1,1))</f>
        <v>224.7049802939942</v>
      </c>
      <c r="AO158" s="59">
        <f t="shared" si="144"/>
        <v>203.48513862195352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0.18768246009126624</v>
      </c>
      <c r="AV158" s="21">
        <f>EXP(-LN(2)/25)*AV157+(1-EXP(-LN(2)/25))/(LN(2)/25)*Calculateur!AQ158*Calculateur!AS158*VLOOKUP('Données projet'!$B$10,Paramètres!$A$1:$I$89,3,0)*0.475*44/12</f>
        <v>0.61014148554126868</v>
      </c>
      <c r="AW158" s="21">
        <f>EXP(-LN(2)/2)*AW157+(1-EXP(-LN(2)/2))/(LN(2)/2)*AQ158*AT158*VLOOKUP('Données projet'!$B$10,Paramètres!$A$1:$I$89,3,0)*0.475*44/12</f>
        <v>1.3739248295365388E-18</v>
      </c>
      <c r="AX158" s="21">
        <f t="shared" si="166"/>
        <v>0.79782394563253489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>
        <f>BD158*VLOOKUP('Données projet'!$B$11,Paramètres!$A$1:$I$89,3,0)*VLOOKUP('Données projet'!$B$11,Paramètres!$A$1:$I$89,5,0)</f>
        <v>0</v>
      </c>
      <c r="BF158" s="13" t="e">
        <f t="shared" si="167"/>
        <v>#NUM!</v>
      </c>
      <c r="BG158" s="20" t="e">
        <f t="shared" si="168"/>
        <v>#NUM!</v>
      </c>
      <c r="BH158" s="59" t="e">
        <f t="shared" si="116"/>
        <v>#NUM!</v>
      </c>
      <c r="BI158" s="59">
        <f ca="1">AVERAGE(OFFSET($BH$3,0,0,'Données projet'!$E$11+1,1))-AVERAGE(OFFSET($H$3,0,0,'Données projet'!$E$11+1,1))</f>
        <v>210.04871822652808</v>
      </c>
      <c r="BJ158" s="59">
        <f t="shared" si="146"/>
        <v>250.17540614049324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0.61414992603654239</v>
      </c>
      <c r="BQ158" s="21">
        <f>EXP(-LN(2)/25)*BQ157+(1-EXP(-LN(2)/25))/(LN(2)/25)*Calculateur!BL158*Calculateur!BN158*VLOOKUP('Données projet'!$B$11,Paramètres!$A$1:$I$89,3,0)*0.475*44/12</f>
        <v>0.86970979950491933</v>
      </c>
      <c r="BR158" s="21">
        <f>EXP(-LN(2)/2)*BR157+(1-EXP(-LN(2)/2))/(LN(2)/2)*BL158*BO158*VLOOKUP('Données projet'!$B$11,Paramètres!$A$1:$I$89,3,0)*0.475*44/12</f>
        <v>3.3048435704907287E-18</v>
      </c>
      <c r="BS158" s="22">
        <f t="shared" si="169"/>
        <v>1.4838597255414618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2.2737367544323206E-13</v>
      </c>
      <c r="BZ158" s="13">
        <f>BY158*VLOOKUP('Données projet'!$B$12,Paramètres!$A$1:$I$89,3,0)*VLOOKUP('Données projet'!$B$12,Paramètres!$A$1:$I$89,5,0)</f>
        <v>1.2414602679200471E-13</v>
      </c>
      <c r="CA158" s="13">
        <f t="shared" si="170"/>
        <v>1.8186582995804361E-12</v>
      </c>
      <c r="CB158" s="20">
        <f t="shared" si="171"/>
        <v>3.3837175350986671E-12</v>
      </c>
      <c r="CC158" s="59">
        <f t="shared" si="119"/>
        <v>293.33333333333672</v>
      </c>
      <c r="CD158" s="59">
        <f ca="1">AVERAGE(OFFSET($CC$3,0,0,'Données projet'!$E$12+1,1))-AVERAGE(OFFSET($H$3,0,0,'Données projet'!$E$12+1,1))</f>
        <v>168.72306536277267</v>
      </c>
      <c r="CE158" s="59">
        <f t="shared" si="148"/>
        <v>203.35476578922339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0.25589580251522603</v>
      </c>
      <c r="CL158" s="21">
        <f>EXP(-LN(2)/25)*CL157+(1-EXP(-LN(2)/25))/(LN(2)/25)*Calculateur!CG158*Calculateur!CI158*VLOOKUP('Données projet'!$B$12,Paramètres!$A$1:$I$89,3,0)*0.475*44/12</f>
        <v>0.71828192332462537</v>
      </c>
      <c r="CM158" s="21">
        <f>EXP(-LN(2)/2)*CM157+(1-EXP(-LN(2)/2))/(LN(2)/2)*CG158*CJ158*VLOOKUP('Données projet'!$B$12,Paramètres!$A$1:$I$89,3,0)*0.475*44/12</f>
        <v>3.070243220232709E-18</v>
      </c>
      <c r="CN158" s="22">
        <f t="shared" si="172"/>
        <v>0.9741777258398514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1277.6923076923067</v>
      </c>
      <c r="CU158" s="17">
        <f>CT158*VLOOKUP('Données projet'!$B$13,Paramètres!$A$1:$I$89,3,0)*VLOOKUP('Données projet'!$B$13,Paramètres!$A$1:$I$89,5,0)</f>
        <v>614.5699999999996</v>
      </c>
      <c r="CV158" s="13">
        <f t="shared" si="173"/>
        <v>134.13240620831178</v>
      </c>
      <c r="CW158" s="20">
        <f t="shared" si="174"/>
        <v>1303.9900241461421</v>
      </c>
      <c r="CX158" s="59">
        <f t="shared" si="122"/>
        <v>1597.3233574794754</v>
      </c>
      <c r="CY158" s="59">
        <f ca="1">AVERAGE(OFFSET($CX$3,0,0,'Données projet'!$E$13+1,1))-AVERAGE(OFFSET($H$3,0,0,'Données projet'!$E$13+1,1))</f>
        <v>304.15237106473313</v>
      </c>
      <c r="CZ158" s="59">
        <f t="shared" si="150"/>
        <v>120.85458928724336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>
        <f>EXP(-LN(2)/35)*DF157+(1-EXP(-LN(2)/35))/(LN(2)/35)*DB158*DC158*VLOOKUP('Données projet'!$B$13,Paramètres!$A$1:$I$89,3,0)*0.475*44/12</f>
        <v>0</v>
      </c>
      <c r="DG158" s="21">
        <f>EXP(-LN(2)/25)*DG157+(1-EXP(-LN(2)/25))/(LN(2)/25)*Calculateur!DB158*Calculateur!DD158*VLOOKUP('Données projet'!$B$13,Paramètres!$A$1:$I$89,3,0)*0.475*44/12</f>
        <v>0</v>
      </c>
      <c r="DH158" s="21">
        <f>EXP(-LN(2)/2)*DH157+(1-EXP(-LN(2)/2))/(LN(2)/2)*DB158*DE158*VLOOKUP('Données projet'!$B$13,Paramètres!$A$1:$I$89,3,0)*0.475*44/12</f>
        <v>0</v>
      </c>
      <c r="DI158" s="22">
        <f t="shared" si="175"/>
        <v>0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425.38461538461536</v>
      </c>
      <c r="DP158" s="17">
        <f>DO158*VLOOKUP('Données projet'!$B$14,Paramètres!$A$1:$I$89,3,0)*VLOOKUP('Données projet'!$B$14,Paramètres!$A$1:$I$89,5,0)</f>
        <v>204.60999999999999</v>
      </c>
      <c r="DQ158" s="13">
        <f t="shared" si="176"/>
        <v>50.755958577224398</v>
      </c>
      <c r="DR158" s="20">
        <f t="shared" si="177"/>
        <v>444.76237785533249</v>
      </c>
      <c r="DS158" s="59">
        <f t="shared" si="125"/>
        <v>738.09571118866575</v>
      </c>
      <c r="DT158" s="59">
        <f ca="1">AVERAGE(OFFSET($DS$3,0,0,'Données projet'!$E$14+1,1))-AVERAGE(OFFSET($H$3,0,0,'Données projet'!$E$14+1,1))</f>
        <v>91.053246648097399</v>
      </c>
      <c r="DU158" s="59">
        <f t="shared" si="152"/>
        <v>64.716270355703955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>
        <f>EXP(-LN(2)/35)*EA157+(1-EXP(-LN(2)/35))/(LN(2)/35)*DW158*DX158*VLOOKUP('Données projet'!$B$14,Paramètres!$A$1:$I$89,3,0)*0.475*44/12</f>
        <v>0</v>
      </c>
      <c r="EB158" s="21">
        <f>EXP(-LN(2)/25)*EB157+(1-EXP(-LN(2)/25))/(LN(2)/25)*Calculateur!DW158*Calculateur!DY158*VLOOKUP('Données projet'!$B$14,Paramètres!$A$1:$I$89,3,0)*0.475*44/12</f>
        <v>0</v>
      </c>
      <c r="EC158" s="21">
        <f>EXP(-LN(2)/2)*EC157+(1-EXP(-LN(2)/2))/(LN(2)/2)*DW158*DZ158*VLOOKUP('Données projet'!$B$14,Paramètres!$A$1:$I$89,3,0)*0.475*44/12</f>
        <v>0</v>
      </c>
      <c r="ED158" s="22">
        <f t="shared" si="178"/>
        <v>0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553.99999999999955</v>
      </c>
      <c r="EK158" s="17">
        <f>EJ158*VLOOKUP('Données projet'!$B$15,Paramètres!$A$1:$I$89,3,0)*VLOOKUP('Données projet'!$B$15,Paramètres!$A$1:$I$89,5,0)</f>
        <v>331.29199999999975</v>
      </c>
      <c r="EL158" s="13">
        <f t="shared" si="179"/>
        <v>77.698110787752</v>
      </c>
      <c r="EM158" s="20">
        <f t="shared" si="180"/>
        <v>712.32444295533423</v>
      </c>
      <c r="EN158" s="59">
        <f t="shared" si="128"/>
        <v>1005.6577762886675</v>
      </c>
      <c r="EO158" s="59">
        <f ca="1">AVERAGE(OFFSET($EN$3,0,0,'Données projet'!$E$15+1,1))-AVERAGE(OFFSET($H$3,0,0,'Données projet'!$E$15+1,1))</f>
        <v>316.58509520829671</v>
      </c>
      <c r="EP158" s="59">
        <f t="shared" si="154"/>
        <v>240.71332110643596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>
        <f>EXP(-LN(2)/35)*EV157+(1-EXP(-LN(2)/35))/(LN(2)/35)*ER158*ES158*VLOOKUP('Données projet'!$B$15,Paramètres!$A$1:$I$89,3,0)*0.475*44/12</f>
        <v>0.21320298240171665</v>
      </c>
      <c r="EW158" s="21">
        <f>EXP(-LN(2)/25)*EW157+(1-EXP(-LN(2)/25))/(LN(2)/25)*Calculateur!ER158*Calculateur!ET158*VLOOKUP('Données projet'!$B$15,Paramètres!$A$1:$I$89,3,0)*0.475*44/12</f>
        <v>0.47712271001861073</v>
      </c>
      <c r="EX158" s="21">
        <f>EXP(-LN(2)/2)*EX157+(1-EXP(-LN(2)/2))/(LN(2)/2)*ER158*EU158*VLOOKUP('Données projet'!$B$15,Paramètres!$A$1:$I$89,3,0)*0.475*44/12</f>
        <v>3.3639450295805096E-18</v>
      </c>
      <c r="EY158" s="22">
        <f t="shared" si="181"/>
        <v>0.69032569242032737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497</v>
      </c>
      <c r="FF158" s="17">
        <f>FE158*VLOOKUP('Données projet'!$B$16,Paramètres!$A$1:$I$89,3,0)*VLOOKUP('Données projet'!$B$16,Paramètres!$A$1:$I$89,5,0)</f>
        <v>297.20600000000002</v>
      </c>
      <c r="FG158" s="13">
        <f t="shared" si="182"/>
        <v>70.590415164571112</v>
      </c>
      <c r="FH158" s="20">
        <f t="shared" si="183"/>
        <v>640.57875641162809</v>
      </c>
      <c r="FI158" s="59">
        <f t="shared" si="131"/>
        <v>933.91208974496135</v>
      </c>
      <c r="FJ158" s="59">
        <f ca="1">AVERAGE(OFFSET($FI$3,0,0,'Données projet'!$E$16+1,1))-AVERAGE(OFFSET($H$3,0,0,'Données projet'!$E$16+1,1))</f>
        <v>270.30888762640245</v>
      </c>
      <c r="FK158" s="59">
        <f t="shared" si="156"/>
        <v>202.23783851977691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>
        <f>EXP(-LN(2)/35)*FQ157+(1-EXP(-LN(2)/35))/(LN(2)/35)*FM158*FN158*VLOOKUP('Données projet'!$B$16,Paramètres!$A$1:$I$89,3,0)*0.475*44/12</f>
        <v>0.1801715344239857</v>
      </c>
      <c r="FR158" s="21">
        <f>EXP(-LN(2)/25)*FR157+(1-EXP(-LN(2)/25))/(LN(2)/25)*Calculateur!FM158*Calculateur!FO158*VLOOKUP('Données projet'!$B$16,Paramètres!$A$1:$I$89,3,0)*0.475*44/12</f>
        <v>0.38422525538252339</v>
      </c>
      <c r="FS158" s="21">
        <f>EXP(-LN(2)/2)*FS157+(1-EXP(-LN(2)/2))/(LN(2)/2)*FM158*FP158*VLOOKUP('Données projet'!$B$16,Paramètres!$A$1:$I$89,3,0)*0.475*44/12</f>
        <v>2.8354595002925516E-18</v>
      </c>
      <c r="FT158" s="22">
        <f t="shared" si="184"/>
        <v>0.56439678980650909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-5.1159076974727213E-13</v>
      </c>
      <c r="GA158" s="17">
        <f>FZ158*VLOOKUP('Données projet'!$B$17,Paramètres!$A$1:$I$89,3,0)*VLOOKUP('Données projet'!$B$17,Paramètres!$A$1:$I$89,5,0)</f>
        <v>-4.0702161641092972E-13</v>
      </c>
      <c r="GB158" s="13" t="e">
        <f t="shared" si="185"/>
        <v>#NUM!</v>
      </c>
      <c r="GC158" s="20" t="e">
        <f t="shared" si="186"/>
        <v>#NUM!</v>
      </c>
      <c r="GD158" s="59" t="e">
        <f t="shared" si="134"/>
        <v>#NUM!</v>
      </c>
      <c r="GE158" s="59">
        <f ca="1">AVERAGE(OFFSET($GD$3,0,0,'Données projet'!$E$17+1,1))-AVERAGE(OFFSET($H$3,0,0,'Données projet'!$E$17+1,1))</f>
        <v>260.20517190557814</v>
      </c>
      <c r="GF158" s="59">
        <f t="shared" si="158"/>
        <v>307.22009971147133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>
        <f>EXP(-LN(2)/35)*GL157+(1-EXP(-LN(2)/35))/(LN(2)/35)*GH158*GI158*VLOOKUP('Données projet'!$B$17,Paramètres!$A$1:$I$89,3,0)*0.475*44/12</f>
        <v>0.27447871198359391</v>
      </c>
      <c r="GM158" s="21">
        <f>EXP(-LN(2)/25)*GM157+(1-EXP(-LN(2)/25))/(LN(2)/25)*Calculateur!GH158*Calculateur!GJ158*VLOOKUP('Données projet'!$B$17,Paramètres!$A$1:$I$89,3,0)*0.475*44/12</f>
        <v>0.64123758514990625</v>
      </c>
      <c r="GN158" s="21">
        <f>EXP(-LN(2)/2)*GN157+(1-EXP(-LN(2)/2))/(LN(2)/2)*GH158*GK158*VLOOKUP('Données projet'!$B$17,Paramètres!$A$1:$I$89,3,0)*0.475*44/12</f>
        <v>3.6858892963178879E-18</v>
      </c>
      <c r="GO158" s="21">
        <f t="shared" si="187"/>
        <v>0.91571629713350022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5.6843418860808015E-14</v>
      </c>
      <c r="GV158" s="17">
        <f>GU158*VLOOKUP('Données projet'!$B$18,Paramètres!$A$1:$I$89,3,0)*VLOOKUP('Données projet'!$B$18,Paramètres!$A$1:$I$89,5,0)</f>
        <v>4.5224624045658861E-14</v>
      </c>
      <c r="GW158" s="13">
        <f t="shared" si="188"/>
        <v>7.4514601661523691E-13</v>
      </c>
      <c r="GX158" s="20">
        <f t="shared" si="189"/>
        <v>1.3765621991510601E-12</v>
      </c>
      <c r="GY158" s="59">
        <f t="shared" si="137"/>
        <v>293.33333333333468</v>
      </c>
      <c r="GZ158" s="59">
        <f ca="1">AVERAGE(OFFSET($GY$3,0,0,'Données projet'!$E$18+1,1))-AVERAGE(OFFSET($H$3,0,0,'Données projet'!$E$18+1,1))</f>
        <v>199.58763537752952</v>
      </c>
      <c r="HA158" s="59">
        <f t="shared" si="160"/>
        <v>242.62852778451929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>
        <f>EXP(-LN(2)/35)*HG157+(1-EXP(-LN(2)/35))/(LN(2)/35)*HC158*HD158*VLOOKUP('Données projet'!$B$18,Paramètres!$A$1:$I$89,3,0)*0.475*44/12</f>
        <v>0</v>
      </c>
      <c r="HH158" s="21">
        <f>EXP(-LN(2)/25)*HH157+(1-EXP(-LN(2)/25))/(LN(2)/25)*Calculateur!HC158*Calculateur!HE158*VLOOKUP('Données projet'!$B$18,Paramètres!$A$1:$I$89,3,0)*0.475*44/12</f>
        <v>0.32134301466911958</v>
      </c>
      <c r="HI158" s="21">
        <f>EXP(-LN(2)/2)*HI157+(1-EXP(-LN(2)/2))/(LN(2)/2)*HC158*HF158*VLOOKUP('Données projet'!$B$18,Paramètres!$A$1:$I$89,3,0)*0.475*44/12</f>
        <v>1.6500626637578272E-18</v>
      </c>
      <c r="HJ158" s="22">
        <f t="shared" si="190"/>
        <v>0.32134301466911958</v>
      </c>
    </row>
    <row r="159" spans="1:218" x14ac:dyDescent="0.2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138.7152000000001</v>
      </c>
      <c r="D159" s="11">
        <f t="shared" si="140"/>
        <v>36.002518112950014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1348.6981749069832</v>
      </c>
      <c r="H159" s="67">
        <f t="shared" si="110"/>
        <v>597.63335904672135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-2.2737367544323206E-13</v>
      </c>
      <c r="O159" s="13">
        <f>N159*VLOOKUP('Données projet'!$B$9,Paramètres!$A$1:$I$89,3,0)*VLOOKUP('Données projet'!$B$9,Paramètres!$A$1:$I$89,5,0)</f>
        <v>-1.2710188457276673E-13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255.5374979188561</v>
      </c>
      <c r="T159" s="59">
        <f t="shared" si="142"/>
        <v>343.10418468620901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0.25483333385249402</v>
      </c>
      <c r="AA159" s="21">
        <f>EXP(-LN(2)/25)*AA158+(1-EXP(-LN(2)/25))/(LN(2)/25)*Calculateur!V159*Calculateur!X159*VLOOKUP('Données projet'!$B$9,Paramètres!$A$1:$I$89,3,0)*0.475*44/12</f>
        <v>0.48511953140741609</v>
      </c>
      <c r="AB159" s="21">
        <f>EXP(-LN(2)/2)*AB158+(1-EXP(-LN(2)/2))/(LN(2)/2)*V159*Y159*VLOOKUP('Données projet'!$B$9,Paramètres!$A$1:$I$89,3,0)*0.475*44/12</f>
        <v>1.8351770618062051E-19</v>
      </c>
      <c r="AC159" s="22">
        <f t="shared" si="163"/>
        <v>0.73995286525991011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1.1368683772161603E-13</v>
      </c>
      <c r="AJ159" s="13">
        <f>AI159*VLOOKUP('Données projet'!$B$10,Paramètres!$A$1:$I$89,3,0)*VLOOKUP('Données projet'!$B$10,Paramètres!$A$1:$I$89,5,0)</f>
        <v>6.3550942286383367E-14</v>
      </c>
      <c r="AK159" s="13">
        <f t="shared" si="164"/>
        <v>1.0064464192543978E-12</v>
      </c>
      <c r="AL159" s="20">
        <f t="shared" si="165"/>
        <v>1.8635787380168604E-12</v>
      </c>
      <c r="AM159" s="59">
        <f t="shared" si="113"/>
        <v>293.33333333333519</v>
      </c>
      <c r="AN159" s="59">
        <f ca="1">AVERAGE(OFFSET($AM$3,0,0,'Données projet'!$E$10+1,1))-AVERAGE(OFFSET($H$3,0,0,'Données projet'!$E$10+1,1))</f>
        <v>224.7049802939942</v>
      </c>
      <c r="AO159" s="59">
        <f t="shared" si="144"/>
        <v>203.48513862195352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0.18400212152387369</v>
      </c>
      <c r="AV159" s="21">
        <f>EXP(-LN(2)/25)*AV158+(1-EXP(-LN(2)/25))/(LN(2)/25)*Calculateur!AQ159*Calculateur!AS159*VLOOKUP('Données projet'!$B$10,Paramètres!$A$1:$I$89,3,0)*0.475*44/12</f>
        <v>0.59345713453319648</v>
      </c>
      <c r="AW159" s="21">
        <f>EXP(-LN(2)/2)*AW158+(1-EXP(-LN(2)/2))/(LN(2)/2)*AQ159*AT159*VLOOKUP('Données projet'!$B$10,Paramètres!$A$1:$I$89,3,0)*0.475*44/12</f>
        <v>9.7151156380585795E-19</v>
      </c>
      <c r="AX159" s="21">
        <f t="shared" si="166"/>
        <v>0.77745925605707011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>
        <f>BD159*VLOOKUP('Données projet'!$B$11,Paramètres!$A$1:$I$89,3,0)*VLOOKUP('Données projet'!$B$11,Paramètres!$A$1:$I$89,5,0)</f>
        <v>0</v>
      </c>
      <c r="BF159" s="13" t="e">
        <f t="shared" si="167"/>
        <v>#NUM!</v>
      </c>
      <c r="BG159" s="20" t="e">
        <f t="shared" si="168"/>
        <v>#NUM!</v>
      </c>
      <c r="BH159" s="59" t="e">
        <f t="shared" si="116"/>
        <v>#NUM!</v>
      </c>
      <c r="BI159" s="59">
        <f ca="1">AVERAGE(OFFSET($BH$3,0,0,'Données projet'!$E$11+1,1))-AVERAGE(OFFSET($H$3,0,0,'Données projet'!$E$11+1,1))</f>
        <v>210.04871822652808</v>
      </c>
      <c r="BJ159" s="59">
        <f t="shared" si="146"/>
        <v>250.17540614049324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0.6021068205814325</v>
      </c>
      <c r="BQ159" s="21">
        <f>EXP(-LN(2)/25)*BQ158+(1-EXP(-LN(2)/25))/(LN(2)/25)*Calculateur!BL159*Calculateur!BN159*VLOOKUP('Données projet'!$B$11,Paramètres!$A$1:$I$89,3,0)*0.475*44/12</f>
        <v>0.84592753930140674</v>
      </c>
      <c r="BR159" s="21">
        <f>EXP(-LN(2)/2)*BR158+(1-EXP(-LN(2)/2))/(LN(2)/2)*BL159*BO159*VLOOKUP('Données projet'!$B$11,Paramètres!$A$1:$I$89,3,0)*0.475*44/12</f>
        <v>2.3368772994547561E-18</v>
      </c>
      <c r="BS159" s="22">
        <f t="shared" si="169"/>
        <v>1.4480343598828394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2.2737367544323206E-13</v>
      </c>
      <c r="BZ159" s="13">
        <f>BY159*VLOOKUP('Données projet'!$B$12,Paramètres!$A$1:$I$89,3,0)*VLOOKUP('Données projet'!$B$12,Paramètres!$A$1:$I$89,5,0)</f>
        <v>1.2414602679200471E-13</v>
      </c>
      <c r="CA159" s="13">
        <f t="shared" si="170"/>
        <v>1.8186582995804361E-12</v>
      </c>
      <c r="CB159" s="20">
        <f t="shared" si="171"/>
        <v>3.3837175350986671E-12</v>
      </c>
      <c r="CC159" s="59">
        <f t="shared" si="119"/>
        <v>293.33333333333672</v>
      </c>
      <c r="CD159" s="59">
        <f ca="1">AVERAGE(OFFSET($CC$3,0,0,'Données projet'!$E$12+1,1))-AVERAGE(OFFSET($H$3,0,0,'Données projet'!$E$12+1,1))</f>
        <v>168.72306536277267</v>
      </c>
      <c r="CE159" s="59">
        <f t="shared" si="148"/>
        <v>203.35476578922339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0.25087784190893025</v>
      </c>
      <c r="CL159" s="21">
        <f>EXP(-LN(2)/25)*CL158+(1-EXP(-LN(2)/25))/(LN(2)/25)*Calculateur!CG159*Calculateur!CI159*VLOOKUP('Données projet'!$B$12,Paramètres!$A$1:$I$89,3,0)*0.475*44/12</f>
        <v>0.69864046635850885</v>
      </c>
      <c r="CM159" s="21">
        <f>EXP(-LN(2)/2)*CM158+(1-EXP(-LN(2)/2))/(LN(2)/2)*CG159*CJ159*VLOOKUP('Données projet'!$B$12,Paramètres!$A$1:$I$89,3,0)*0.475*44/12</f>
        <v>2.1709898009185712E-18</v>
      </c>
      <c r="CN159" s="22">
        <f t="shared" si="172"/>
        <v>0.9495183082674391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1277.6923076923067</v>
      </c>
      <c r="CU159" s="17">
        <f>CT159*VLOOKUP('Données projet'!$B$13,Paramètres!$A$1:$I$89,3,0)*VLOOKUP('Données projet'!$B$13,Paramètres!$A$1:$I$89,5,0)</f>
        <v>614.5699999999996</v>
      </c>
      <c r="CV159" s="13">
        <f t="shared" si="173"/>
        <v>134.13240620831178</v>
      </c>
      <c r="CW159" s="20">
        <f t="shared" si="174"/>
        <v>1303.9900241461421</v>
      </c>
      <c r="CX159" s="59">
        <f t="shared" si="122"/>
        <v>1597.3233574794754</v>
      </c>
      <c r="CY159" s="59">
        <f ca="1">AVERAGE(OFFSET($CX$3,0,0,'Données projet'!$E$13+1,1))-AVERAGE(OFFSET($H$3,0,0,'Données projet'!$E$13+1,1))</f>
        <v>304.15237106473313</v>
      </c>
      <c r="CZ159" s="59">
        <f t="shared" si="150"/>
        <v>120.85458928724336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>
        <f>EXP(-LN(2)/35)*DF158+(1-EXP(-LN(2)/35))/(LN(2)/35)*DB159*DC159*VLOOKUP('Données projet'!$B$13,Paramètres!$A$1:$I$89,3,0)*0.475*44/12</f>
        <v>0</v>
      </c>
      <c r="DG159" s="21">
        <f>EXP(-LN(2)/25)*DG158+(1-EXP(-LN(2)/25))/(LN(2)/25)*Calculateur!DB159*Calculateur!DD159*VLOOKUP('Données projet'!$B$13,Paramètres!$A$1:$I$89,3,0)*0.475*44/12</f>
        <v>0</v>
      </c>
      <c r="DH159" s="21">
        <f>EXP(-LN(2)/2)*DH158+(1-EXP(-LN(2)/2))/(LN(2)/2)*DB159*DE159*VLOOKUP('Données projet'!$B$13,Paramètres!$A$1:$I$89,3,0)*0.475*44/12</f>
        <v>0</v>
      </c>
      <c r="DI159" s="22">
        <f t="shared" si="175"/>
        <v>0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425.38461538461536</v>
      </c>
      <c r="DP159" s="17">
        <f>DO159*VLOOKUP('Données projet'!$B$14,Paramètres!$A$1:$I$89,3,0)*VLOOKUP('Données projet'!$B$14,Paramètres!$A$1:$I$89,5,0)</f>
        <v>204.60999999999999</v>
      </c>
      <c r="DQ159" s="13">
        <f t="shared" si="176"/>
        <v>50.755958577224398</v>
      </c>
      <c r="DR159" s="20">
        <f t="shared" si="177"/>
        <v>444.76237785533249</v>
      </c>
      <c r="DS159" s="59">
        <f t="shared" si="125"/>
        <v>738.09571118866575</v>
      </c>
      <c r="DT159" s="59">
        <f ca="1">AVERAGE(OFFSET($DS$3,0,0,'Données projet'!$E$14+1,1))-AVERAGE(OFFSET($H$3,0,0,'Données projet'!$E$14+1,1))</f>
        <v>91.053246648097399</v>
      </c>
      <c r="DU159" s="59">
        <f t="shared" si="152"/>
        <v>64.716270355703955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>
        <f>EXP(-LN(2)/35)*EA158+(1-EXP(-LN(2)/35))/(LN(2)/35)*DW159*DX159*VLOOKUP('Données projet'!$B$14,Paramètres!$A$1:$I$89,3,0)*0.475*44/12</f>
        <v>0</v>
      </c>
      <c r="EB159" s="21">
        <f>EXP(-LN(2)/25)*EB158+(1-EXP(-LN(2)/25))/(LN(2)/25)*Calculateur!DW159*Calculateur!DY159*VLOOKUP('Données projet'!$B$14,Paramètres!$A$1:$I$89,3,0)*0.475*44/12</f>
        <v>0</v>
      </c>
      <c r="EC159" s="21">
        <f>EXP(-LN(2)/2)*EC158+(1-EXP(-LN(2)/2))/(LN(2)/2)*DW159*DZ159*VLOOKUP('Données projet'!$B$14,Paramètres!$A$1:$I$89,3,0)*0.475*44/12</f>
        <v>0</v>
      </c>
      <c r="ED159" s="22">
        <f t="shared" si="178"/>
        <v>0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553.99999999999955</v>
      </c>
      <c r="EK159" s="17">
        <f>EJ159*VLOOKUP('Données projet'!$B$15,Paramètres!$A$1:$I$89,3,0)*VLOOKUP('Données projet'!$B$15,Paramètres!$A$1:$I$89,5,0)</f>
        <v>331.29199999999975</v>
      </c>
      <c r="EL159" s="13">
        <f t="shared" si="179"/>
        <v>77.698110787752</v>
      </c>
      <c r="EM159" s="20">
        <f t="shared" si="180"/>
        <v>712.32444295533423</v>
      </c>
      <c r="EN159" s="59">
        <f t="shared" si="128"/>
        <v>1005.6577762886675</v>
      </c>
      <c r="EO159" s="59">
        <f ca="1">AVERAGE(OFFSET($EN$3,0,0,'Données projet'!$E$15+1,1))-AVERAGE(OFFSET($H$3,0,0,'Données projet'!$E$15+1,1))</f>
        <v>316.58509520829671</v>
      </c>
      <c r="EP159" s="59">
        <f t="shared" si="154"/>
        <v>240.71332110643596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>
        <f>EXP(-LN(2)/35)*EV158+(1-EXP(-LN(2)/35))/(LN(2)/35)*ER159*ES159*VLOOKUP('Données projet'!$B$15,Paramètres!$A$1:$I$89,3,0)*0.475*44/12</f>
        <v>0.20902220195779778</v>
      </c>
      <c r="EW159" s="21">
        <f>EXP(-LN(2)/25)*EW158+(1-EXP(-LN(2)/25))/(LN(2)/25)*Calculateur!ER159*Calculateur!ET159*VLOOKUP('Données projet'!$B$15,Paramètres!$A$1:$I$89,3,0)*0.475*44/12</f>
        <v>0.46407576442235898</v>
      </c>
      <c r="EX159" s="21">
        <f>EXP(-LN(2)/2)*EX158+(1-EXP(-LN(2)/2))/(LN(2)/2)*ER159*EU159*VLOOKUP('Données projet'!$B$15,Paramètres!$A$1:$I$89,3,0)*0.475*44/12</f>
        <v>2.3786683419551595E-18</v>
      </c>
      <c r="EY159" s="22">
        <f t="shared" si="181"/>
        <v>0.67309796638015673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497</v>
      </c>
      <c r="FF159" s="17">
        <f>FE159*VLOOKUP('Données projet'!$B$16,Paramètres!$A$1:$I$89,3,0)*VLOOKUP('Données projet'!$B$16,Paramètres!$A$1:$I$89,5,0)</f>
        <v>297.20600000000002</v>
      </c>
      <c r="FG159" s="13">
        <f t="shared" si="182"/>
        <v>70.590415164571112</v>
      </c>
      <c r="FH159" s="20">
        <f t="shared" si="183"/>
        <v>640.57875641162809</v>
      </c>
      <c r="FI159" s="59">
        <f t="shared" si="131"/>
        <v>933.91208974496135</v>
      </c>
      <c r="FJ159" s="59">
        <f ca="1">AVERAGE(OFFSET($FI$3,0,0,'Données projet'!$E$16+1,1))-AVERAGE(OFFSET($H$3,0,0,'Données projet'!$E$16+1,1))</f>
        <v>270.30888762640245</v>
      </c>
      <c r="FK159" s="59">
        <f t="shared" si="156"/>
        <v>202.23783851977691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>
        <f>EXP(-LN(2)/35)*FQ158+(1-EXP(-LN(2)/35))/(LN(2)/35)*FM159*FN159*VLOOKUP('Données projet'!$B$16,Paramètres!$A$1:$I$89,3,0)*0.475*44/12</f>
        <v>0.17663848052771622</v>
      </c>
      <c r="FR159" s="21">
        <f>EXP(-LN(2)/25)*FR158+(1-EXP(-LN(2)/25))/(LN(2)/25)*Calculateur!FM159*Calculateur!FO159*VLOOKUP('Données projet'!$B$16,Paramètres!$A$1:$I$89,3,0)*0.475*44/12</f>
        <v>0.37371859556856024</v>
      </c>
      <c r="FS159" s="21">
        <f>EXP(-LN(2)/2)*FS158+(1-EXP(-LN(2)/2))/(LN(2)/2)*FM159*FP159*VLOOKUP('Données projet'!$B$16,Paramètres!$A$1:$I$89,3,0)*0.475*44/12</f>
        <v>2.0049726404366827E-18</v>
      </c>
      <c r="FT159" s="22">
        <f t="shared" si="184"/>
        <v>0.55035707609627649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-5.1159076974727213E-13</v>
      </c>
      <c r="GA159" s="17">
        <f>FZ159*VLOOKUP('Données projet'!$B$17,Paramètres!$A$1:$I$89,3,0)*VLOOKUP('Données projet'!$B$17,Paramètres!$A$1:$I$89,5,0)</f>
        <v>-4.0702161641092972E-13</v>
      </c>
      <c r="GB159" s="13" t="e">
        <f t="shared" si="185"/>
        <v>#NUM!</v>
      </c>
      <c r="GC159" s="20" t="e">
        <f t="shared" si="186"/>
        <v>#NUM!</v>
      </c>
      <c r="GD159" s="59" t="e">
        <f t="shared" si="134"/>
        <v>#NUM!</v>
      </c>
      <c r="GE159" s="59">
        <f ca="1">AVERAGE(OFFSET($GD$3,0,0,'Données projet'!$E$17+1,1))-AVERAGE(OFFSET($H$3,0,0,'Données projet'!$E$17+1,1))</f>
        <v>260.20517190557814</v>
      </c>
      <c r="GF159" s="59">
        <f t="shared" si="158"/>
        <v>307.22009971147133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>
        <f>EXP(-LN(2)/35)*GL158+(1-EXP(-LN(2)/35))/(LN(2)/35)*GH159*GI159*VLOOKUP('Données projet'!$B$17,Paramètres!$A$1:$I$89,3,0)*0.475*44/12</f>
        <v>0.26909635185707903</v>
      </c>
      <c r="GM159" s="21">
        <f>EXP(-LN(2)/25)*GM158+(1-EXP(-LN(2)/25))/(LN(2)/25)*Calculateur!GH159*Calculateur!GJ159*VLOOKUP('Données projet'!$B$17,Paramètres!$A$1:$I$89,3,0)*0.475*44/12</f>
        <v>0.62370290966276298</v>
      </c>
      <c r="GN159" s="21">
        <f>EXP(-LN(2)/2)*GN158+(1-EXP(-LN(2)/2))/(LN(2)/2)*GH159*GK159*VLOOKUP('Données projet'!$B$17,Paramètres!$A$1:$I$89,3,0)*0.475*44/12</f>
        <v>2.6063173161292904E-18</v>
      </c>
      <c r="GO159" s="21">
        <f t="shared" si="187"/>
        <v>0.89279926151984201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5.6843418860808015E-14</v>
      </c>
      <c r="GV159" s="17">
        <f>GU159*VLOOKUP('Données projet'!$B$18,Paramètres!$A$1:$I$89,3,0)*VLOOKUP('Données projet'!$B$18,Paramètres!$A$1:$I$89,5,0)</f>
        <v>4.5224624045658861E-14</v>
      </c>
      <c r="GW159" s="13">
        <f t="shared" si="188"/>
        <v>7.4514601661523691E-13</v>
      </c>
      <c r="GX159" s="20">
        <f t="shared" si="189"/>
        <v>1.3765621991510601E-12</v>
      </c>
      <c r="GY159" s="59">
        <f t="shared" si="137"/>
        <v>293.33333333333468</v>
      </c>
      <c r="GZ159" s="59">
        <f ca="1">AVERAGE(OFFSET($GY$3,0,0,'Données projet'!$E$18+1,1))-AVERAGE(OFFSET($H$3,0,0,'Données projet'!$E$18+1,1))</f>
        <v>199.58763537752952</v>
      </c>
      <c r="HA159" s="59">
        <f t="shared" si="160"/>
        <v>242.62852778451929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>
        <f>EXP(-LN(2)/35)*HG158+(1-EXP(-LN(2)/35))/(LN(2)/35)*HC159*HD159*VLOOKUP('Données projet'!$B$18,Paramètres!$A$1:$I$89,3,0)*0.475*44/12</f>
        <v>0</v>
      </c>
      <c r="HH159" s="21">
        <f>EXP(-LN(2)/25)*HH158+(1-EXP(-LN(2)/25))/(LN(2)/25)*Calculateur!HC159*Calculateur!HE159*VLOOKUP('Données projet'!$B$18,Paramètres!$A$1:$I$89,3,0)*0.475*44/12</f>
        <v>0.31255587303429777</v>
      </c>
      <c r="HI159" s="21">
        <f>EXP(-LN(2)/2)*HI158+(1-EXP(-LN(2)/2))/(LN(2)/2)*HC159*HF159*VLOOKUP('Données projet'!$B$18,Paramètres!$A$1:$I$89,3,0)*0.475*44/12</f>
        <v>1.1667704989258977E-18</v>
      </c>
      <c r="HJ159" s="22">
        <f t="shared" si="190"/>
        <v>0.31255587303429777</v>
      </c>
    </row>
    <row r="160" spans="1:218" x14ac:dyDescent="0.2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139.60440000000008</v>
      </c>
      <c r="D160" s="11">
        <f t="shared" si="140"/>
        <v>36.206364170402217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1357.1357234206496</v>
      </c>
      <c r="H160" s="67">
        <f t="shared" si="110"/>
        <v>599.53708093011733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-2.2737367544323206E-13</v>
      </c>
      <c r="O160" s="13">
        <f>N160*VLOOKUP('Données projet'!$B$9,Paramètres!$A$1:$I$89,3,0)*VLOOKUP('Données projet'!$B$9,Paramètres!$A$1:$I$89,5,0)</f>
        <v>-1.2710188457276673E-13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255.5374979188561</v>
      </c>
      <c r="T160" s="59">
        <f t="shared" si="142"/>
        <v>343.10418468620901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0.24983620760863254</v>
      </c>
      <c r="AA160" s="21">
        <f>EXP(-LN(2)/25)*AA159+(1-EXP(-LN(2)/25))/(LN(2)/25)*Calculateur!V160*Calculateur!X160*VLOOKUP('Données projet'!$B$9,Paramètres!$A$1:$I$89,3,0)*0.475*44/12</f>
        <v>0.47185391230975288</v>
      </c>
      <c r="AB160" s="21">
        <f>EXP(-LN(2)/2)*AB159+(1-EXP(-LN(2)/2))/(LN(2)/2)*V160*Y160*VLOOKUP('Données projet'!$B$9,Paramètres!$A$1:$I$89,3,0)*0.475*44/12</f>
        <v>1.2976661450811714E-19</v>
      </c>
      <c r="AC160" s="22">
        <f t="shared" si="163"/>
        <v>0.72169011991838539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1.1368683772161603E-13</v>
      </c>
      <c r="AJ160" s="13">
        <f>AI160*VLOOKUP('Données projet'!$B$10,Paramètres!$A$1:$I$89,3,0)*VLOOKUP('Données projet'!$B$10,Paramètres!$A$1:$I$89,5,0)</f>
        <v>6.3550942286383367E-14</v>
      </c>
      <c r="AK160" s="13">
        <f t="shared" si="164"/>
        <v>1.0064464192543978E-12</v>
      </c>
      <c r="AL160" s="20">
        <f t="shared" si="165"/>
        <v>1.8635787380168604E-12</v>
      </c>
      <c r="AM160" s="59">
        <f t="shared" si="113"/>
        <v>293.33333333333519</v>
      </c>
      <c r="AN160" s="59">
        <f ca="1">AVERAGE(OFFSET($AM$3,0,0,'Données projet'!$E$10+1,1))-AVERAGE(OFFSET($H$3,0,0,'Données projet'!$E$10+1,1))</f>
        <v>224.7049802939942</v>
      </c>
      <c r="AO160" s="59">
        <f t="shared" si="144"/>
        <v>203.48513862195352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0.18039395215100285</v>
      </c>
      <c r="AV160" s="21">
        <f>EXP(-LN(2)/25)*AV159+(1-EXP(-LN(2)/25))/(LN(2)/25)*Calculateur!AQ160*Calculateur!AS160*VLOOKUP('Données projet'!$B$10,Paramètres!$A$1:$I$89,3,0)*0.475*44/12</f>
        <v>0.57722901798083193</v>
      </c>
      <c r="AW160" s="21">
        <f>EXP(-LN(2)/2)*AW159+(1-EXP(-LN(2)/2))/(LN(2)/2)*AQ160*AT160*VLOOKUP('Données projet'!$B$10,Paramètres!$A$1:$I$89,3,0)*0.475*44/12</f>
        <v>6.869624147682694E-19</v>
      </c>
      <c r="AX160" s="21">
        <f t="shared" si="166"/>
        <v>0.75762297013183477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>
        <f>BD160*VLOOKUP('Données projet'!$B$11,Paramètres!$A$1:$I$89,3,0)*VLOOKUP('Données projet'!$B$11,Paramètres!$A$1:$I$89,5,0)</f>
        <v>0</v>
      </c>
      <c r="BF160" s="13" t="e">
        <f t="shared" si="167"/>
        <v>#NUM!</v>
      </c>
      <c r="BG160" s="20" t="e">
        <f t="shared" si="168"/>
        <v>#NUM!</v>
      </c>
      <c r="BH160" s="59" t="e">
        <f t="shared" si="116"/>
        <v>#NUM!</v>
      </c>
      <c r="BI160" s="59">
        <f ca="1">AVERAGE(OFFSET($BH$3,0,0,'Données projet'!$E$11+1,1))-AVERAGE(OFFSET($H$3,0,0,'Données projet'!$E$11+1,1))</f>
        <v>210.04871822652808</v>
      </c>
      <c r="BJ160" s="59">
        <f t="shared" si="146"/>
        <v>250.17540614049324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0.59029987307872833</v>
      </c>
      <c r="BQ160" s="21">
        <f>EXP(-LN(2)/25)*BQ159+(1-EXP(-LN(2)/25))/(LN(2)/25)*Calculateur!BL160*Calculateur!BN160*VLOOKUP('Données projet'!$B$11,Paramètres!$A$1:$I$89,3,0)*0.475*44/12</f>
        <v>0.82279560625381387</v>
      </c>
      <c r="BR160" s="21">
        <f>EXP(-LN(2)/2)*BR159+(1-EXP(-LN(2)/2))/(LN(2)/2)*BL160*BO160*VLOOKUP('Données projet'!$B$11,Paramètres!$A$1:$I$89,3,0)*0.475*44/12</f>
        <v>1.6524217852453644E-18</v>
      </c>
      <c r="BS160" s="22">
        <f t="shared" si="169"/>
        <v>1.4130954793325423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2.2737367544323206E-13</v>
      </c>
      <c r="BZ160" s="13">
        <f>BY160*VLOOKUP('Données projet'!$B$12,Paramètres!$A$1:$I$89,3,0)*VLOOKUP('Données projet'!$B$12,Paramètres!$A$1:$I$89,5,0)</f>
        <v>1.2414602679200471E-13</v>
      </c>
      <c r="CA160" s="13">
        <f t="shared" si="170"/>
        <v>1.8186582995804361E-12</v>
      </c>
      <c r="CB160" s="20">
        <f t="shared" si="171"/>
        <v>3.3837175350986671E-12</v>
      </c>
      <c r="CC160" s="59">
        <f t="shared" si="119"/>
        <v>293.33333333333672</v>
      </c>
      <c r="CD160" s="59">
        <f ca="1">AVERAGE(OFFSET($CC$3,0,0,'Données projet'!$E$12+1,1))-AVERAGE(OFFSET($H$3,0,0,'Données projet'!$E$12+1,1))</f>
        <v>168.72306536277267</v>
      </c>
      <c r="CE160" s="59">
        <f t="shared" si="148"/>
        <v>203.35476578922339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0.24595828044947018</v>
      </c>
      <c r="CL160" s="21">
        <f>EXP(-LN(2)/25)*CL159+(1-EXP(-LN(2)/25))/(LN(2)/25)*Calculateur!CG160*Calculateur!CI160*VLOOKUP('Données projet'!$B$12,Paramètres!$A$1:$I$89,3,0)*0.475*44/12</f>
        <v>0.6795361060660301</v>
      </c>
      <c r="CM160" s="21">
        <f>EXP(-LN(2)/2)*CM159+(1-EXP(-LN(2)/2))/(LN(2)/2)*CG160*CJ160*VLOOKUP('Données projet'!$B$12,Paramètres!$A$1:$I$89,3,0)*0.475*44/12</f>
        <v>1.5351216101163545E-18</v>
      </c>
      <c r="CN160" s="22">
        <f t="shared" si="172"/>
        <v>0.92549438651550031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1277.6923076923067</v>
      </c>
      <c r="CU160" s="17">
        <f>CT160*VLOOKUP('Données projet'!$B$13,Paramètres!$A$1:$I$89,3,0)*VLOOKUP('Données projet'!$B$13,Paramètres!$A$1:$I$89,5,0)</f>
        <v>614.5699999999996</v>
      </c>
      <c r="CV160" s="13">
        <f t="shared" si="173"/>
        <v>134.13240620831178</v>
      </c>
      <c r="CW160" s="20">
        <f t="shared" si="174"/>
        <v>1303.9900241461421</v>
      </c>
      <c r="CX160" s="59">
        <f t="shared" si="122"/>
        <v>1597.3233574794754</v>
      </c>
      <c r="CY160" s="59">
        <f ca="1">AVERAGE(OFFSET($CX$3,0,0,'Données projet'!$E$13+1,1))-AVERAGE(OFFSET($H$3,0,0,'Données projet'!$E$13+1,1))</f>
        <v>304.15237106473313</v>
      </c>
      <c r="CZ160" s="59">
        <f t="shared" si="150"/>
        <v>120.85458928724336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>
        <f>EXP(-LN(2)/35)*DF159+(1-EXP(-LN(2)/35))/(LN(2)/35)*DB160*DC160*VLOOKUP('Données projet'!$B$13,Paramètres!$A$1:$I$89,3,0)*0.475*44/12</f>
        <v>0</v>
      </c>
      <c r="DG160" s="21">
        <f>EXP(-LN(2)/25)*DG159+(1-EXP(-LN(2)/25))/(LN(2)/25)*Calculateur!DB160*Calculateur!DD160*VLOOKUP('Données projet'!$B$13,Paramètres!$A$1:$I$89,3,0)*0.475*44/12</f>
        <v>0</v>
      </c>
      <c r="DH160" s="21">
        <f>EXP(-LN(2)/2)*DH159+(1-EXP(-LN(2)/2))/(LN(2)/2)*DB160*DE160*VLOOKUP('Données projet'!$B$13,Paramètres!$A$1:$I$89,3,0)*0.475*44/12</f>
        <v>0</v>
      </c>
      <c r="DI160" s="22">
        <f t="shared" si="175"/>
        <v>0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425.38461538461536</v>
      </c>
      <c r="DP160" s="17">
        <f>DO160*VLOOKUP('Données projet'!$B$14,Paramètres!$A$1:$I$89,3,0)*VLOOKUP('Données projet'!$B$14,Paramètres!$A$1:$I$89,5,0)</f>
        <v>204.60999999999999</v>
      </c>
      <c r="DQ160" s="13">
        <f t="shared" si="176"/>
        <v>50.755958577224398</v>
      </c>
      <c r="DR160" s="20">
        <f t="shared" si="177"/>
        <v>444.76237785533249</v>
      </c>
      <c r="DS160" s="59">
        <f t="shared" si="125"/>
        <v>738.09571118866575</v>
      </c>
      <c r="DT160" s="59">
        <f ca="1">AVERAGE(OFFSET($DS$3,0,0,'Données projet'!$E$14+1,1))-AVERAGE(OFFSET($H$3,0,0,'Données projet'!$E$14+1,1))</f>
        <v>91.053246648097399</v>
      </c>
      <c r="DU160" s="59">
        <f t="shared" si="152"/>
        <v>64.716270355703955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>
        <f>EXP(-LN(2)/35)*EA159+(1-EXP(-LN(2)/35))/(LN(2)/35)*DW160*DX160*VLOOKUP('Données projet'!$B$14,Paramètres!$A$1:$I$89,3,0)*0.475*44/12</f>
        <v>0</v>
      </c>
      <c r="EB160" s="21">
        <f>EXP(-LN(2)/25)*EB159+(1-EXP(-LN(2)/25))/(LN(2)/25)*Calculateur!DW160*Calculateur!DY160*VLOOKUP('Données projet'!$B$14,Paramètres!$A$1:$I$89,3,0)*0.475*44/12</f>
        <v>0</v>
      </c>
      <c r="EC160" s="21">
        <f>EXP(-LN(2)/2)*EC159+(1-EXP(-LN(2)/2))/(LN(2)/2)*DW160*DZ160*VLOOKUP('Données projet'!$B$14,Paramètres!$A$1:$I$89,3,0)*0.475*44/12</f>
        <v>0</v>
      </c>
      <c r="ED160" s="22">
        <f t="shared" si="178"/>
        <v>0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553.99999999999955</v>
      </c>
      <c r="EK160" s="17">
        <f>EJ160*VLOOKUP('Données projet'!$B$15,Paramètres!$A$1:$I$89,3,0)*VLOOKUP('Données projet'!$B$15,Paramètres!$A$1:$I$89,5,0)</f>
        <v>331.29199999999975</v>
      </c>
      <c r="EL160" s="13">
        <f t="shared" si="179"/>
        <v>77.698110787752</v>
      </c>
      <c r="EM160" s="20">
        <f t="shared" si="180"/>
        <v>712.32444295533423</v>
      </c>
      <c r="EN160" s="59">
        <f t="shared" si="128"/>
        <v>1005.6577762886675</v>
      </c>
      <c r="EO160" s="59">
        <f ca="1">AVERAGE(OFFSET($EN$3,0,0,'Données projet'!$E$15+1,1))-AVERAGE(OFFSET($H$3,0,0,'Données projet'!$E$15+1,1))</f>
        <v>316.58509520829671</v>
      </c>
      <c r="EP160" s="59">
        <f t="shared" si="154"/>
        <v>240.71332110643596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>
        <f>EXP(-LN(2)/35)*EV159+(1-EXP(-LN(2)/35))/(LN(2)/35)*ER160*ES160*VLOOKUP('Données projet'!$B$15,Paramètres!$A$1:$I$89,3,0)*0.475*44/12</f>
        <v>0.20492340406835988</v>
      </c>
      <c r="EW160" s="21">
        <f>EXP(-LN(2)/25)*EW159+(1-EXP(-LN(2)/25))/(LN(2)/25)*Calculateur!ER160*Calculateur!ET160*VLOOKUP('Données projet'!$B$15,Paramètres!$A$1:$I$89,3,0)*0.475*44/12</f>
        <v>0.45138558823954578</v>
      </c>
      <c r="EX160" s="21">
        <f>EXP(-LN(2)/2)*EX159+(1-EXP(-LN(2)/2))/(LN(2)/2)*ER160*EU160*VLOOKUP('Données projet'!$B$15,Paramètres!$A$1:$I$89,3,0)*0.475*44/12</f>
        <v>1.6819725147902548E-18</v>
      </c>
      <c r="EY160" s="22">
        <f t="shared" si="181"/>
        <v>0.65630899230790563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497</v>
      </c>
      <c r="FF160" s="17">
        <f>FE160*VLOOKUP('Données projet'!$B$16,Paramètres!$A$1:$I$89,3,0)*VLOOKUP('Données projet'!$B$16,Paramètres!$A$1:$I$89,5,0)</f>
        <v>297.20600000000002</v>
      </c>
      <c r="FG160" s="13">
        <f t="shared" si="182"/>
        <v>70.590415164571112</v>
      </c>
      <c r="FH160" s="20">
        <f t="shared" si="183"/>
        <v>640.57875641162809</v>
      </c>
      <c r="FI160" s="59">
        <f t="shared" si="131"/>
        <v>933.91208974496135</v>
      </c>
      <c r="FJ160" s="59">
        <f ca="1">AVERAGE(OFFSET($FI$3,0,0,'Données projet'!$E$16+1,1))-AVERAGE(OFFSET($H$3,0,0,'Données projet'!$E$16+1,1))</f>
        <v>270.30888762640245</v>
      </c>
      <c r="FK160" s="59">
        <f t="shared" si="156"/>
        <v>202.23783851977691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>
        <f>EXP(-LN(2)/35)*FQ159+(1-EXP(-LN(2)/35))/(LN(2)/35)*FM160*FN160*VLOOKUP('Données projet'!$B$16,Paramètres!$A$1:$I$89,3,0)*0.475*44/12</f>
        <v>0.17317470766340251</v>
      </c>
      <c r="FR160" s="21">
        <f>EXP(-LN(2)/25)*FR159+(1-EXP(-LN(2)/25))/(LN(2)/25)*Calculateur!FM160*Calculateur!FO160*VLOOKUP('Données projet'!$B$16,Paramètres!$A$1:$I$89,3,0)*0.475*44/12</f>
        <v>0.36349924091973118</v>
      </c>
      <c r="FS160" s="21">
        <f>EXP(-LN(2)/2)*FS159+(1-EXP(-LN(2)/2))/(LN(2)/2)*FM160*FP160*VLOOKUP('Données projet'!$B$16,Paramètres!$A$1:$I$89,3,0)*0.475*44/12</f>
        <v>1.4177297501462758E-18</v>
      </c>
      <c r="FT160" s="22">
        <f t="shared" si="184"/>
        <v>0.53667394858313366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-5.1159076974727213E-13</v>
      </c>
      <c r="GA160" s="17">
        <f>FZ160*VLOOKUP('Données projet'!$B$17,Paramètres!$A$1:$I$89,3,0)*VLOOKUP('Données projet'!$B$17,Paramètres!$A$1:$I$89,5,0)</f>
        <v>-4.0702161641092972E-13</v>
      </c>
      <c r="GB160" s="13" t="e">
        <f t="shared" si="185"/>
        <v>#NUM!</v>
      </c>
      <c r="GC160" s="20" t="e">
        <f t="shared" si="186"/>
        <v>#NUM!</v>
      </c>
      <c r="GD160" s="59" t="e">
        <f t="shared" si="134"/>
        <v>#NUM!</v>
      </c>
      <c r="GE160" s="59">
        <f ca="1">AVERAGE(OFFSET($GD$3,0,0,'Données projet'!$E$17+1,1))-AVERAGE(OFFSET($H$3,0,0,'Données projet'!$E$17+1,1))</f>
        <v>260.20517190557814</v>
      </c>
      <c r="GF160" s="59">
        <f t="shared" si="158"/>
        <v>307.22009971147133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>
        <f>EXP(-LN(2)/35)*GL159+(1-EXP(-LN(2)/35))/(LN(2)/35)*GH160*GI160*VLOOKUP('Données projet'!$B$17,Paramètres!$A$1:$I$89,3,0)*0.475*44/12</f>
        <v>0.26381953652972961</v>
      </c>
      <c r="GM160" s="21">
        <f>EXP(-LN(2)/25)*GM159+(1-EXP(-LN(2)/25))/(LN(2)/25)*Calculateur!GH160*Calculateur!GJ160*VLOOKUP('Données projet'!$B$17,Paramètres!$A$1:$I$89,3,0)*0.475*44/12</f>
        <v>0.60664772079892415</v>
      </c>
      <c r="GN160" s="21">
        <f>EXP(-LN(2)/2)*GN159+(1-EXP(-LN(2)/2))/(LN(2)/2)*GH160*GK160*VLOOKUP('Données projet'!$B$17,Paramètres!$A$1:$I$89,3,0)*0.475*44/12</f>
        <v>1.842944648158944E-18</v>
      </c>
      <c r="GO160" s="21">
        <f t="shared" si="187"/>
        <v>0.87046725732865382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5.6843418860808015E-14</v>
      </c>
      <c r="GV160" s="17">
        <f>GU160*VLOOKUP('Données projet'!$B$18,Paramètres!$A$1:$I$89,3,0)*VLOOKUP('Données projet'!$B$18,Paramètres!$A$1:$I$89,5,0)</f>
        <v>4.5224624045658861E-14</v>
      </c>
      <c r="GW160" s="13">
        <f t="shared" si="188"/>
        <v>7.4514601661523691E-13</v>
      </c>
      <c r="GX160" s="20">
        <f t="shared" si="189"/>
        <v>1.3765621991510601E-12</v>
      </c>
      <c r="GY160" s="59">
        <f t="shared" si="137"/>
        <v>293.33333333333468</v>
      </c>
      <c r="GZ160" s="59">
        <f ca="1">AVERAGE(OFFSET($GY$3,0,0,'Données projet'!$E$18+1,1))-AVERAGE(OFFSET($H$3,0,0,'Données projet'!$E$18+1,1))</f>
        <v>199.58763537752952</v>
      </c>
      <c r="HA160" s="59">
        <f t="shared" si="160"/>
        <v>242.62852778451929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>
        <f>EXP(-LN(2)/35)*HG159+(1-EXP(-LN(2)/35))/(LN(2)/35)*HC160*HD160*VLOOKUP('Données projet'!$B$18,Paramètres!$A$1:$I$89,3,0)*0.475*44/12</f>
        <v>0</v>
      </c>
      <c r="HH160" s="21">
        <f>EXP(-LN(2)/25)*HH159+(1-EXP(-LN(2)/25))/(LN(2)/25)*Calculateur!HC160*Calculateur!HE160*VLOOKUP('Données projet'!$B$18,Paramètres!$A$1:$I$89,3,0)*0.475*44/12</f>
        <v>0.30400901624957588</v>
      </c>
      <c r="HI160" s="21">
        <f>EXP(-LN(2)/2)*HI159+(1-EXP(-LN(2)/2))/(LN(2)/2)*HC160*HF160*VLOOKUP('Données projet'!$B$18,Paramètres!$A$1:$I$89,3,0)*0.475*44/12</f>
        <v>8.2503133187891362E-19</v>
      </c>
      <c r="HJ160" s="22">
        <f t="shared" si="190"/>
        <v>0.30400901624957588</v>
      </c>
    </row>
    <row r="161" spans="1:218" x14ac:dyDescent="0.2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140.49360000000007</v>
      </c>
      <c r="D161" s="11">
        <f t="shared" si="140"/>
        <v>36.410059151057943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1365.5721057274657</v>
      </c>
      <c r="H161" s="67">
        <f t="shared" si="110"/>
        <v>601.44053968809271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-2.2737367544323206E-13</v>
      </c>
      <c r="O161" s="13">
        <f>N161*VLOOKUP('Données projet'!$B$9,Paramètres!$A$1:$I$89,3,0)*VLOOKUP('Données projet'!$B$9,Paramètres!$A$1:$I$89,5,0)</f>
        <v>-1.2710188457276673E-13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255.5374979188561</v>
      </c>
      <c r="T161" s="59">
        <f t="shared" si="142"/>
        <v>343.10418468620901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0.24493707196246711</v>
      </c>
      <c r="AA161" s="21">
        <f>EXP(-LN(2)/25)*AA160+(1-EXP(-LN(2)/25))/(LN(2)/25)*Calculateur!V161*Calculateur!X161*VLOOKUP('Données projet'!$B$9,Paramètres!$A$1:$I$89,3,0)*0.475*44/12</f>
        <v>0.45895104226392386</v>
      </c>
      <c r="AB161" s="21">
        <f>EXP(-LN(2)/2)*AB160+(1-EXP(-LN(2)/2))/(LN(2)/2)*V161*Y161*VLOOKUP('Données projet'!$B$9,Paramètres!$A$1:$I$89,3,0)*0.475*44/12</f>
        <v>9.1758853090310253E-20</v>
      </c>
      <c r="AC161" s="22">
        <f t="shared" si="163"/>
        <v>0.70388811422639097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1.1368683772161603E-13</v>
      </c>
      <c r="AJ161" s="13">
        <f>AI161*VLOOKUP('Données projet'!$B$10,Paramètres!$A$1:$I$89,3,0)*VLOOKUP('Données projet'!$B$10,Paramètres!$A$1:$I$89,5,0)</f>
        <v>6.3550942286383367E-14</v>
      </c>
      <c r="AK161" s="13">
        <f t="shared" si="164"/>
        <v>1.0064464192543978E-12</v>
      </c>
      <c r="AL161" s="20">
        <f t="shared" si="165"/>
        <v>1.8635787380168604E-12</v>
      </c>
      <c r="AM161" s="59">
        <f t="shared" si="113"/>
        <v>293.33333333333519</v>
      </c>
      <c r="AN161" s="59">
        <f ca="1">AVERAGE(OFFSET($AM$3,0,0,'Données projet'!$E$10+1,1))-AVERAGE(OFFSET($H$3,0,0,'Données projet'!$E$10+1,1))</f>
        <v>224.7049802939942</v>
      </c>
      <c r="AO161" s="59">
        <f t="shared" si="144"/>
        <v>203.48513862195352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0.17685653677876798</v>
      </c>
      <c r="AV161" s="21">
        <f>EXP(-LN(2)/25)*AV160+(1-EXP(-LN(2)/25))/(LN(2)/25)*Calculateur!AQ161*Calculateur!AS161*VLOOKUP('Données projet'!$B$10,Paramètres!$A$1:$I$89,3,0)*0.475*44/12</f>
        <v>0.5614446601289913</v>
      </c>
      <c r="AW161" s="21">
        <f>EXP(-LN(2)/2)*AW160+(1-EXP(-LN(2)/2))/(LN(2)/2)*AQ161*AT161*VLOOKUP('Données projet'!$B$10,Paramètres!$A$1:$I$89,3,0)*0.475*44/12</f>
        <v>4.8575578190292898E-19</v>
      </c>
      <c r="AX161" s="21">
        <f t="shared" si="166"/>
        <v>0.73830119690775931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>
        <f>BD161*VLOOKUP('Données projet'!$B$11,Paramètres!$A$1:$I$89,3,0)*VLOOKUP('Données projet'!$B$11,Paramètres!$A$1:$I$89,5,0)</f>
        <v>0</v>
      </c>
      <c r="BF161" s="13" t="e">
        <f t="shared" si="167"/>
        <v>#NUM!</v>
      </c>
      <c r="BG161" s="20" t="e">
        <f t="shared" si="168"/>
        <v>#NUM!</v>
      </c>
      <c r="BH161" s="59" t="e">
        <f t="shared" si="116"/>
        <v>#NUM!</v>
      </c>
      <c r="BI161" s="59">
        <f ca="1">AVERAGE(OFFSET($BH$3,0,0,'Données projet'!$E$11+1,1))-AVERAGE(OFFSET($H$3,0,0,'Données projet'!$E$11+1,1))</f>
        <v>210.04871822652808</v>
      </c>
      <c r="BJ161" s="59">
        <f t="shared" si="146"/>
        <v>250.17540614049324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0.57872445261502536</v>
      </c>
      <c r="BQ161" s="21">
        <f>EXP(-LN(2)/25)*BQ160+(1-EXP(-LN(2)/25))/(LN(2)/25)*Calculateur!BL161*Calculateur!BN161*VLOOKUP('Données projet'!$B$11,Paramètres!$A$1:$I$89,3,0)*0.475*44/12</f>
        <v>0.80029621713186294</v>
      </c>
      <c r="BR161" s="21">
        <f>EXP(-LN(2)/2)*BR160+(1-EXP(-LN(2)/2))/(LN(2)/2)*BL161*BO161*VLOOKUP('Données projet'!$B$11,Paramètres!$A$1:$I$89,3,0)*0.475*44/12</f>
        <v>1.1684386497273781E-18</v>
      </c>
      <c r="BS161" s="22">
        <f t="shared" si="169"/>
        <v>1.3790206697468883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2.2737367544323206E-13</v>
      </c>
      <c r="BZ161" s="13">
        <f>BY161*VLOOKUP('Données projet'!$B$12,Paramètres!$A$1:$I$89,3,0)*VLOOKUP('Données projet'!$B$12,Paramètres!$A$1:$I$89,5,0)</f>
        <v>1.2414602679200471E-13</v>
      </c>
      <c r="CA161" s="13">
        <f t="shared" si="170"/>
        <v>1.8186582995804361E-12</v>
      </c>
      <c r="CB161" s="20">
        <f t="shared" si="171"/>
        <v>3.3837175350986671E-12</v>
      </c>
      <c r="CC161" s="59">
        <f t="shared" si="119"/>
        <v>293.33333333333672</v>
      </c>
      <c r="CD161" s="59">
        <f ca="1">AVERAGE(OFFSET($CC$3,0,0,'Données projet'!$E$12+1,1))-AVERAGE(OFFSET($H$3,0,0,'Données projet'!$E$12+1,1))</f>
        <v>168.72306536277267</v>
      </c>
      <c r="CE161" s="59">
        <f t="shared" si="148"/>
        <v>203.35476578922339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0.24113518858959393</v>
      </c>
      <c r="CL161" s="21">
        <f>EXP(-LN(2)/25)*CL160+(1-EXP(-LN(2)/25))/(LN(2)/25)*Calculateur!CG161*Calculateur!CI161*VLOOKUP('Données projet'!$B$12,Paramètres!$A$1:$I$89,3,0)*0.475*44/12</f>
        <v>0.66095415551040382</v>
      </c>
      <c r="CM161" s="21">
        <f>EXP(-LN(2)/2)*CM160+(1-EXP(-LN(2)/2))/(LN(2)/2)*CG161*CJ161*VLOOKUP('Données projet'!$B$12,Paramètres!$A$1:$I$89,3,0)*0.475*44/12</f>
        <v>1.0854949004592856E-18</v>
      </c>
      <c r="CN161" s="22">
        <f t="shared" si="172"/>
        <v>0.90208934409999775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1277.6923076923067</v>
      </c>
      <c r="CU161" s="17">
        <f>CT161*VLOOKUP('Données projet'!$B$13,Paramètres!$A$1:$I$89,3,0)*VLOOKUP('Données projet'!$B$13,Paramètres!$A$1:$I$89,5,0)</f>
        <v>614.5699999999996</v>
      </c>
      <c r="CV161" s="13">
        <f t="shared" si="173"/>
        <v>134.13240620831178</v>
      </c>
      <c r="CW161" s="20">
        <f t="shared" si="174"/>
        <v>1303.9900241461421</v>
      </c>
      <c r="CX161" s="59">
        <f t="shared" si="122"/>
        <v>1597.3233574794754</v>
      </c>
      <c r="CY161" s="59">
        <f ca="1">AVERAGE(OFFSET($CX$3,0,0,'Données projet'!$E$13+1,1))-AVERAGE(OFFSET($H$3,0,0,'Données projet'!$E$13+1,1))</f>
        <v>304.15237106473313</v>
      </c>
      <c r="CZ161" s="59">
        <f t="shared" si="150"/>
        <v>120.85458928724336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>
        <f>EXP(-LN(2)/35)*DF160+(1-EXP(-LN(2)/35))/(LN(2)/35)*DB161*DC161*VLOOKUP('Données projet'!$B$13,Paramètres!$A$1:$I$89,3,0)*0.475*44/12</f>
        <v>0</v>
      </c>
      <c r="DG161" s="21">
        <f>EXP(-LN(2)/25)*DG160+(1-EXP(-LN(2)/25))/(LN(2)/25)*Calculateur!DB161*Calculateur!DD161*VLOOKUP('Données projet'!$B$13,Paramètres!$A$1:$I$89,3,0)*0.475*44/12</f>
        <v>0</v>
      </c>
      <c r="DH161" s="21">
        <f>EXP(-LN(2)/2)*DH160+(1-EXP(-LN(2)/2))/(LN(2)/2)*DB161*DE161*VLOOKUP('Données projet'!$B$13,Paramètres!$A$1:$I$89,3,0)*0.475*44/12</f>
        <v>0</v>
      </c>
      <c r="DI161" s="22">
        <f t="shared" si="175"/>
        <v>0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425.38461538461536</v>
      </c>
      <c r="DP161" s="17">
        <f>DO161*VLOOKUP('Données projet'!$B$14,Paramètres!$A$1:$I$89,3,0)*VLOOKUP('Données projet'!$B$14,Paramètres!$A$1:$I$89,5,0)</f>
        <v>204.60999999999999</v>
      </c>
      <c r="DQ161" s="13">
        <f t="shared" si="176"/>
        <v>50.755958577224398</v>
      </c>
      <c r="DR161" s="20">
        <f t="shared" si="177"/>
        <v>444.76237785533249</v>
      </c>
      <c r="DS161" s="59">
        <f t="shared" si="125"/>
        <v>738.09571118866575</v>
      </c>
      <c r="DT161" s="59">
        <f ca="1">AVERAGE(OFFSET($DS$3,0,0,'Données projet'!$E$14+1,1))-AVERAGE(OFFSET($H$3,0,0,'Données projet'!$E$14+1,1))</f>
        <v>91.053246648097399</v>
      </c>
      <c r="DU161" s="59">
        <f t="shared" si="152"/>
        <v>64.716270355703955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>
        <f>EXP(-LN(2)/35)*EA160+(1-EXP(-LN(2)/35))/(LN(2)/35)*DW161*DX161*VLOOKUP('Données projet'!$B$14,Paramètres!$A$1:$I$89,3,0)*0.475*44/12</f>
        <v>0</v>
      </c>
      <c r="EB161" s="21">
        <f>EXP(-LN(2)/25)*EB160+(1-EXP(-LN(2)/25))/(LN(2)/25)*Calculateur!DW161*Calculateur!DY161*VLOOKUP('Données projet'!$B$14,Paramètres!$A$1:$I$89,3,0)*0.475*44/12</f>
        <v>0</v>
      </c>
      <c r="EC161" s="21">
        <f>EXP(-LN(2)/2)*EC160+(1-EXP(-LN(2)/2))/(LN(2)/2)*DW161*DZ161*VLOOKUP('Données projet'!$B$14,Paramètres!$A$1:$I$89,3,0)*0.475*44/12</f>
        <v>0</v>
      </c>
      <c r="ED161" s="22">
        <f t="shared" si="178"/>
        <v>0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553.99999999999955</v>
      </c>
      <c r="EK161" s="17">
        <f>EJ161*VLOOKUP('Données projet'!$B$15,Paramètres!$A$1:$I$89,3,0)*VLOOKUP('Données projet'!$B$15,Paramètres!$A$1:$I$89,5,0)</f>
        <v>331.29199999999975</v>
      </c>
      <c r="EL161" s="13">
        <f t="shared" si="179"/>
        <v>77.698110787752</v>
      </c>
      <c r="EM161" s="20">
        <f t="shared" si="180"/>
        <v>712.32444295533423</v>
      </c>
      <c r="EN161" s="59">
        <f t="shared" si="128"/>
        <v>1005.6577762886675</v>
      </c>
      <c r="EO161" s="59">
        <f ca="1">AVERAGE(OFFSET($EN$3,0,0,'Données projet'!$E$15+1,1))-AVERAGE(OFFSET($H$3,0,0,'Données projet'!$E$15+1,1))</f>
        <v>316.58509520829671</v>
      </c>
      <c r="EP161" s="59">
        <f t="shared" si="154"/>
        <v>240.71332110643596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>
        <f>EXP(-LN(2)/35)*EV160+(1-EXP(-LN(2)/35))/(LN(2)/35)*ER161*ES161*VLOOKUP('Données projet'!$B$15,Paramètres!$A$1:$I$89,3,0)*0.475*44/12</f>
        <v>0.200904981105514</v>
      </c>
      <c r="EW161" s="21">
        <f>EXP(-LN(2)/25)*EW160+(1-EXP(-LN(2)/25))/(LN(2)/25)*Calculateur!ER161*Calculateur!ET161*VLOOKUP('Données projet'!$B$15,Paramètres!$A$1:$I$89,3,0)*0.475*44/12</f>
        <v>0.43904242559179896</v>
      </c>
      <c r="EX161" s="21">
        <f>EXP(-LN(2)/2)*EX160+(1-EXP(-LN(2)/2))/(LN(2)/2)*ER161*EU161*VLOOKUP('Données projet'!$B$15,Paramètres!$A$1:$I$89,3,0)*0.475*44/12</f>
        <v>1.1893341709775798E-18</v>
      </c>
      <c r="EY161" s="22">
        <f t="shared" si="181"/>
        <v>0.63994740669731298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497</v>
      </c>
      <c r="FF161" s="17">
        <f>FE161*VLOOKUP('Données projet'!$B$16,Paramètres!$A$1:$I$89,3,0)*VLOOKUP('Données projet'!$B$16,Paramètres!$A$1:$I$89,5,0)</f>
        <v>297.20600000000002</v>
      </c>
      <c r="FG161" s="13">
        <f t="shared" si="182"/>
        <v>70.590415164571112</v>
      </c>
      <c r="FH161" s="20">
        <f t="shared" si="183"/>
        <v>640.57875641162809</v>
      </c>
      <c r="FI161" s="59">
        <f t="shared" si="131"/>
        <v>933.91208974496135</v>
      </c>
      <c r="FJ161" s="59">
        <f ca="1">AVERAGE(OFFSET($FI$3,0,0,'Données projet'!$E$16+1,1))-AVERAGE(OFFSET($H$3,0,0,'Données projet'!$E$16+1,1))</f>
        <v>270.30888762640245</v>
      </c>
      <c r="FK161" s="59">
        <f t="shared" si="156"/>
        <v>202.23783851977691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>
        <f>EXP(-LN(2)/35)*FQ160+(1-EXP(-LN(2)/35))/(LN(2)/35)*FM161*FN161*VLOOKUP('Données projet'!$B$16,Paramètres!$A$1:$I$89,3,0)*0.475*44/12</f>
        <v>0.16977885727226516</v>
      </c>
      <c r="FR161" s="21">
        <f>EXP(-LN(2)/25)*FR160+(1-EXP(-LN(2)/25))/(LN(2)/25)*Calculateur!FM161*Calculateur!FO161*VLOOKUP('Données projet'!$B$16,Paramètres!$A$1:$I$89,3,0)*0.475*44/12</f>
        <v>0.35355933506118686</v>
      </c>
      <c r="FS161" s="21">
        <f>EXP(-LN(2)/2)*FS160+(1-EXP(-LN(2)/2))/(LN(2)/2)*FM161*FP161*VLOOKUP('Données projet'!$B$16,Paramètres!$A$1:$I$89,3,0)*0.475*44/12</f>
        <v>1.0024863202183413E-18</v>
      </c>
      <c r="FT161" s="22">
        <f t="shared" si="184"/>
        <v>0.52333819233345202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-5.1159076974727213E-13</v>
      </c>
      <c r="GA161" s="17">
        <f>FZ161*VLOOKUP('Données projet'!$B$17,Paramètres!$A$1:$I$89,3,0)*VLOOKUP('Données projet'!$B$17,Paramètres!$A$1:$I$89,5,0)</f>
        <v>-4.0702161641092972E-13</v>
      </c>
      <c r="GB161" s="13" t="e">
        <f t="shared" si="185"/>
        <v>#NUM!</v>
      </c>
      <c r="GC161" s="20" t="e">
        <f t="shared" si="186"/>
        <v>#NUM!</v>
      </c>
      <c r="GD161" s="59" t="e">
        <f t="shared" si="134"/>
        <v>#NUM!</v>
      </c>
      <c r="GE161" s="59">
        <f ca="1">AVERAGE(OFFSET($GD$3,0,0,'Données projet'!$E$17+1,1))-AVERAGE(OFFSET($H$3,0,0,'Données projet'!$E$17+1,1))</f>
        <v>260.20517190557814</v>
      </c>
      <c r="GF161" s="59">
        <f t="shared" si="158"/>
        <v>307.22009971147133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>
        <f>EXP(-LN(2)/35)*GL160+(1-EXP(-LN(2)/35))/(LN(2)/35)*GH161*GI161*VLOOKUP('Données projet'!$B$17,Paramètres!$A$1:$I$89,3,0)*0.475*44/12</f>
        <v>0.25864619633240998</v>
      </c>
      <c r="GM161" s="21">
        <f>EXP(-LN(2)/25)*GM160+(1-EXP(-LN(2)/25))/(LN(2)/25)*Calculateur!GH161*Calculateur!GJ161*VLOOKUP('Données projet'!$B$17,Paramètres!$A$1:$I$89,3,0)*0.475*44/12</f>
        <v>0.59005890697146046</v>
      </c>
      <c r="GN161" s="21">
        <f>EXP(-LN(2)/2)*GN160+(1-EXP(-LN(2)/2))/(LN(2)/2)*GH161*GK161*VLOOKUP('Données projet'!$B$17,Paramètres!$A$1:$I$89,3,0)*0.475*44/12</f>
        <v>1.3031586580646452E-18</v>
      </c>
      <c r="GO161" s="21">
        <f t="shared" si="187"/>
        <v>0.84870510330387039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5.6843418860808015E-14</v>
      </c>
      <c r="GV161" s="17">
        <f>GU161*VLOOKUP('Données projet'!$B$18,Paramètres!$A$1:$I$89,3,0)*VLOOKUP('Données projet'!$B$18,Paramètres!$A$1:$I$89,5,0)</f>
        <v>4.5224624045658861E-14</v>
      </c>
      <c r="GW161" s="13">
        <f t="shared" si="188"/>
        <v>7.4514601661523691E-13</v>
      </c>
      <c r="GX161" s="20">
        <f t="shared" si="189"/>
        <v>1.3765621991510601E-12</v>
      </c>
      <c r="GY161" s="59">
        <f t="shared" si="137"/>
        <v>293.33333333333468</v>
      </c>
      <c r="GZ161" s="59">
        <f ca="1">AVERAGE(OFFSET($GY$3,0,0,'Données projet'!$E$18+1,1))-AVERAGE(OFFSET($H$3,0,0,'Données projet'!$E$18+1,1))</f>
        <v>199.58763537752952</v>
      </c>
      <c r="HA161" s="59">
        <f t="shared" si="160"/>
        <v>242.62852778451929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>
        <f>EXP(-LN(2)/35)*HG160+(1-EXP(-LN(2)/35))/(LN(2)/35)*HC161*HD161*VLOOKUP('Données projet'!$B$18,Paramètres!$A$1:$I$89,3,0)*0.475*44/12</f>
        <v>0</v>
      </c>
      <c r="HH161" s="21">
        <f>EXP(-LN(2)/25)*HH160+(1-EXP(-LN(2)/25))/(LN(2)/25)*Calculateur!HC161*Calculateur!HE161*VLOOKUP('Données projet'!$B$18,Paramètres!$A$1:$I$89,3,0)*0.475*44/12</f>
        <v>0.29569587371309186</v>
      </c>
      <c r="HI161" s="21">
        <f>EXP(-LN(2)/2)*HI160+(1-EXP(-LN(2)/2))/(LN(2)/2)*HC161*HF161*VLOOKUP('Données projet'!$B$18,Paramètres!$A$1:$I$89,3,0)*0.475*44/12</f>
        <v>5.8338524946294884E-19</v>
      </c>
      <c r="HJ161" s="22">
        <f t="shared" si="190"/>
        <v>0.29569587371309186</v>
      </c>
    </row>
    <row r="162" spans="1:218" x14ac:dyDescent="0.2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141.38280000000006</v>
      </c>
      <c r="D162" s="11">
        <f t="shared" si="140"/>
        <v>36.613604122020263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1374.0073300647182</v>
      </c>
      <c r="H162" s="67">
        <f t="shared" si="110"/>
        <v>603.34373717918538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-2.2737367544323206E-13</v>
      </c>
      <c r="O162" s="13">
        <f>N162*VLOOKUP('Données projet'!$B$9,Paramètres!$A$1:$I$89,3,0)*VLOOKUP('Données projet'!$B$9,Paramètres!$A$1:$I$89,5,0)</f>
        <v>-1.2710188457276673E-13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255.5374979188561</v>
      </c>
      <c r="T162" s="59">
        <f t="shared" si="142"/>
        <v>343.10418468620901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0.2401340053781453</v>
      </c>
      <c r="AA162" s="21">
        <f>EXP(-LN(2)/25)*AA161+(1-EXP(-LN(2)/25))/(LN(2)/25)*Calculateur!V162*Calculateur!X162*VLOOKUP('Données projet'!$B$9,Paramètres!$A$1:$I$89,3,0)*0.475*44/12</f>
        <v>0.4464010018780305</v>
      </c>
      <c r="AB162" s="21">
        <f>EXP(-LN(2)/2)*AB161+(1-EXP(-LN(2)/2))/(LN(2)/2)*V162*Y162*VLOOKUP('Données projet'!$B$9,Paramètres!$A$1:$I$89,3,0)*0.475*44/12</f>
        <v>6.4883307254058571E-20</v>
      </c>
      <c r="AC162" s="22">
        <f t="shared" si="163"/>
        <v>0.68653500725617578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1.1368683772161603E-13</v>
      </c>
      <c r="AJ162" s="13">
        <f>AI162*VLOOKUP('Données projet'!$B$10,Paramètres!$A$1:$I$89,3,0)*VLOOKUP('Données projet'!$B$10,Paramètres!$A$1:$I$89,5,0)</f>
        <v>6.3550942286383367E-14</v>
      </c>
      <c r="AK162" s="13">
        <f t="shared" si="164"/>
        <v>1.0064464192543978E-12</v>
      </c>
      <c r="AL162" s="20">
        <f t="shared" si="165"/>
        <v>1.8635787380168604E-12</v>
      </c>
      <c r="AM162" s="59">
        <f t="shared" si="113"/>
        <v>293.33333333333519</v>
      </c>
      <c r="AN162" s="59">
        <f ca="1">AVERAGE(OFFSET($AM$3,0,0,'Données projet'!$E$10+1,1))-AVERAGE(OFFSET($H$3,0,0,'Données projet'!$E$10+1,1))</f>
        <v>224.7049802939942</v>
      </c>
      <c r="AO162" s="59">
        <f t="shared" si="144"/>
        <v>203.48513862195352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0.17338848796437231</v>
      </c>
      <c r="AV162" s="21">
        <f>EXP(-LN(2)/25)*AV161+(1-EXP(-LN(2)/25))/(LN(2)/25)*Calculateur!AQ162*Calculateur!AS162*VLOOKUP('Données projet'!$B$10,Paramètres!$A$1:$I$89,3,0)*0.475*44/12</f>
        <v>0.54609192637267256</v>
      </c>
      <c r="AW162" s="21">
        <f>EXP(-LN(2)/2)*AW161+(1-EXP(-LN(2)/2))/(LN(2)/2)*AQ162*AT162*VLOOKUP('Données projet'!$B$10,Paramètres!$A$1:$I$89,3,0)*0.475*44/12</f>
        <v>3.434812073841347E-19</v>
      </c>
      <c r="AX162" s="21">
        <f t="shared" si="166"/>
        <v>0.7194804143370449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>
        <f>BD162*VLOOKUP('Données projet'!$B$11,Paramètres!$A$1:$I$89,3,0)*VLOOKUP('Données projet'!$B$11,Paramètres!$A$1:$I$89,5,0)</f>
        <v>0</v>
      </c>
      <c r="BF162" s="13" t="e">
        <f t="shared" si="167"/>
        <v>#NUM!</v>
      </c>
      <c r="BG162" s="20" t="e">
        <f t="shared" si="168"/>
        <v>#NUM!</v>
      </c>
      <c r="BH162" s="59" t="e">
        <f t="shared" si="116"/>
        <v>#NUM!</v>
      </c>
      <c r="BI162" s="59">
        <f ca="1">AVERAGE(OFFSET($BH$3,0,0,'Données projet'!$E$11+1,1))-AVERAGE(OFFSET($H$3,0,0,'Données projet'!$E$11+1,1))</f>
        <v>210.04871822652808</v>
      </c>
      <c r="BJ162" s="59">
        <f t="shared" si="146"/>
        <v>250.17540614049324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0.56737601908630619</v>
      </c>
      <c r="BQ162" s="21">
        <f>EXP(-LN(2)/25)*BQ161+(1-EXP(-LN(2)/25))/(LN(2)/25)*Calculateur!BL162*Calculateur!BN162*VLOOKUP('Données projet'!$B$11,Paramètres!$A$1:$I$89,3,0)*0.475*44/12</f>
        <v>0.77841207498864318</v>
      </c>
      <c r="BR162" s="21">
        <f>EXP(-LN(2)/2)*BR161+(1-EXP(-LN(2)/2))/(LN(2)/2)*BL162*BO162*VLOOKUP('Données projet'!$B$11,Paramètres!$A$1:$I$89,3,0)*0.475*44/12</f>
        <v>8.2621089262268218E-19</v>
      </c>
      <c r="BS162" s="22">
        <f t="shared" si="169"/>
        <v>1.3457880940749494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2.2737367544323206E-13</v>
      </c>
      <c r="BZ162" s="13">
        <f>BY162*VLOOKUP('Données projet'!$B$12,Paramètres!$A$1:$I$89,3,0)*VLOOKUP('Données projet'!$B$12,Paramètres!$A$1:$I$89,5,0)</f>
        <v>1.2414602679200471E-13</v>
      </c>
      <c r="CA162" s="13">
        <f t="shared" si="170"/>
        <v>1.8186582995804361E-12</v>
      </c>
      <c r="CB162" s="20">
        <f t="shared" si="171"/>
        <v>3.3837175350986671E-12</v>
      </c>
      <c r="CC162" s="59">
        <f t="shared" si="119"/>
        <v>293.33333333333672</v>
      </c>
      <c r="CD162" s="59">
        <f ca="1">AVERAGE(OFFSET($CC$3,0,0,'Données projet'!$E$12+1,1))-AVERAGE(OFFSET($H$3,0,0,'Données projet'!$E$12+1,1))</f>
        <v>168.72306536277267</v>
      </c>
      <c r="CE162" s="59">
        <f t="shared" si="148"/>
        <v>203.35476578922339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0.23640667461929429</v>
      </c>
      <c r="CL162" s="21">
        <f>EXP(-LN(2)/25)*CL161+(1-EXP(-LN(2)/25))/(LN(2)/25)*Calculateur!CG162*Calculateur!CI162*VLOOKUP('Données projet'!$B$12,Paramètres!$A$1:$I$89,3,0)*0.475*44/12</f>
        <v>0.64288032936990347</v>
      </c>
      <c r="CM162" s="21">
        <f>EXP(-LN(2)/2)*CM161+(1-EXP(-LN(2)/2))/(LN(2)/2)*CG162*CJ162*VLOOKUP('Données projet'!$B$12,Paramètres!$A$1:$I$89,3,0)*0.475*44/12</f>
        <v>7.6756080505817726E-19</v>
      </c>
      <c r="CN162" s="22">
        <f t="shared" si="172"/>
        <v>0.87928700398919779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1277.6923076923067</v>
      </c>
      <c r="CU162" s="17">
        <f>CT162*VLOOKUP('Données projet'!$B$13,Paramètres!$A$1:$I$89,3,0)*VLOOKUP('Données projet'!$B$13,Paramètres!$A$1:$I$89,5,0)</f>
        <v>614.5699999999996</v>
      </c>
      <c r="CV162" s="13">
        <f t="shared" si="173"/>
        <v>134.13240620831178</v>
      </c>
      <c r="CW162" s="20">
        <f t="shared" si="174"/>
        <v>1303.9900241461421</v>
      </c>
      <c r="CX162" s="59">
        <f t="shared" si="122"/>
        <v>1597.3233574794754</v>
      </c>
      <c r="CY162" s="59">
        <f ca="1">AVERAGE(OFFSET($CX$3,0,0,'Données projet'!$E$13+1,1))-AVERAGE(OFFSET($H$3,0,0,'Données projet'!$E$13+1,1))</f>
        <v>304.15237106473313</v>
      </c>
      <c r="CZ162" s="59">
        <f t="shared" si="150"/>
        <v>120.85458928724336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>
        <f>EXP(-LN(2)/35)*DF161+(1-EXP(-LN(2)/35))/(LN(2)/35)*DB162*DC162*VLOOKUP('Données projet'!$B$13,Paramètres!$A$1:$I$89,3,0)*0.475*44/12</f>
        <v>0</v>
      </c>
      <c r="DG162" s="21">
        <f>EXP(-LN(2)/25)*DG161+(1-EXP(-LN(2)/25))/(LN(2)/25)*Calculateur!DB162*Calculateur!DD162*VLOOKUP('Données projet'!$B$13,Paramètres!$A$1:$I$89,3,0)*0.475*44/12</f>
        <v>0</v>
      </c>
      <c r="DH162" s="21">
        <f>EXP(-LN(2)/2)*DH161+(1-EXP(-LN(2)/2))/(LN(2)/2)*DB162*DE162*VLOOKUP('Données projet'!$B$13,Paramètres!$A$1:$I$89,3,0)*0.475*44/12</f>
        <v>0</v>
      </c>
      <c r="DI162" s="22">
        <f t="shared" si="175"/>
        <v>0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425.38461538461536</v>
      </c>
      <c r="DP162" s="17">
        <f>DO162*VLOOKUP('Données projet'!$B$14,Paramètres!$A$1:$I$89,3,0)*VLOOKUP('Données projet'!$B$14,Paramètres!$A$1:$I$89,5,0)</f>
        <v>204.60999999999999</v>
      </c>
      <c r="DQ162" s="13">
        <f t="shared" si="176"/>
        <v>50.755958577224398</v>
      </c>
      <c r="DR162" s="20">
        <f t="shared" si="177"/>
        <v>444.76237785533249</v>
      </c>
      <c r="DS162" s="59">
        <f t="shared" si="125"/>
        <v>738.09571118866575</v>
      </c>
      <c r="DT162" s="59">
        <f ca="1">AVERAGE(OFFSET($DS$3,0,0,'Données projet'!$E$14+1,1))-AVERAGE(OFFSET($H$3,0,0,'Données projet'!$E$14+1,1))</f>
        <v>91.053246648097399</v>
      </c>
      <c r="DU162" s="59">
        <f t="shared" si="152"/>
        <v>64.716270355703955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>
        <f>EXP(-LN(2)/35)*EA161+(1-EXP(-LN(2)/35))/(LN(2)/35)*DW162*DX162*VLOOKUP('Données projet'!$B$14,Paramètres!$A$1:$I$89,3,0)*0.475*44/12</f>
        <v>0</v>
      </c>
      <c r="EB162" s="21">
        <f>EXP(-LN(2)/25)*EB161+(1-EXP(-LN(2)/25))/(LN(2)/25)*Calculateur!DW162*Calculateur!DY162*VLOOKUP('Données projet'!$B$14,Paramètres!$A$1:$I$89,3,0)*0.475*44/12</f>
        <v>0</v>
      </c>
      <c r="EC162" s="21">
        <f>EXP(-LN(2)/2)*EC161+(1-EXP(-LN(2)/2))/(LN(2)/2)*DW162*DZ162*VLOOKUP('Données projet'!$B$14,Paramètres!$A$1:$I$89,3,0)*0.475*44/12</f>
        <v>0</v>
      </c>
      <c r="ED162" s="22">
        <f t="shared" si="178"/>
        <v>0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553.99999999999955</v>
      </c>
      <c r="EK162" s="17">
        <f>EJ162*VLOOKUP('Données projet'!$B$15,Paramètres!$A$1:$I$89,3,0)*VLOOKUP('Données projet'!$B$15,Paramètres!$A$1:$I$89,5,0)</f>
        <v>331.29199999999975</v>
      </c>
      <c r="EL162" s="13">
        <f t="shared" si="179"/>
        <v>77.698110787752</v>
      </c>
      <c r="EM162" s="20">
        <f t="shared" si="180"/>
        <v>712.32444295533423</v>
      </c>
      <c r="EN162" s="59">
        <f t="shared" si="128"/>
        <v>1005.6577762886675</v>
      </c>
      <c r="EO162" s="59">
        <f ca="1">AVERAGE(OFFSET($EN$3,0,0,'Données projet'!$E$15+1,1))-AVERAGE(OFFSET($H$3,0,0,'Données projet'!$E$15+1,1))</f>
        <v>316.58509520829671</v>
      </c>
      <c r="EP162" s="59">
        <f t="shared" si="154"/>
        <v>240.71332110643596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>
        <f>EXP(-LN(2)/35)*EV161+(1-EXP(-LN(2)/35))/(LN(2)/35)*ER162*ES162*VLOOKUP('Données projet'!$B$15,Paramètres!$A$1:$I$89,3,0)*0.475*44/12</f>
        <v>0.19696535696597353</v>
      </c>
      <c r="EW162" s="21">
        <f>EXP(-LN(2)/25)*EW161+(1-EXP(-LN(2)/25))/(LN(2)/25)*Calculateur!ER162*Calculateur!ET162*VLOOKUP('Données projet'!$B$15,Paramètres!$A$1:$I$89,3,0)*0.475*44/12</f>
        <v>0.42703678737575351</v>
      </c>
      <c r="EX162" s="21">
        <f>EXP(-LN(2)/2)*EX161+(1-EXP(-LN(2)/2))/(LN(2)/2)*ER162*EU162*VLOOKUP('Données projet'!$B$15,Paramètres!$A$1:$I$89,3,0)*0.475*44/12</f>
        <v>8.4098625739512741E-19</v>
      </c>
      <c r="EY162" s="22">
        <f t="shared" si="181"/>
        <v>0.62400214434172707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497</v>
      </c>
      <c r="FF162" s="17">
        <f>FE162*VLOOKUP('Données projet'!$B$16,Paramètres!$A$1:$I$89,3,0)*VLOOKUP('Données projet'!$B$16,Paramètres!$A$1:$I$89,5,0)</f>
        <v>297.20600000000002</v>
      </c>
      <c r="FG162" s="13">
        <f t="shared" si="182"/>
        <v>70.590415164571112</v>
      </c>
      <c r="FH162" s="20">
        <f t="shared" si="183"/>
        <v>640.57875641162809</v>
      </c>
      <c r="FI162" s="59">
        <f t="shared" si="131"/>
        <v>933.91208974496135</v>
      </c>
      <c r="FJ162" s="59">
        <f ca="1">AVERAGE(OFFSET($FI$3,0,0,'Données projet'!$E$16+1,1))-AVERAGE(OFFSET($H$3,0,0,'Données projet'!$E$16+1,1))</f>
        <v>270.30888762640245</v>
      </c>
      <c r="FK162" s="59">
        <f t="shared" si="156"/>
        <v>202.23783851977691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>
        <f>EXP(-LN(2)/35)*FQ161+(1-EXP(-LN(2)/35))/(LN(2)/35)*FM162*FN162*VLOOKUP('Données projet'!$B$16,Paramètres!$A$1:$I$89,3,0)*0.475*44/12</f>
        <v>0.16644959743603377</v>
      </c>
      <c r="FR162" s="21">
        <f>EXP(-LN(2)/25)*FR161+(1-EXP(-LN(2)/25))/(LN(2)/25)*Calculateur!FM162*Calculateur!FO162*VLOOKUP('Données projet'!$B$16,Paramètres!$A$1:$I$89,3,0)*0.475*44/12</f>
        <v>0.34389123645106134</v>
      </c>
      <c r="FS162" s="21">
        <f>EXP(-LN(2)/2)*FS161+(1-EXP(-LN(2)/2))/(LN(2)/2)*FM162*FP162*VLOOKUP('Données projet'!$B$16,Paramètres!$A$1:$I$89,3,0)*0.475*44/12</f>
        <v>7.0886487507313791E-19</v>
      </c>
      <c r="FT162" s="22">
        <f t="shared" si="184"/>
        <v>0.51034083388709517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-5.1159076974727213E-13</v>
      </c>
      <c r="GA162" s="17">
        <f>FZ162*VLOOKUP('Données projet'!$B$17,Paramètres!$A$1:$I$89,3,0)*VLOOKUP('Données projet'!$B$17,Paramètres!$A$1:$I$89,5,0)</f>
        <v>-4.0702161641092972E-13</v>
      </c>
      <c r="GB162" s="13" t="e">
        <f t="shared" si="185"/>
        <v>#NUM!</v>
      </c>
      <c r="GC162" s="20" t="e">
        <f t="shared" si="186"/>
        <v>#NUM!</v>
      </c>
      <c r="GD162" s="59" t="e">
        <f t="shared" si="134"/>
        <v>#NUM!</v>
      </c>
      <c r="GE162" s="59">
        <f ca="1">AVERAGE(OFFSET($GD$3,0,0,'Données projet'!$E$17+1,1))-AVERAGE(OFFSET($H$3,0,0,'Données projet'!$E$17+1,1))</f>
        <v>260.20517190557814</v>
      </c>
      <c r="GF162" s="59">
        <f t="shared" si="158"/>
        <v>307.22009971147133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>
        <f>EXP(-LN(2)/35)*GL161+(1-EXP(-LN(2)/35))/(LN(2)/35)*GH162*GI162*VLOOKUP('Données projet'!$B$17,Paramètres!$A$1:$I$89,3,0)*0.475*44/12</f>
        <v>0.2535743021809338</v>
      </c>
      <c r="GM162" s="21">
        <f>EXP(-LN(2)/25)*GM161+(1-EXP(-LN(2)/25))/(LN(2)/25)*Calculateur!GH162*Calculateur!GJ162*VLOOKUP('Données projet'!$B$17,Paramètres!$A$1:$I$89,3,0)*0.475*44/12</f>
        <v>0.57392371513047657</v>
      </c>
      <c r="GN162" s="21">
        <f>EXP(-LN(2)/2)*GN161+(1-EXP(-LN(2)/2))/(LN(2)/2)*GH162*GK162*VLOOKUP('Données projet'!$B$17,Paramètres!$A$1:$I$89,3,0)*0.475*44/12</f>
        <v>9.2147232407947199E-19</v>
      </c>
      <c r="GO162" s="21">
        <f t="shared" si="187"/>
        <v>0.82749801731141037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5.6843418860808015E-14</v>
      </c>
      <c r="GV162" s="17">
        <f>GU162*VLOOKUP('Données projet'!$B$18,Paramètres!$A$1:$I$89,3,0)*VLOOKUP('Données projet'!$B$18,Paramètres!$A$1:$I$89,5,0)</f>
        <v>4.5224624045658861E-14</v>
      </c>
      <c r="GW162" s="13">
        <f t="shared" si="188"/>
        <v>7.4514601661523691E-13</v>
      </c>
      <c r="GX162" s="20">
        <f t="shared" si="189"/>
        <v>1.3765621991510601E-12</v>
      </c>
      <c r="GY162" s="59">
        <f t="shared" si="137"/>
        <v>293.33333333333468</v>
      </c>
      <c r="GZ162" s="59">
        <f ca="1">AVERAGE(OFFSET($GY$3,0,0,'Données projet'!$E$18+1,1))-AVERAGE(OFFSET($H$3,0,0,'Données projet'!$E$18+1,1))</f>
        <v>199.58763537752952</v>
      </c>
      <c r="HA162" s="59">
        <f t="shared" si="160"/>
        <v>242.62852778451929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>
        <f>EXP(-LN(2)/35)*HG161+(1-EXP(-LN(2)/35))/(LN(2)/35)*HC162*HD162*VLOOKUP('Données projet'!$B$18,Paramètres!$A$1:$I$89,3,0)*0.475*44/12</f>
        <v>0</v>
      </c>
      <c r="HH162" s="21">
        <f>EXP(-LN(2)/25)*HH161+(1-EXP(-LN(2)/25))/(LN(2)/25)*Calculateur!HC162*Calculateur!HE162*VLOOKUP('Données projet'!$B$18,Paramètres!$A$1:$I$89,3,0)*0.475*44/12</f>
        <v>0.28761005449643717</v>
      </c>
      <c r="HI162" s="21">
        <f>EXP(-LN(2)/2)*HI161+(1-EXP(-LN(2)/2))/(LN(2)/2)*HC162*HF162*VLOOKUP('Données projet'!$B$18,Paramètres!$A$1:$I$89,3,0)*0.475*44/12</f>
        <v>4.1251566593945681E-19</v>
      </c>
      <c r="HJ162" s="22">
        <f t="shared" si="190"/>
        <v>0.28761005449643717</v>
      </c>
    </row>
    <row r="163" spans="1:218" x14ac:dyDescent="0.2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142.27200000000005</v>
      </c>
      <c r="D163" s="11">
        <f t="shared" si="140"/>
        <v>36.817000136193258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1382.4414045600888</v>
      </c>
      <c r="H163" s="67">
        <f t="shared" si="110"/>
        <v>605.24667523720336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-2.2737367544323206E-13</v>
      </c>
      <c r="O163" s="13">
        <f>N163*VLOOKUP('Données projet'!$B$9,Paramètres!$A$1:$I$89,3,0)*VLOOKUP('Données projet'!$B$9,Paramètres!$A$1:$I$89,5,0)</f>
        <v>-1.2710188457276673E-13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255.5374979188561</v>
      </c>
      <c r="T163" s="59">
        <f t="shared" si="142"/>
        <v>343.10418468620901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0.23542512399996071</v>
      </c>
      <c r="AA163" s="21">
        <f>EXP(-LN(2)/25)*AA162+(1-EXP(-LN(2)/25))/(LN(2)/25)*Calculateur!V163*Calculateur!X163*VLOOKUP('Données projet'!$B$9,Paramètres!$A$1:$I$89,3,0)*0.475*44/12</f>
        <v>0.43419414300646736</v>
      </c>
      <c r="AB163" s="21">
        <f>EXP(-LN(2)/2)*AB162+(1-EXP(-LN(2)/2))/(LN(2)/2)*V163*Y163*VLOOKUP('Données projet'!$B$9,Paramètres!$A$1:$I$89,3,0)*0.475*44/12</f>
        <v>4.5879426545155127E-20</v>
      </c>
      <c r="AC163" s="22">
        <f t="shared" si="163"/>
        <v>0.66961926700642804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1.1368683772161603E-13</v>
      </c>
      <c r="AJ163" s="13">
        <f>AI163*VLOOKUP('Données projet'!$B$10,Paramètres!$A$1:$I$89,3,0)*VLOOKUP('Données projet'!$B$10,Paramètres!$A$1:$I$89,5,0)</f>
        <v>6.3550942286383367E-14</v>
      </c>
      <c r="AK163" s="13">
        <f t="shared" si="164"/>
        <v>1.0064464192543978E-12</v>
      </c>
      <c r="AL163" s="20">
        <f t="shared" si="165"/>
        <v>1.8635787380168604E-12</v>
      </c>
      <c r="AM163" s="59">
        <f t="shared" si="113"/>
        <v>293.33333333333519</v>
      </c>
      <c r="AN163" s="59">
        <f ca="1">AVERAGE(OFFSET($AM$3,0,0,'Données projet'!$E$10+1,1))-AVERAGE(OFFSET($H$3,0,0,'Données projet'!$E$10+1,1))</f>
        <v>224.7049802939942</v>
      </c>
      <c r="AO163" s="59">
        <f t="shared" si="144"/>
        <v>203.48513862195352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0.16998844547192604</v>
      </c>
      <c r="AV163" s="21">
        <f>EXP(-LN(2)/25)*AV162+(1-EXP(-LN(2)/25))/(LN(2)/25)*Calculateur!AQ163*Calculateur!AS163*VLOOKUP('Données projet'!$B$10,Paramètres!$A$1:$I$89,3,0)*0.475*44/12</f>
        <v>0.53115901392828557</v>
      </c>
      <c r="AW163" s="21">
        <f>EXP(-LN(2)/2)*AW162+(1-EXP(-LN(2)/2))/(LN(2)/2)*AQ163*AT163*VLOOKUP('Données projet'!$B$10,Paramètres!$A$1:$I$89,3,0)*0.475*44/12</f>
        <v>2.4287789095146449E-19</v>
      </c>
      <c r="AX163" s="21">
        <f t="shared" si="166"/>
        <v>0.70114745940021161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>
        <f>BD163*VLOOKUP('Données projet'!$B$11,Paramètres!$A$1:$I$89,3,0)*VLOOKUP('Données projet'!$B$11,Paramètres!$A$1:$I$89,5,0)</f>
        <v>0</v>
      </c>
      <c r="BF163" s="13" t="e">
        <f t="shared" si="167"/>
        <v>#NUM!</v>
      </c>
      <c r="BG163" s="20" t="e">
        <f t="shared" si="168"/>
        <v>#NUM!</v>
      </c>
      <c r="BH163" s="59" t="e">
        <f t="shared" si="116"/>
        <v>#NUM!</v>
      </c>
      <c r="BI163" s="59">
        <f ca="1">AVERAGE(OFFSET($BH$3,0,0,'Données projet'!$E$11+1,1))-AVERAGE(OFFSET($H$3,0,0,'Données projet'!$E$11+1,1))</f>
        <v>210.04871822652808</v>
      </c>
      <c r="BJ163" s="59">
        <f t="shared" si="146"/>
        <v>250.17540614049324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0.5562501214172243</v>
      </c>
      <c r="BQ163" s="21">
        <f>EXP(-LN(2)/25)*BQ162+(1-EXP(-LN(2)/25))/(LN(2)/25)*Calculateur!BL163*Calculateur!BN163*VLOOKUP('Données projet'!$B$11,Paramètres!$A$1:$I$89,3,0)*0.475*44/12</f>
        <v>0.75712635586316679</v>
      </c>
      <c r="BR163" s="21">
        <f>EXP(-LN(2)/2)*BR162+(1-EXP(-LN(2)/2))/(LN(2)/2)*BL163*BO163*VLOOKUP('Données projet'!$B$11,Paramètres!$A$1:$I$89,3,0)*0.475*44/12</f>
        <v>5.8421932486368904E-19</v>
      </c>
      <c r="BS163" s="22">
        <f t="shared" si="169"/>
        <v>1.3133764772803911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2.2737367544323206E-13</v>
      </c>
      <c r="BZ163" s="13">
        <f>BY163*VLOOKUP('Données projet'!$B$12,Paramètres!$A$1:$I$89,3,0)*VLOOKUP('Données projet'!$B$12,Paramètres!$A$1:$I$89,5,0)</f>
        <v>1.2414602679200471E-13</v>
      </c>
      <c r="CA163" s="13">
        <f t="shared" si="170"/>
        <v>1.8186582995804361E-12</v>
      </c>
      <c r="CB163" s="20">
        <f t="shared" si="171"/>
        <v>3.3837175350986671E-12</v>
      </c>
      <c r="CC163" s="59">
        <f t="shared" si="119"/>
        <v>293.33333333333672</v>
      </c>
      <c r="CD163" s="59">
        <f ca="1">AVERAGE(OFFSET($CC$3,0,0,'Données projet'!$E$12+1,1))-AVERAGE(OFFSET($H$3,0,0,'Données projet'!$E$12+1,1))</f>
        <v>168.72306536277267</v>
      </c>
      <c r="CE163" s="59">
        <f t="shared" si="148"/>
        <v>203.35476578922339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0.23177088392384348</v>
      </c>
      <c r="CL163" s="21">
        <f>EXP(-LN(2)/25)*CL162+(1-EXP(-LN(2)/25))/(LN(2)/25)*Calculateur!CG163*Calculateur!CI163*VLOOKUP('Données projet'!$B$12,Paramètres!$A$1:$I$89,3,0)*0.475*44/12</f>
        <v>0.62530073295567623</v>
      </c>
      <c r="CM163" s="21">
        <f>EXP(-LN(2)/2)*CM162+(1-EXP(-LN(2)/2))/(LN(2)/2)*CG163*CJ163*VLOOKUP('Données projet'!$B$12,Paramètres!$A$1:$I$89,3,0)*0.475*44/12</f>
        <v>5.427474502296428E-19</v>
      </c>
      <c r="CN163" s="22">
        <f t="shared" si="172"/>
        <v>0.85707161687951972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1277.6923076923067</v>
      </c>
      <c r="CU163" s="17">
        <f>CT163*VLOOKUP('Données projet'!$B$13,Paramètres!$A$1:$I$89,3,0)*VLOOKUP('Données projet'!$B$13,Paramètres!$A$1:$I$89,5,0)</f>
        <v>614.5699999999996</v>
      </c>
      <c r="CV163" s="13">
        <f t="shared" si="173"/>
        <v>134.13240620831178</v>
      </c>
      <c r="CW163" s="20">
        <f t="shared" si="174"/>
        <v>1303.9900241461421</v>
      </c>
      <c r="CX163" s="59">
        <f t="shared" si="122"/>
        <v>1597.3233574794754</v>
      </c>
      <c r="CY163" s="59">
        <f ca="1">AVERAGE(OFFSET($CX$3,0,0,'Données projet'!$E$13+1,1))-AVERAGE(OFFSET($H$3,0,0,'Données projet'!$E$13+1,1))</f>
        <v>304.15237106473313</v>
      </c>
      <c r="CZ163" s="59">
        <f t="shared" si="150"/>
        <v>120.85458928724336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>
        <f>EXP(-LN(2)/35)*DF162+(1-EXP(-LN(2)/35))/(LN(2)/35)*DB163*DC163*VLOOKUP('Données projet'!$B$13,Paramètres!$A$1:$I$89,3,0)*0.475*44/12</f>
        <v>0</v>
      </c>
      <c r="DG163" s="21">
        <f>EXP(-LN(2)/25)*DG162+(1-EXP(-LN(2)/25))/(LN(2)/25)*Calculateur!DB163*Calculateur!DD163*VLOOKUP('Données projet'!$B$13,Paramètres!$A$1:$I$89,3,0)*0.475*44/12</f>
        <v>0</v>
      </c>
      <c r="DH163" s="21">
        <f>EXP(-LN(2)/2)*DH162+(1-EXP(-LN(2)/2))/(LN(2)/2)*DB163*DE163*VLOOKUP('Données projet'!$B$13,Paramètres!$A$1:$I$89,3,0)*0.475*44/12</f>
        <v>0</v>
      </c>
      <c r="DI163" s="22">
        <f t="shared" si="175"/>
        <v>0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425.38461538461536</v>
      </c>
      <c r="DP163" s="17">
        <f>DO163*VLOOKUP('Données projet'!$B$14,Paramètres!$A$1:$I$89,3,0)*VLOOKUP('Données projet'!$B$14,Paramètres!$A$1:$I$89,5,0)</f>
        <v>204.60999999999999</v>
      </c>
      <c r="DQ163" s="13">
        <f t="shared" si="176"/>
        <v>50.755958577224398</v>
      </c>
      <c r="DR163" s="20">
        <f t="shared" si="177"/>
        <v>444.76237785533249</v>
      </c>
      <c r="DS163" s="59">
        <f t="shared" si="125"/>
        <v>738.09571118866575</v>
      </c>
      <c r="DT163" s="59">
        <f ca="1">AVERAGE(OFFSET($DS$3,0,0,'Données projet'!$E$14+1,1))-AVERAGE(OFFSET($H$3,0,0,'Données projet'!$E$14+1,1))</f>
        <v>91.053246648097399</v>
      </c>
      <c r="DU163" s="59">
        <f t="shared" si="152"/>
        <v>64.716270355703955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>
        <f>EXP(-LN(2)/35)*EA162+(1-EXP(-LN(2)/35))/(LN(2)/35)*DW163*DX163*VLOOKUP('Données projet'!$B$14,Paramètres!$A$1:$I$89,3,0)*0.475*44/12</f>
        <v>0</v>
      </c>
      <c r="EB163" s="21">
        <f>EXP(-LN(2)/25)*EB162+(1-EXP(-LN(2)/25))/(LN(2)/25)*Calculateur!DW163*Calculateur!DY163*VLOOKUP('Données projet'!$B$14,Paramètres!$A$1:$I$89,3,0)*0.475*44/12</f>
        <v>0</v>
      </c>
      <c r="EC163" s="21">
        <f>EXP(-LN(2)/2)*EC162+(1-EXP(-LN(2)/2))/(LN(2)/2)*DW163*DZ163*VLOOKUP('Données projet'!$B$14,Paramètres!$A$1:$I$89,3,0)*0.475*44/12</f>
        <v>0</v>
      </c>
      <c r="ED163" s="22">
        <f t="shared" si="178"/>
        <v>0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553.99999999999955</v>
      </c>
      <c r="EK163" s="17">
        <f>EJ163*VLOOKUP('Données projet'!$B$15,Paramètres!$A$1:$I$89,3,0)*VLOOKUP('Données projet'!$B$15,Paramètres!$A$1:$I$89,5,0)</f>
        <v>331.29199999999975</v>
      </c>
      <c r="EL163" s="13">
        <f t="shared" si="179"/>
        <v>77.698110787752</v>
      </c>
      <c r="EM163" s="20">
        <f t="shared" si="180"/>
        <v>712.32444295533423</v>
      </c>
      <c r="EN163" s="59">
        <f t="shared" si="128"/>
        <v>1005.6577762886675</v>
      </c>
      <c r="EO163" s="59">
        <f ca="1">AVERAGE(OFFSET($EN$3,0,0,'Données projet'!$E$15+1,1))-AVERAGE(OFFSET($H$3,0,0,'Données projet'!$E$15+1,1))</f>
        <v>316.58509520829671</v>
      </c>
      <c r="EP163" s="59">
        <f t="shared" si="154"/>
        <v>240.71332110643596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>
        <f>EXP(-LN(2)/35)*EV162+(1-EXP(-LN(2)/35))/(LN(2)/35)*ER163*ES163*VLOOKUP('Données projet'!$B$15,Paramètres!$A$1:$I$89,3,0)*0.475*44/12</f>
        <v>0.19310298645287599</v>
      </c>
      <c r="EW163" s="21">
        <f>EXP(-LN(2)/25)*EW162+(1-EXP(-LN(2)/25))/(LN(2)/25)*Calculateur!ER163*Calculateur!ET163*VLOOKUP('Données projet'!$B$15,Paramètres!$A$1:$I$89,3,0)*0.475*44/12</f>
        <v>0.41535944396807489</v>
      </c>
      <c r="EX163" s="21">
        <f>EXP(-LN(2)/2)*EX162+(1-EXP(-LN(2)/2))/(LN(2)/2)*ER163*EU163*VLOOKUP('Données projet'!$B$15,Paramètres!$A$1:$I$89,3,0)*0.475*44/12</f>
        <v>5.9466708548878988E-19</v>
      </c>
      <c r="EY163" s="22">
        <f t="shared" si="181"/>
        <v>0.60846243042095094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497</v>
      </c>
      <c r="FF163" s="17">
        <f>FE163*VLOOKUP('Données projet'!$B$16,Paramètres!$A$1:$I$89,3,0)*VLOOKUP('Données projet'!$B$16,Paramètres!$A$1:$I$89,5,0)</f>
        <v>297.20600000000002</v>
      </c>
      <c r="FG163" s="13">
        <f t="shared" si="182"/>
        <v>70.590415164571112</v>
      </c>
      <c r="FH163" s="20">
        <f t="shared" si="183"/>
        <v>640.57875641162809</v>
      </c>
      <c r="FI163" s="59">
        <f t="shared" si="131"/>
        <v>933.91208974496135</v>
      </c>
      <c r="FJ163" s="59">
        <f ca="1">AVERAGE(OFFSET($FI$3,0,0,'Données projet'!$E$16+1,1))-AVERAGE(OFFSET($H$3,0,0,'Données projet'!$E$16+1,1))</f>
        <v>270.30888762640245</v>
      </c>
      <c r="FK163" s="59">
        <f t="shared" si="156"/>
        <v>202.23783851977691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>
        <f>EXP(-LN(2)/35)*FQ162+(1-EXP(-LN(2)/35))/(LN(2)/35)*FM163*FN163*VLOOKUP('Données projet'!$B$16,Paramètres!$A$1:$I$89,3,0)*0.475*44/12</f>
        <v>0.1631856223545429</v>
      </c>
      <c r="FR163" s="21">
        <f>EXP(-LN(2)/25)*FR162+(1-EXP(-LN(2)/25))/(LN(2)/25)*Calculateur!FM163*Calculateur!FO163*VLOOKUP('Données projet'!$B$16,Paramètres!$A$1:$I$89,3,0)*0.475*44/12</f>
        <v>0.3344875125058529</v>
      </c>
      <c r="FS163" s="21">
        <f>EXP(-LN(2)/2)*FS162+(1-EXP(-LN(2)/2))/(LN(2)/2)*FM163*FP163*VLOOKUP('Données projet'!$B$16,Paramètres!$A$1:$I$89,3,0)*0.475*44/12</f>
        <v>5.0124316010917067E-19</v>
      </c>
      <c r="FT163" s="22">
        <f t="shared" si="184"/>
        <v>0.49767313486039577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-5.1159076974727213E-13</v>
      </c>
      <c r="GA163" s="17">
        <f>FZ163*VLOOKUP('Données projet'!$B$17,Paramètres!$A$1:$I$89,3,0)*VLOOKUP('Données projet'!$B$17,Paramètres!$A$1:$I$89,5,0)</f>
        <v>-4.0702161641092972E-13</v>
      </c>
      <c r="GB163" s="13" t="e">
        <f t="shared" si="185"/>
        <v>#NUM!</v>
      </c>
      <c r="GC163" s="20" t="e">
        <f t="shared" si="186"/>
        <v>#NUM!</v>
      </c>
      <c r="GD163" s="59" t="e">
        <f t="shared" si="134"/>
        <v>#NUM!</v>
      </c>
      <c r="GE163" s="59">
        <f ca="1">AVERAGE(OFFSET($GD$3,0,0,'Données projet'!$E$17+1,1))-AVERAGE(OFFSET($H$3,0,0,'Données projet'!$E$17+1,1))</f>
        <v>260.20517190557814</v>
      </c>
      <c r="GF163" s="59">
        <f t="shared" si="158"/>
        <v>307.22009971147133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>
        <f>EXP(-LN(2)/35)*GL162+(1-EXP(-LN(2)/35))/(LN(2)/35)*GH163*GI163*VLOOKUP('Données projet'!$B$17,Paramètres!$A$1:$I$89,3,0)*0.475*44/12</f>
        <v>0.24860186478021812</v>
      </c>
      <c r="GM163" s="21">
        <f>EXP(-LN(2)/25)*GM162+(1-EXP(-LN(2)/25))/(LN(2)/25)*Calculateur!GH163*Calculateur!GJ163*VLOOKUP('Données projet'!$B$17,Paramètres!$A$1:$I$89,3,0)*0.475*44/12</f>
        <v>0.55822974095889721</v>
      </c>
      <c r="GN163" s="21">
        <f>EXP(-LN(2)/2)*GN162+(1-EXP(-LN(2)/2))/(LN(2)/2)*GH163*GK163*VLOOKUP('Données projet'!$B$17,Paramètres!$A$1:$I$89,3,0)*0.475*44/12</f>
        <v>6.5157932903232261E-19</v>
      </c>
      <c r="GO163" s="21">
        <f t="shared" si="187"/>
        <v>0.80683160573911539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5.6843418860808015E-14</v>
      </c>
      <c r="GV163" s="17">
        <f>GU163*VLOOKUP('Données projet'!$B$18,Paramètres!$A$1:$I$89,3,0)*VLOOKUP('Données projet'!$B$18,Paramètres!$A$1:$I$89,5,0)</f>
        <v>4.5224624045658861E-14</v>
      </c>
      <c r="GW163" s="13">
        <f t="shared" si="188"/>
        <v>7.4514601661523691E-13</v>
      </c>
      <c r="GX163" s="20">
        <f t="shared" si="189"/>
        <v>1.3765621991510601E-12</v>
      </c>
      <c r="GY163" s="59">
        <f t="shared" si="137"/>
        <v>293.33333333333468</v>
      </c>
      <c r="GZ163" s="59">
        <f ca="1">AVERAGE(OFFSET($GY$3,0,0,'Données projet'!$E$18+1,1))-AVERAGE(OFFSET($H$3,0,0,'Données projet'!$E$18+1,1))</f>
        <v>199.58763537752952</v>
      </c>
      <c r="HA163" s="59">
        <f t="shared" si="160"/>
        <v>242.62852778451929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>
        <f>EXP(-LN(2)/35)*HG162+(1-EXP(-LN(2)/35))/(LN(2)/35)*HC163*HD163*VLOOKUP('Données projet'!$B$18,Paramètres!$A$1:$I$89,3,0)*0.475*44/12</f>
        <v>0</v>
      </c>
      <c r="HH163" s="21">
        <f>EXP(-LN(2)/25)*HH162+(1-EXP(-LN(2)/25))/(LN(2)/25)*Calculateur!HC163*Calculateur!HE163*VLOOKUP('Données projet'!$B$18,Paramètres!$A$1:$I$89,3,0)*0.475*44/12</f>
        <v>0.2797453424314767</v>
      </c>
      <c r="HI163" s="21">
        <f>EXP(-LN(2)/2)*HI162+(1-EXP(-LN(2)/2))/(LN(2)/2)*HC163*HF163*VLOOKUP('Données projet'!$B$18,Paramètres!$A$1:$I$89,3,0)*0.475*44/12</f>
        <v>2.9169262473147442E-19</v>
      </c>
      <c r="HJ163" s="22">
        <f t="shared" si="190"/>
        <v>0.2797453424314767</v>
      </c>
    </row>
    <row r="164" spans="1:218" x14ac:dyDescent="0.2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143.16120000000004</v>
      </c>
      <c r="D164" s="11">
        <f t="shared" si="140"/>
        <v>37.020248232558458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1390.8743372337849</v>
      </c>
      <c r="H164" s="67">
        <f t="shared" si="110"/>
        <v>607.14935567170596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-2.2737367544323206E-13</v>
      </c>
      <c r="O164" s="13">
        <f>N164*VLOOKUP('Données projet'!$B$9,Paramètres!$A$1:$I$89,3,0)*VLOOKUP('Données projet'!$B$9,Paramètres!$A$1:$I$89,5,0)</f>
        <v>-1.2710188457276673E-13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255.5374979188561</v>
      </c>
      <c r="T164" s="59">
        <f t="shared" si="142"/>
        <v>343.10418468620901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0.23080858091346829</v>
      </c>
      <c r="AA164" s="21">
        <f>EXP(-LN(2)/25)*AA163+(1-EXP(-LN(2)/25))/(LN(2)/25)*Calculateur!V164*Calculateur!X164*VLOOKUP('Données projet'!$B$9,Paramètres!$A$1:$I$89,3,0)*0.475*44/12</f>
        <v>0.42232108133267787</v>
      </c>
      <c r="AB164" s="21">
        <f>EXP(-LN(2)/2)*AB163+(1-EXP(-LN(2)/2))/(LN(2)/2)*V164*Y164*VLOOKUP('Données projet'!$B$9,Paramètres!$A$1:$I$89,3,0)*0.475*44/12</f>
        <v>3.2441653627029286E-20</v>
      </c>
      <c r="AC164" s="22">
        <f t="shared" si="163"/>
        <v>0.65312966224614621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1.1368683772161603E-13</v>
      </c>
      <c r="AJ164" s="13">
        <f>AI164*VLOOKUP('Données projet'!$B$10,Paramètres!$A$1:$I$89,3,0)*VLOOKUP('Données projet'!$B$10,Paramètres!$A$1:$I$89,5,0)</f>
        <v>6.3550942286383367E-14</v>
      </c>
      <c r="AK164" s="13">
        <f t="shared" si="164"/>
        <v>1.0064464192543978E-12</v>
      </c>
      <c r="AL164" s="20">
        <f t="shared" si="165"/>
        <v>1.8635787380168604E-12</v>
      </c>
      <c r="AM164" s="59">
        <f t="shared" si="113"/>
        <v>293.33333333333519</v>
      </c>
      <c r="AN164" s="59">
        <f ca="1">AVERAGE(OFFSET($AM$3,0,0,'Données projet'!$E$10+1,1))-AVERAGE(OFFSET($H$3,0,0,'Données projet'!$E$10+1,1))</f>
        <v>224.7049802939942</v>
      </c>
      <c r="AO164" s="59">
        <f t="shared" si="144"/>
        <v>203.48513862195352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0.16665507573893548</v>
      </c>
      <c r="AV164" s="21">
        <f>EXP(-LN(2)/25)*AV163+(1-EXP(-LN(2)/25))/(LN(2)/25)*Calculateur!AQ164*Calculateur!AS164*VLOOKUP('Données projet'!$B$10,Paramètres!$A$1:$I$89,3,0)*0.475*44/12</f>
        <v>0.51663444275997805</v>
      </c>
      <c r="AW164" s="21">
        <f>EXP(-LN(2)/2)*AW163+(1-EXP(-LN(2)/2))/(LN(2)/2)*AQ164*AT164*VLOOKUP('Données projet'!$B$10,Paramètres!$A$1:$I$89,3,0)*0.475*44/12</f>
        <v>1.7174060369206735E-19</v>
      </c>
      <c r="AX164" s="21">
        <f t="shared" si="166"/>
        <v>0.68328951849891351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>
        <f>BD164*VLOOKUP('Données projet'!$B$11,Paramètres!$A$1:$I$89,3,0)*VLOOKUP('Données projet'!$B$11,Paramètres!$A$1:$I$89,5,0)</f>
        <v>0</v>
      </c>
      <c r="BF164" s="13" t="e">
        <f t="shared" si="167"/>
        <v>#NUM!</v>
      </c>
      <c r="BG164" s="20" t="e">
        <f t="shared" si="168"/>
        <v>#NUM!</v>
      </c>
      <c r="BH164" s="59" t="e">
        <f t="shared" si="116"/>
        <v>#NUM!</v>
      </c>
      <c r="BI164" s="59">
        <f ca="1">AVERAGE(OFFSET($BH$3,0,0,'Données projet'!$E$11+1,1))-AVERAGE(OFFSET($H$3,0,0,'Données projet'!$E$11+1,1))</f>
        <v>210.04871822652808</v>
      </c>
      <c r="BJ164" s="59">
        <f t="shared" si="146"/>
        <v>250.17540614049324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0.54534239581530553</v>
      </c>
      <c r="BQ164" s="21">
        <f>EXP(-LN(2)/25)*BQ163+(1-EXP(-LN(2)/25))/(LN(2)/25)*Calculateur!BL164*Calculateur!BN164*VLOOKUP('Données projet'!$B$11,Paramètres!$A$1:$I$89,3,0)*0.475*44/12</f>
        <v>0.73642269584654385</v>
      </c>
      <c r="BR164" s="21">
        <f>EXP(-LN(2)/2)*BR163+(1-EXP(-LN(2)/2))/(LN(2)/2)*BL164*BO164*VLOOKUP('Données projet'!$B$11,Paramètres!$A$1:$I$89,3,0)*0.475*44/12</f>
        <v>4.1310544631134109E-19</v>
      </c>
      <c r="BS164" s="22">
        <f t="shared" si="169"/>
        <v>1.2817650916618493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2.2737367544323206E-13</v>
      </c>
      <c r="BZ164" s="13">
        <f>BY164*VLOOKUP('Données projet'!$B$12,Paramètres!$A$1:$I$89,3,0)*VLOOKUP('Données projet'!$B$12,Paramètres!$A$1:$I$89,5,0)</f>
        <v>1.2414602679200471E-13</v>
      </c>
      <c r="CA164" s="13">
        <f t="shared" si="170"/>
        <v>1.8186582995804361E-12</v>
      </c>
      <c r="CB164" s="20">
        <f t="shared" si="171"/>
        <v>3.3837175350986671E-12</v>
      </c>
      <c r="CC164" s="59">
        <f t="shared" si="119"/>
        <v>293.33333333333672</v>
      </c>
      <c r="CD164" s="59">
        <f ca="1">AVERAGE(OFFSET($CC$3,0,0,'Données projet'!$E$12+1,1))-AVERAGE(OFFSET($H$3,0,0,'Données projet'!$E$12+1,1))</f>
        <v>168.72306536277267</v>
      </c>
      <c r="CE164" s="59">
        <f t="shared" si="148"/>
        <v>203.35476578922339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0.22722599825637735</v>
      </c>
      <c r="CL164" s="21">
        <f>EXP(-LN(2)/25)*CL163+(1-EXP(-LN(2)/25))/(LN(2)/25)*Calculateur!CG164*Calculateur!CI164*VLOOKUP('Données projet'!$B$12,Paramètres!$A$1:$I$89,3,0)*0.475*44/12</f>
        <v>0.60820185152986683</v>
      </c>
      <c r="CM164" s="21">
        <f>EXP(-LN(2)/2)*CM163+(1-EXP(-LN(2)/2))/(LN(2)/2)*CG164*CJ164*VLOOKUP('Données projet'!$B$12,Paramètres!$A$1:$I$89,3,0)*0.475*44/12</f>
        <v>3.8378040252908863E-19</v>
      </c>
      <c r="CN164" s="22">
        <f t="shared" si="172"/>
        <v>0.83542784978624418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1277.6923076923067</v>
      </c>
      <c r="CU164" s="17">
        <f>CT164*VLOOKUP('Données projet'!$B$13,Paramètres!$A$1:$I$89,3,0)*VLOOKUP('Données projet'!$B$13,Paramètres!$A$1:$I$89,5,0)</f>
        <v>614.5699999999996</v>
      </c>
      <c r="CV164" s="13">
        <f t="shared" si="173"/>
        <v>134.13240620831178</v>
      </c>
      <c r="CW164" s="20">
        <f t="shared" si="174"/>
        <v>1303.9900241461421</v>
      </c>
      <c r="CX164" s="59">
        <f t="shared" si="122"/>
        <v>1597.3233574794754</v>
      </c>
      <c r="CY164" s="59">
        <f ca="1">AVERAGE(OFFSET($CX$3,0,0,'Données projet'!$E$13+1,1))-AVERAGE(OFFSET($H$3,0,0,'Données projet'!$E$13+1,1))</f>
        <v>304.15237106473313</v>
      </c>
      <c r="CZ164" s="59">
        <f t="shared" si="150"/>
        <v>120.85458928724336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>
        <f>EXP(-LN(2)/35)*DF163+(1-EXP(-LN(2)/35))/(LN(2)/35)*DB164*DC164*VLOOKUP('Données projet'!$B$13,Paramètres!$A$1:$I$89,3,0)*0.475*44/12</f>
        <v>0</v>
      </c>
      <c r="DG164" s="21">
        <f>EXP(-LN(2)/25)*DG163+(1-EXP(-LN(2)/25))/(LN(2)/25)*Calculateur!DB164*Calculateur!DD164*VLOOKUP('Données projet'!$B$13,Paramètres!$A$1:$I$89,3,0)*0.475*44/12</f>
        <v>0</v>
      </c>
      <c r="DH164" s="21">
        <f>EXP(-LN(2)/2)*DH163+(1-EXP(-LN(2)/2))/(LN(2)/2)*DB164*DE164*VLOOKUP('Données projet'!$B$13,Paramètres!$A$1:$I$89,3,0)*0.475*44/12</f>
        <v>0</v>
      </c>
      <c r="DI164" s="22">
        <f t="shared" si="175"/>
        <v>0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425.38461538461536</v>
      </c>
      <c r="DP164" s="17">
        <f>DO164*VLOOKUP('Données projet'!$B$14,Paramètres!$A$1:$I$89,3,0)*VLOOKUP('Données projet'!$B$14,Paramètres!$A$1:$I$89,5,0)</f>
        <v>204.60999999999999</v>
      </c>
      <c r="DQ164" s="13">
        <f t="shared" si="176"/>
        <v>50.755958577224398</v>
      </c>
      <c r="DR164" s="20">
        <f t="shared" si="177"/>
        <v>444.76237785533249</v>
      </c>
      <c r="DS164" s="59">
        <f t="shared" si="125"/>
        <v>738.09571118866575</v>
      </c>
      <c r="DT164" s="59">
        <f ca="1">AVERAGE(OFFSET($DS$3,0,0,'Données projet'!$E$14+1,1))-AVERAGE(OFFSET($H$3,0,0,'Données projet'!$E$14+1,1))</f>
        <v>91.053246648097399</v>
      </c>
      <c r="DU164" s="59">
        <f t="shared" si="152"/>
        <v>64.716270355703955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>
        <f>EXP(-LN(2)/35)*EA163+(1-EXP(-LN(2)/35))/(LN(2)/35)*DW164*DX164*VLOOKUP('Données projet'!$B$14,Paramètres!$A$1:$I$89,3,0)*0.475*44/12</f>
        <v>0</v>
      </c>
      <c r="EB164" s="21">
        <f>EXP(-LN(2)/25)*EB163+(1-EXP(-LN(2)/25))/(LN(2)/25)*Calculateur!DW164*Calculateur!DY164*VLOOKUP('Données projet'!$B$14,Paramètres!$A$1:$I$89,3,0)*0.475*44/12</f>
        <v>0</v>
      </c>
      <c r="EC164" s="21">
        <f>EXP(-LN(2)/2)*EC163+(1-EXP(-LN(2)/2))/(LN(2)/2)*DW164*DZ164*VLOOKUP('Données projet'!$B$14,Paramètres!$A$1:$I$89,3,0)*0.475*44/12</f>
        <v>0</v>
      </c>
      <c r="ED164" s="22">
        <f t="shared" si="178"/>
        <v>0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553.99999999999955</v>
      </c>
      <c r="EK164" s="17">
        <f>EJ164*VLOOKUP('Données projet'!$B$15,Paramètres!$A$1:$I$89,3,0)*VLOOKUP('Données projet'!$B$15,Paramètres!$A$1:$I$89,5,0)</f>
        <v>331.29199999999975</v>
      </c>
      <c r="EL164" s="13">
        <f t="shared" si="179"/>
        <v>77.698110787752</v>
      </c>
      <c r="EM164" s="20">
        <f t="shared" si="180"/>
        <v>712.32444295533423</v>
      </c>
      <c r="EN164" s="59">
        <f t="shared" si="128"/>
        <v>1005.6577762886675</v>
      </c>
      <c r="EO164" s="59">
        <f ca="1">AVERAGE(OFFSET($EN$3,0,0,'Données projet'!$E$15+1,1))-AVERAGE(OFFSET($H$3,0,0,'Données projet'!$E$15+1,1))</f>
        <v>316.58509520829671</v>
      </c>
      <c r="EP164" s="59">
        <f t="shared" si="154"/>
        <v>240.71332110643596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>
        <f>EXP(-LN(2)/35)*EV163+(1-EXP(-LN(2)/35))/(LN(2)/35)*ER164*ES164*VLOOKUP('Données projet'!$B$15,Paramètres!$A$1:$I$89,3,0)*0.475*44/12</f>
        <v>0.18931635466972691</v>
      </c>
      <c r="EW164" s="21">
        <f>EXP(-LN(2)/25)*EW163+(1-EXP(-LN(2)/25))/(LN(2)/25)*Calculateur!ER164*Calculateur!ET164*VLOOKUP('Données projet'!$B$15,Paramètres!$A$1:$I$89,3,0)*0.475*44/12</f>
        <v>0.40400141812996404</v>
      </c>
      <c r="EX164" s="21">
        <f>EXP(-LN(2)/2)*EX163+(1-EXP(-LN(2)/2))/(LN(2)/2)*ER164*EU164*VLOOKUP('Données projet'!$B$15,Paramètres!$A$1:$I$89,3,0)*0.475*44/12</f>
        <v>4.204931286975637E-19</v>
      </c>
      <c r="EY164" s="22">
        <f t="shared" si="181"/>
        <v>0.593317772799691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497</v>
      </c>
      <c r="FF164" s="17">
        <f>FE164*VLOOKUP('Données projet'!$B$16,Paramètres!$A$1:$I$89,3,0)*VLOOKUP('Données projet'!$B$16,Paramètres!$A$1:$I$89,5,0)</f>
        <v>297.20600000000002</v>
      </c>
      <c r="FG164" s="13">
        <f t="shared" si="182"/>
        <v>70.590415164571112</v>
      </c>
      <c r="FH164" s="20">
        <f t="shared" si="183"/>
        <v>640.57875641162809</v>
      </c>
      <c r="FI164" s="59">
        <f t="shared" si="131"/>
        <v>933.91208974496135</v>
      </c>
      <c r="FJ164" s="59">
        <f ca="1">AVERAGE(OFFSET($FI$3,0,0,'Données projet'!$E$16+1,1))-AVERAGE(OFFSET($H$3,0,0,'Données projet'!$E$16+1,1))</f>
        <v>270.30888762640245</v>
      </c>
      <c r="FK164" s="59">
        <f t="shared" si="156"/>
        <v>202.23783851977691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>
        <f>EXP(-LN(2)/35)*FQ163+(1-EXP(-LN(2)/35))/(LN(2)/35)*FM164*FN164*VLOOKUP('Données projet'!$B$16,Paramètres!$A$1:$I$89,3,0)*0.475*44/12</f>
        <v>0.15998565183357183</v>
      </c>
      <c r="FR164" s="21">
        <f>EXP(-LN(2)/25)*FR163+(1-EXP(-LN(2)/25))/(LN(2)/25)*Calculateur!FM164*Calculateur!FO164*VLOOKUP('Données projet'!$B$16,Paramètres!$A$1:$I$89,3,0)*0.475*44/12</f>
        <v>0.32534093388644653</v>
      </c>
      <c r="FS164" s="21">
        <f>EXP(-LN(2)/2)*FS163+(1-EXP(-LN(2)/2))/(LN(2)/2)*FM164*FP164*VLOOKUP('Données projet'!$B$16,Paramètres!$A$1:$I$89,3,0)*0.475*44/12</f>
        <v>3.5443243753656895E-19</v>
      </c>
      <c r="FT164" s="22">
        <f t="shared" si="184"/>
        <v>0.48532658572001836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-5.1159076974727213E-13</v>
      </c>
      <c r="GA164" s="17">
        <f>FZ164*VLOOKUP('Données projet'!$B$17,Paramètres!$A$1:$I$89,3,0)*VLOOKUP('Données projet'!$B$17,Paramètres!$A$1:$I$89,5,0)</f>
        <v>-4.0702161641092972E-13</v>
      </c>
      <c r="GB164" s="13" t="e">
        <f t="shared" si="185"/>
        <v>#NUM!</v>
      </c>
      <c r="GC164" s="20" t="e">
        <f t="shared" si="186"/>
        <v>#NUM!</v>
      </c>
      <c r="GD164" s="59" t="e">
        <f t="shared" si="134"/>
        <v>#NUM!</v>
      </c>
      <c r="GE164" s="59">
        <f ca="1">AVERAGE(OFFSET($GD$3,0,0,'Données projet'!$E$17+1,1))-AVERAGE(OFFSET($H$3,0,0,'Données projet'!$E$17+1,1))</f>
        <v>260.20517190557814</v>
      </c>
      <c r="GF164" s="59">
        <f t="shared" si="158"/>
        <v>307.22009971147133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>
        <f>EXP(-LN(2)/35)*GL163+(1-EXP(-LN(2)/35))/(LN(2)/35)*GH164*GI164*VLOOKUP('Données projet'!$B$17,Paramètres!$A$1:$I$89,3,0)*0.475*44/12</f>
        <v>0.24372693384404312</v>
      </c>
      <c r="GM164" s="21">
        <f>EXP(-LN(2)/25)*GM163+(1-EXP(-LN(2)/25))/(LN(2)/25)*Calculateur!GH164*Calculateur!GJ164*VLOOKUP('Données projet'!$B$17,Paramètres!$A$1:$I$89,3,0)*0.475*44/12</f>
        <v>0.54296491933634994</v>
      </c>
      <c r="GN164" s="21">
        <f>EXP(-LN(2)/2)*GN163+(1-EXP(-LN(2)/2))/(LN(2)/2)*GH164*GK164*VLOOKUP('Données projet'!$B$17,Paramètres!$A$1:$I$89,3,0)*0.475*44/12</f>
        <v>4.6073616203973599E-19</v>
      </c>
      <c r="GO164" s="21">
        <f t="shared" si="187"/>
        <v>0.78669185318039303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5.6843418860808015E-14</v>
      </c>
      <c r="GV164" s="17">
        <f>GU164*VLOOKUP('Données projet'!$B$18,Paramètres!$A$1:$I$89,3,0)*VLOOKUP('Données projet'!$B$18,Paramètres!$A$1:$I$89,5,0)</f>
        <v>4.5224624045658861E-14</v>
      </c>
      <c r="GW164" s="13">
        <f t="shared" si="188"/>
        <v>7.4514601661523691E-13</v>
      </c>
      <c r="GX164" s="20">
        <f t="shared" si="189"/>
        <v>1.3765621991510601E-12</v>
      </c>
      <c r="GY164" s="59">
        <f t="shared" si="137"/>
        <v>293.33333333333468</v>
      </c>
      <c r="GZ164" s="59">
        <f ca="1">AVERAGE(OFFSET($GY$3,0,0,'Données projet'!$E$18+1,1))-AVERAGE(OFFSET($H$3,0,0,'Données projet'!$E$18+1,1))</f>
        <v>199.58763537752952</v>
      </c>
      <c r="HA164" s="59">
        <f t="shared" si="160"/>
        <v>242.62852778451929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>
        <f>EXP(-LN(2)/35)*HG163+(1-EXP(-LN(2)/35))/(LN(2)/35)*HC164*HD164*VLOOKUP('Données projet'!$B$18,Paramètres!$A$1:$I$89,3,0)*0.475*44/12</f>
        <v>0</v>
      </c>
      <c r="HH164" s="21">
        <f>EXP(-LN(2)/25)*HH163+(1-EXP(-LN(2)/25))/(LN(2)/25)*Calculateur!HC164*Calculateur!HE164*VLOOKUP('Données projet'!$B$18,Paramètres!$A$1:$I$89,3,0)*0.475*44/12</f>
        <v>0.27209569133151978</v>
      </c>
      <c r="HI164" s="21">
        <f>EXP(-LN(2)/2)*HI163+(1-EXP(-LN(2)/2))/(LN(2)/2)*HC164*HF164*VLOOKUP('Données projet'!$B$18,Paramètres!$A$1:$I$89,3,0)*0.475*44/12</f>
        <v>2.0625783296972841E-19</v>
      </c>
      <c r="HJ164" s="22">
        <f t="shared" si="190"/>
        <v>0.27209569133151978</v>
      </c>
    </row>
    <row r="165" spans="1:218" x14ac:dyDescent="0.2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144.05040000000002</v>
      </c>
      <c r="D165" s="11">
        <f t="shared" si="140"/>
        <v>37.223349436444416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1399.3061360006238</v>
      </c>
      <c r="H165" s="67">
        <f t="shared" si="110"/>
        <v>609.05178026847398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-2.2737367544323206E-13</v>
      </c>
      <c r="O165" s="13">
        <f>N165*VLOOKUP('Données projet'!$B$9,Paramètres!$A$1:$I$89,3,0)*VLOOKUP('Données projet'!$B$9,Paramètres!$A$1:$I$89,5,0)</f>
        <v>-1.2710188457276673E-13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255.5374979188561</v>
      </c>
      <c r="T165" s="59">
        <f t="shared" si="142"/>
        <v>343.10418468620901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0.22628256542108874</v>
      </c>
      <c r="AA165" s="21">
        <f>EXP(-LN(2)/25)*AA164+(1-EXP(-LN(2)/25))/(LN(2)/25)*Calculateur!V165*Calculateur!X165*VLOOKUP('Données projet'!$B$9,Paramètres!$A$1:$I$89,3,0)*0.475*44/12</f>
        <v>0.41077268915473536</v>
      </c>
      <c r="AB165" s="21">
        <f>EXP(-LN(2)/2)*AB164+(1-EXP(-LN(2)/2))/(LN(2)/2)*V165*Y165*VLOOKUP('Données projet'!$B$9,Paramètres!$A$1:$I$89,3,0)*0.475*44/12</f>
        <v>2.2939713272577563E-20</v>
      </c>
      <c r="AC165" s="22">
        <f t="shared" si="163"/>
        <v>0.63705525457582413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1.1368683772161603E-13</v>
      </c>
      <c r="AJ165" s="13">
        <f>AI165*VLOOKUP('Données projet'!$B$10,Paramètres!$A$1:$I$89,3,0)*VLOOKUP('Données projet'!$B$10,Paramètres!$A$1:$I$89,5,0)</f>
        <v>6.3550942286383367E-14</v>
      </c>
      <c r="AK165" s="13">
        <f t="shared" si="164"/>
        <v>1.0064464192543978E-12</v>
      </c>
      <c r="AL165" s="20">
        <f t="shared" si="165"/>
        <v>1.8635787380168604E-12</v>
      </c>
      <c r="AM165" s="59">
        <f t="shared" si="113"/>
        <v>293.33333333333519</v>
      </c>
      <c r="AN165" s="59">
        <f ca="1">AVERAGE(OFFSET($AM$3,0,0,'Données projet'!$E$10+1,1))-AVERAGE(OFFSET($H$3,0,0,'Données projet'!$E$10+1,1))</f>
        <v>224.7049802939942</v>
      </c>
      <c r="AO165" s="59">
        <f t="shared" si="144"/>
        <v>203.48513862195352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0.16338707135325409</v>
      </c>
      <c r="AV165" s="21">
        <f>EXP(-LN(2)/25)*AV164+(1-EXP(-LN(2)/25))/(LN(2)/25)*Calculateur!AQ165*Calculateur!AS165*VLOOKUP('Données projet'!$B$10,Paramètres!$A$1:$I$89,3,0)*0.475*44/12</f>
        <v>0.50250704675408187</v>
      </c>
      <c r="AW165" s="21">
        <f>EXP(-LN(2)/2)*AW164+(1-EXP(-LN(2)/2))/(LN(2)/2)*AQ165*AT165*VLOOKUP('Données projet'!$B$10,Paramètres!$A$1:$I$89,3,0)*0.475*44/12</f>
        <v>1.2143894547573224E-19</v>
      </c>
      <c r="AX165" s="21">
        <f t="shared" si="166"/>
        <v>0.6658941181073359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>
        <f>BD165*VLOOKUP('Données projet'!$B$11,Paramètres!$A$1:$I$89,3,0)*VLOOKUP('Données projet'!$B$11,Paramètres!$A$1:$I$89,5,0)</f>
        <v>0</v>
      </c>
      <c r="BF165" s="13" t="e">
        <f t="shared" si="167"/>
        <v>#NUM!</v>
      </c>
      <c r="BG165" s="20" t="e">
        <f t="shared" si="168"/>
        <v>#NUM!</v>
      </c>
      <c r="BH165" s="59" t="e">
        <f t="shared" si="116"/>
        <v>#NUM!</v>
      </c>
      <c r="BI165" s="59">
        <f ca="1">AVERAGE(OFFSET($BH$3,0,0,'Données projet'!$E$11+1,1))-AVERAGE(OFFSET($H$3,0,0,'Données projet'!$E$11+1,1))</f>
        <v>210.04871822652808</v>
      </c>
      <c r="BJ165" s="59">
        <f t="shared" si="146"/>
        <v>250.17540614049324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0.53464856405938477</v>
      </c>
      <c r="BQ165" s="21">
        <f>EXP(-LN(2)/25)*BQ164+(1-EXP(-LN(2)/25))/(LN(2)/25)*Calculateur!BL165*Calculateur!BN165*VLOOKUP('Données projet'!$B$11,Paramètres!$A$1:$I$89,3,0)*0.475*44/12</f>
        <v>0.7162851785018336</v>
      </c>
      <c r="BR165" s="21">
        <f>EXP(-LN(2)/2)*BR164+(1-EXP(-LN(2)/2))/(LN(2)/2)*BL165*BO165*VLOOKUP('Données projet'!$B$11,Paramètres!$A$1:$I$89,3,0)*0.475*44/12</f>
        <v>2.9210966243184452E-19</v>
      </c>
      <c r="BS165" s="22">
        <f t="shared" si="169"/>
        <v>1.2509337425612184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2.2737367544323206E-13</v>
      </c>
      <c r="BZ165" s="13">
        <f>BY165*VLOOKUP('Données projet'!$B$12,Paramètres!$A$1:$I$89,3,0)*VLOOKUP('Données projet'!$B$12,Paramètres!$A$1:$I$89,5,0)</f>
        <v>1.2414602679200471E-13</v>
      </c>
      <c r="CA165" s="13">
        <f t="shared" si="170"/>
        <v>1.8186582995804361E-12</v>
      </c>
      <c r="CB165" s="20">
        <f t="shared" si="171"/>
        <v>3.3837175350986671E-12</v>
      </c>
      <c r="CC165" s="59">
        <f t="shared" si="119"/>
        <v>293.33333333333672</v>
      </c>
      <c r="CD165" s="59">
        <f ca="1">AVERAGE(OFFSET($CC$3,0,0,'Données projet'!$E$12+1,1))-AVERAGE(OFFSET($H$3,0,0,'Données projet'!$E$12+1,1))</f>
        <v>168.72306536277267</v>
      </c>
      <c r="CE165" s="59">
        <f t="shared" si="148"/>
        <v>203.35476578922339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0.22277023502474369</v>
      </c>
      <c r="CL165" s="21">
        <f>EXP(-LN(2)/25)*CL164+(1-EXP(-LN(2)/25))/(LN(2)/25)*Calculateur!CG165*Calculateur!CI165*VLOOKUP('Données projet'!$B$12,Paramètres!$A$1:$I$89,3,0)*0.475*44/12</f>
        <v>0.5915705399158373</v>
      </c>
      <c r="CM165" s="21">
        <f>EXP(-LN(2)/2)*CM164+(1-EXP(-LN(2)/2))/(LN(2)/2)*CG165*CJ165*VLOOKUP('Données projet'!$B$12,Paramètres!$A$1:$I$89,3,0)*0.475*44/12</f>
        <v>2.713737251148214E-19</v>
      </c>
      <c r="CN165" s="22">
        <f t="shared" si="172"/>
        <v>0.81434077494058099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1277.6923076923067</v>
      </c>
      <c r="CU165" s="17">
        <f>CT165*VLOOKUP('Données projet'!$B$13,Paramètres!$A$1:$I$89,3,0)*VLOOKUP('Données projet'!$B$13,Paramètres!$A$1:$I$89,5,0)</f>
        <v>614.5699999999996</v>
      </c>
      <c r="CV165" s="13">
        <f t="shared" si="173"/>
        <v>134.13240620831178</v>
      </c>
      <c r="CW165" s="20">
        <f t="shared" si="174"/>
        <v>1303.9900241461421</v>
      </c>
      <c r="CX165" s="59">
        <f t="shared" si="122"/>
        <v>1597.3233574794754</v>
      </c>
      <c r="CY165" s="59">
        <f ca="1">AVERAGE(OFFSET($CX$3,0,0,'Données projet'!$E$13+1,1))-AVERAGE(OFFSET($H$3,0,0,'Données projet'!$E$13+1,1))</f>
        <v>304.15237106473313</v>
      </c>
      <c r="CZ165" s="59">
        <f t="shared" si="150"/>
        <v>120.85458928724336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>
        <f>EXP(-LN(2)/35)*DF164+(1-EXP(-LN(2)/35))/(LN(2)/35)*DB165*DC165*VLOOKUP('Données projet'!$B$13,Paramètres!$A$1:$I$89,3,0)*0.475*44/12</f>
        <v>0</v>
      </c>
      <c r="DG165" s="21">
        <f>EXP(-LN(2)/25)*DG164+(1-EXP(-LN(2)/25))/(LN(2)/25)*Calculateur!DB165*Calculateur!DD165*VLOOKUP('Données projet'!$B$13,Paramètres!$A$1:$I$89,3,0)*0.475*44/12</f>
        <v>0</v>
      </c>
      <c r="DH165" s="21">
        <f>EXP(-LN(2)/2)*DH164+(1-EXP(-LN(2)/2))/(LN(2)/2)*DB165*DE165*VLOOKUP('Données projet'!$B$13,Paramètres!$A$1:$I$89,3,0)*0.475*44/12</f>
        <v>0</v>
      </c>
      <c r="DI165" s="22">
        <f t="shared" si="175"/>
        <v>0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425.38461538461536</v>
      </c>
      <c r="DP165" s="17">
        <f>DO165*VLOOKUP('Données projet'!$B$14,Paramètres!$A$1:$I$89,3,0)*VLOOKUP('Données projet'!$B$14,Paramètres!$A$1:$I$89,5,0)</f>
        <v>204.60999999999999</v>
      </c>
      <c r="DQ165" s="13">
        <f t="shared" si="176"/>
        <v>50.755958577224398</v>
      </c>
      <c r="DR165" s="20">
        <f t="shared" si="177"/>
        <v>444.76237785533249</v>
      </c>
      <c r="DS165" s="59">
        <f t="shared" si="125"/>
        <v>738.09571118866575</v>
      </c>
      <c r="DT165" s="59">
        <f ca="1">AVERAGE(OFFSET($DS$3,0,0,'Données projet'!$E$14+1,1))-AVERAGE(OFFSET($H$3,0,0,'Données projet'!$E$14+1,1))</f>
        <v>91.053246648097399</v>
      </c>
      <c r="DU165" s="59">
        <f t="shared" si="152"/>
        <v>64.716270355703955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>
        <f>EXP(-LN(2)/35)*EA164+(1-EXP(-LN(2)/35))/(LN(2)/35)*DW165*DX165*VLOOKUP('Données projet'!$B$14,Paramètres!$A$1:$I$89,3,0)*0.475*44/12</f>
        <v>0</v>
      </c>
      <c r="EB165" s="21">
        <f>EXP(-LN(2)/25)*EB164+(1-EXP(-LN(2)/25))/(LN(2)/25)*Calculateur!DW165*Calculateur!DY165*VLOOKUP('Données projet'!$B$14,Paramètres!$A$1:$I$89,3,0)*0.475*44/12</f>
        <v>0</v>
      </c>
      <c r="EC165" s="21">
        <f>EXP(-LN(2)/2)*EC164+(1-EXP(-LN(2)/2))/(LN(2)/2)*DW165*DZ165*VLOOKUP('Données projet'!$B$14,Paramètres!$A$1:$I$89,3,0)*0.475*44/12</f>
        <v>0</v>
      </c>
      <c r="ED165" s="22">
        <f t="shared" si="178"/>
        <v>0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553.99999999999955</v>
      </c>
      <c r="EK165" s="17">
        <f>EJ165*VLOOKUP('Données projet'!$B$15,Paramètres!$A$1:$I$89,3,0)*VLOOKUP('Données projet'!$B$15,Paramètres!$A$1:$I$89,5,0)</f>
        <v>331.29199999999975</v>
      </c>
      <c r="EL165" s="13">
        <f t="shared" si="179"/>
        <v>77.698110787752</v>
      </c>
      <c r="EM165" s="20">
        <f t="shared" si="180"/>
        <v>712.32444295533423</v>
      </c>
      <c r="EN165" s="59">
        <f t="shared" si="128"/>
        <v>1005.6577762886675</v>
      </c>
      <c r="EO165" s="59">
        <f ca="1">AVERAGE(OFFSET($EN$3,0,0,'Données projet'!$E$15+1,1))-AVERAGE(OFFSET($H$3,0,0,'Données projet'!$E$15+1,1))</f>
        <v>316.58509520829671</v>
      </c>
      <c r="EP165" s="59">
        <f t="shared" si="154"/>
        <v>240.71332110643596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>
        <f>EXP(-LN(2)/35)*EV164+(1-EXP(-LN(2)/35))/(LN(2)/35)*ER165*ES165*VLOOKUP('Données projet'!$B$15,Paramètres!$A$1:$I$89,3,0)*0.475*44/12</f>
        <v>0.18560397642622803</v>
      </c>
      <c r="EW165" s="21">
        <f>EXP(-LN(2)/25)*EW164+(1-EXP(-LN(2)/25))/(LN(2)/25)*Calculateur!ER165*Calculateur!ET165*VLOOKUP('Données projet'!$B$15,Paramètres!$A$1:$I$89,3,0)*0.475*44/12</f>
        <v>0.39295397810568894</v>
      </c>
      <c r="EX165" s="21">
        <f>EXP(-LN(2)/2)*EX164+(1-EXP(-LN(2)/2))/(LN(2)/2)*ER165*EU165*VLOOKUP('Données projet'!$B$15,Paramètres!$A$1:$I$89,3,0)*0.475*44/12</f>
        <v>2.9733354274439494E-19</v>
      </c>
      <c r="EY165" s="22">
        <f t="shared" si="181"/>
        <v>0.57855795453191694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497</v>
      </c>
      <c r="FF165" s="17">
        <f>FE165*VLOOKUP('Données projet'!$B$16,Paramètres!$A$1:$I$89,3,0)*VLOOKUP('Données projet'!$B$16,Paramètres!$A$1:$I$89,5,0)</f>
        <v>297.20600000000002</v>
      </c>
      <c r="FG165" s="13">
        <f t="shared" si="182"/>
        <v>70.590415164571112</v>
      </c>
      <c r="FH165" s="20">
        <f t="shared" si="183"/>
        <v>640.57875641162809</v>
      </c>
      <c r="FI165" s="59">
        <f t="shared" si="131"/>
        <v>933.91208974496135</v>
      </c>
      <c r="FJ165" s="59">
        <f ca="1">AVERAGE(OFFSET($FI$3,0,0,'Données projet'!$E$16+1,1))-AVERAGE(OFFSET($H$3,0,0,'Données projet'!$E$16+1,1))</f>
        <v>270.30888762640245</v>
      </c>
      <c r="FK165" s="59">
        <f t="shared" si="156"/>
        <v>202.23783851977691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>
        <f>EXP(-LN(2)/35)*FQ164+(1-EXP(-LN(2)/35))/(LN(2)/35)*FM165*FN165*VLOOKUP('Données projet'!$B$16,Paramètres!$A$1:$I$89,3,0)*0.475*44/12</f>
        <v>0.15684843078272773</v>
      </c>
      <c r="FR165" s="21">
        <f>EXP(-LN(2)/25)*FR164+(1-EXP(-LN(2)/25))/(LN(2)/25)*Calculateur!FM165*Calculateur!FO165*VLOOKUP('Données projet'!$B$16,Paramètres!$A$1:$I$89,3,0)*0.475*44/12</f>
        <v>0.31644446894038553</v>
      </c>
      <c r="FS165" s="21">
        <f>EXP(-LN(2)/2)*FS164+(1-EXP(-LN(2)/2))/(LN(2)/2)*FM165*FP165*VLOOKUP('Données projet'!$B$16,Paramètres!$A$1:$I$89,3,0)*0.475*44/12</f>
        <v>2.5062158005458534E-19</v>
      </c>
      <c r="FT165" s="22">
        <f t="shared" si="184"/>
        <v>0.47329289972311328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-5.1159076974727213E-13</v>
      </c>
      <c r="GA165" s="17">
        <f>FZ165*VLOOKUP('Données projet'!$B$17,Paramètres!$A$1:$I$89,3,0)*VLOOKUP('Données projet'!$B$17,Paramètres!$A$1:$I$89,5,0)</f>
        <v>-4.0702161641092972E-13</v>
      </c>
      <c r="GB165" s="13" t="e">
        <f t="shared" si="185"/>
        <v>#NUM!</v>
      </c>
      <c r="GC165" s="20" t="e">
        <f t="shared" si="186"/>
        <v>#NUM!</v>
      </c>
      <c r="GD165" s="59" t="e">
        <f t="shared" si="134"/>
        <v>#NUM!</v>
      </c>
      <c r="GE165" s="59">
        <f ca="1">AVERAGE(OFFSET($GD$3,0,0,'Données projet'!$E$17+1,1))-AVERAGE(OFFSET($H$3,0,0,'Données projet'!$E$17+1,1))</f>
        <v>260.20517190557814</v>
      </c>
      <c r="GF165" s="59">
        <f t="shared" si="158"/>
        <v>307.22009971147133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>
        <f>EXP(-LN(2)/35)*GL164+(1-EXP(-LN(2)/35))/(LN(2)/35)*GH165*GI165*VLOOKUP('Données projet'!$B$17,Paramètres!$A$1:$I$89,3,0)*0.475*44/12</f>
        <v>0.23894759733011225</v>
      </c>
      <c r="GM165" s="21">
        <f>EXP(-LN(2)/25)*GM164+(1-EXP(-LN(2)/25))/(LN(2)/25)*Calculateur!GH165*Calculateur!GJ165*VLOOKUP('Données projet'!$B$17,Paramètres!$A$1:$I$89,3,0)*0.475*44/12</f>
        <v>0.52811751506381333</v>
      </c>
      <c r="GN165" s="21">
        <f>EXP(-LN(2)/2)*GN164+(1-EXP(-LN(2)/2))/(LN(2)/2)*GH165*GK165*VLOOKUP('Données projet'!$B$17,Paramètres!$A$1:$I$89,3,0)*0.475*44/12</f>
        <v>3.2578966451616131E-19</v>
      </c>
      <c r="GO165" s="21">
        <f t="shared" si="187"/>
        <v>0.76706511239392561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5.6843418860808015E-14</v>
      </c>
      <c r="GV165" s="17">
        <f>GU165*VLOOKUP('Données projet'!$B$18,Paramètres!$A$1:$I$89,3,0)*VLOOKUP('Données projet'!$B$18,Paramètres!$A$1:$I$89,5,0)</f>
        <v>4.5224624045658861E-14</v>
      </c>
      <c r="GW165" s="13">
        <f t="shared" si="188"/>
        <v>7.4514601661523691E-13</v>
      </c>
      <c r="GX165" s="20">
        <f t="shared" si="189"/>
        <v>1.3765621991510601E-12</v>
      </c>
      <c r="GY165" s="59">
        <f t="shared" si="137"/>
        <v>293.33333333333468</v>
      </c>
      <c r="GZ165" s="59">
        <f ca="1">AVERAGE(OFFSET($GY$3,0,0,'Données projet'!$E$18+1,1))-AVERAGE(OFFSET($H$3,0,0,'Données projet'!$E$18+1,1))</f>
        <v>199.58763537752952</v>
      </c>
      <c r="HA165" s="59">
        <f t="shared" si="160"/>
        <v>242.62852778451929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>
        <f>EXP(-LN(2)/35)*HG164+(1-EXP(-LN(2)/35))/(LN(2)/35)*HC165*HD165*VLOOKUP('Données projet'!$B$18,Paramètres!$A$1:$I$89,3,0)*0.475*44/12</f>
        <v>0</v>
      </c>
      <c r="HH165" s="21">
        <f>EXP(-LN(2)/25)*HH164+(1-EXP(-LN(2)/25))/(LN(2)/25)*Calculateur!HC165*Calculateur!HE165*VLOOKUP('Données projet'!$B$18,Paramètres!$A$1:$I$89,3,0)*0.475*44/12</f>
        <v>0.26465522034316885</v>
      </c>
      <c r="HI165" s="21">
        <f>EXP(-LN(2)/2)*HI164+(1-EXP(-LN(2)/2))/(LN(2)/2)*HC165*HF165*VLOOKUP('Données projet'!$B$18,Paramètres!$A$1:$I$89,3,0)*0.475*44/12</f>
        <v>1.4584631236573721E-19</v>
      </c>
      <c r="HJ165" s="22">
        <f t="shared" si="190"/>
        <v>0.26465522034316885</v>
      </c>
    </row>
    <row r="166" spans="1:218" x14ac:dyDescent="0.2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144.93960000000001</v>
      </c>
      <c r="D166" s="11">
        <f t="shared" si="140"/>
        <v>37.426304759789126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1407.7368086720564</v>
      </c>
      <c r="H166" s="67">
        <f t="shared" si="110"/>
        <v>610.95395078996603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-2.2737367544323206E-13</v>
      </c>
      <c r="O166" s="13">
        <f>N166*VLOOKUP('Données projet'!$B$9,Paramètres!$A$1:$I$89,3,0)*VLOOKUP('Données projet'!$B$9,Paramètres!$A$1:$I$89,5,0)</f>
        <v>-1.2710188457276673E-13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255.5374979188561</v>
      </c>
      <c r="T166" s="59">
        <f t="shared" si="142"/>
        <v>343.10418468620901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0.22184530233191788</v>
      </c>
      <c r="AA166" s="21">
        <f>EXP(-LN(2)/25)*AA165+(1-EXP(-LN(2)/25))/(LN(2)/25)*Calculateur!V166*Calculateur!X166*VLOOKUP('Données projet'!$B$9,Paramètres!$A$1:$I$89,3,0)*0.475*44/12</f>
        <v>0.39954008836820221</v>
      </c>
      <c r="AB166" s="21">
        <f>EXP(-LN(2)/2)*AB165+(1-EXP(-LN(2)/2))/(LN(2)/2)*V166*Y166*VLOOKUP('Données projet'!$B$9,Paramètres!$A$1:$I$89,3,0)*0.475*44/12</f>
        <v>1.6220826813514643E-20</v>
      </c>
      <c r="AC166" s="22">
        <f t="shared" si="163"/>
        <v>0.62138539070012011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1.1368683772161603E-13</v>
      </c>
      <c r="AJ166" s="13">
        <f>AI166*VLOOKUP('Données projet'!$B$10,Paramètres!$A$1:$I$89,3,0)*VLOOKUP('Données projet'!$B$10,Paramètres!$A$1:$I$89,5,0)</f>
        <v>6.3550942286383367E-14</v>
      </c>
      <c r="AK166" s="13">
        <f t="shared" si="164"/>
        <v>1.0064464192543978E-12</v>
      </c>
      <c r="AL166" s="20">
        <f t="shared" si="165"/>
        <v>1.8635787380168604E-12</v>
      </c>
      <c r="AM166" s="59">
        <f t="shared" si="113"/>
        <v>293.33333333333519</v>
      </c>
      <c r="AN166" s="59">
        <f ca="1">AVERAGE(OFFSET($AM$3,0,0,'Données projet'!$E$10+1,1))-AVERAGE(OFFSET($H$3,0,0,'Données projet'!$E$10+1,1))</f>
        <v>224.7049802939942</v>
      </c>
      <c r="AO166" s="59">
        <f t="shared" si="144"/>
        <v>203.48513862195352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0.16018315054029006</v>
      </c>
      <c r="AV166" s="21">
        <f>EXP(-LN(2)/25)*AV165+(1-EXP(-LN(2)/25))/(LN(2)/25)*Calculateur!AQ166*Calculateur!AS166*VLOOKUP('Données projet'!$B$10,Paramètres!$A$1:$I$89,3,0)*0.475*44/12</f>
        <v>0.4887659651348944</v>
      </c>
      <c r="AW166" s="21">
        <f>EXP(-LN(2)/2)*AW165+(1-EXP(-LN(2)/2))/(LN(2)/2)*AQ166*AT166*VLOOKUP('Données projet'!$B$10,Paramètres!$A$1:$I$89,3,0)*0.475*44/12</f>
        <v>8.5870301846033675E-20</v>
      </c>
      <c r="AX166" s="21">
        <f t="shared" si="166"/>
        <v>0.64894911567518443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>
        <f>BD166*VLOOKUP('Données projet'!$B$11,Paramètres!$A$1:$I$89,3,0)*VLOOKUP('Données projet'!$B$11,Paramètres!$A$1:$I$89,5,0)</f>
        <v>0</v>
      </c>
      <c r="BF166" s="13" t="e">
        <f t="shared" si="167"/>
        <v>#NUM!</v>
      </c>
      <c r="BG166" s="20" t="e">
        <f t="shared" si="168"/>
        <v>#NUM!</v>
      </c>
      <c r="BH166" s="59" t="e">
        <f t="shared" si="116"/>
        <v>#NUM!</v>
      </c>
      <c r="BI166" s="59">
        <f ca="1">AVERAGE(OFFSET($BH$3,0,0,'Données projet'!$E$11+1,1))-AVERAGE(OFFSET($H$3,0,0,'Données projet'!$E$11+1,1))</f>
        <v>210.04871822652808</v>
      </c>
      <c r="BJ166" s="59">
        <f t="shared" si="146"/>
        <v>250.17540614049324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0.52416443182160422</v>
      </c>
      <c r="BQ166" s="21">
        <f>EXP(-LN(2)/25)*BQ165+(1-EXP(-LN(2)/25))/(LN(2)/25)*Calculateur!BL166*Calculateur!BN166*VLOOKUP('Données projet'!$B$11,Paramètres!$A$1:$I$89,3,0)*0.475*44/12</f>
        <v>0.69669832262790055</v>
      </c>
      <c r="BR166" s="21">
        <f>EXP(-LN(2)/2)*BR165+(1-EXP(-LN(2)/2))/(LN(2)/2)*BL166*BO166*VLOOKUP('Données projet'!$B$11,Paramètres!$A$1:$I$89,3,0)*0.475*44/12</f>
        <v>2.0655272315567055E-19</v>
      </c>
      <c r="BS166" s="22">
        <f t="shared" si="169"/>
        <v>1.2208627544495048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2.2737367544323206E-13</v>
      </c>
      <c r="BZ166" s="13">
        <f>BY166*VLOOKUP('Données projet'!$B$12,Paramètres!$A$1:$I$89,3,0)*VLOOKUP('Données projet'!$B$12,Paramètres!$A$1:$I$89,5,0)</f>
        <v>1.2414602679200471E-13</v>
      </c>
      <c r="CA166" s="13">
        <f t="shared" si="170"/>
        <v>1.8186582995804361E-12</v>
      </c>
      <c r="CB166" s="20">
        <f t="shared" si="171"/>
        <v>3.3837175350986671E-12</v>
      </c>
      <c r="CC166" s="59">
        <f t="shared" si="119"/>
        <v>293.33333333333672</v>
      </c>
      <c r="CD166" s="59">
        <f ca="1">AVERAGE(OFFSET($CC$3,0,0,'Données projet'!$E$12+1,1))-AVERAGE(OFFSET($H$3,0,0,'Données projet'!$E$12+1,1))</f>
        <v>168.72306536277267</v>
      </c>
      <c r="CE166" s="59">
        <f t="shared" si="148"/>
        <v>203.35476578922339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0.21840184659233514</v>
      </c>
      <c r="CL166" s="21">
        <f>EXP(-LN(2)/25)*CL165+(1-EXP(-LN(2)/25))/(LN(2)/25)*Calculateur!CG166*Calculateur!CI166*VLOOKUP('Données projet'!$B$12,Paramètres!$A$1:$I$89,3,0)*0.475*44/12</f>
        <v>0.5753940123924961</v>
      </c>
      <c r="CM166" s="21">
        <f>EXP(-LN(2)/2)*CM165+(1-EXP(-LN(2)/2))/(LN(2)/2)*CG166*CJ166*VLOOKUP('Données projet'!$B$12,Paramètres!$A$1:$I$89,3,0)*0.475*44/12</f>
        <v>1.9189020126454431E-19</v>
      </c>
      <c r="CN166" s="22">
        <f t="shared" si="172"/>
        <v>0.79379585898483129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1277.6923076923067</v>
      </c>
      <c r="CU166" s="17">
        <f>CT166*VLOOKUP('Données projet'!$B$13,Paramètres!$A$1:$I$89,3,0)*VLOOKUP('Données projet'!$B$13,Paramètres!$A$1:$I$89,5,0)</f>
        <v>614.5699999999996</v>
      </c>
      <c r="CV166" s="13">
        <f t="shared" si="173"/>
        <v>134.13240620831178</v>
      </c>
      <c r="CW166" s="20">
        <f t="shared" si="174"/>
        <v>1303.9900241461421</v>
      </c>
      <c r="CX166" s="59">
        <f t="shared" si="122"/>
        <v>1597.3233574794754</v>
      </c>
      <c r="CY166" s="59">
        <f ca="1">AVERAGE(OFFSET($CX$3,0,0,'Données projet'!$E$13+1,1))-AVERAGE(OFFSET($H$3,0,0,'Données projet'!$E$13+1,1))</f>
        <v>304.15237106473313</v>
      </c>
      <c r="CZ166" s="59">
        <f t="shared" si="150"/>
        <v>120.85458928724336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>
        <f>EXP(-LN(2)/35)*DF165+(1-EXP(-LN(2)/35))/(LN(2)/35)*DB166*DC166*VLOOKUP('Données projet'!$B$13,Paramètres!$A$1:$I$89,3,0)*0.475*44/12</f>
        <v>0</v>
      </c>
      <c r="DG166" s="21">
        <f>EXP(-LN(2)/25)*DG165+(1-EXP(-LN(2)/25))/(LN(2)/25)*Calculateur!DB166*Calculateur!DD166*VLOOKUP('Données projet'!$B$13,Paramètres!$A$1:$I$89,3,0)*0.475*44/12</f>
        <v>0</v>
      </c>
      <c r="DH166" s="21">
        <f>EXP(-LN(2)/2)*DH165+(1-EXP(-LN(2)/2))/(LN(2)/2)*DB166*DE166*VLOOKUP('Données projet'!$B$13,Paramètres!$A$1:$I$89,3,0)*0.475*44/12</f>
        <v>0</v>
      </c>
      <c r="DI166" s="22">
        <f t="shared" si="175"/>
        <v>0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425.38461538461536</v>
      </c>
      <c r="DP166" s="17">
        <f>DO166*VLOOKUP('Données projet'!$B$14,Paramètres!$A$1:$I$89,3,0)*VLOOKUP('Données projet'!$B$14,Paramètres!$A$1:$I$89,5,0)</f>
        <v>204.60999999999999</v>
      </c>
      <c r="DQ166" s="13">
        <f t="shared" si="176"/>
        <v>50.755958577224398</v>
      </c>
      <c r="DR166" s="20">
        <f t="shared" si="177"/>
        <v>444.76237785533249</v>
      </c>
      <c r="DS166" s="59">
        <f t="shared" si="125"/>
        <v>738.09571118866575</v>
      </c>
      <c r="DT166" s="59">
        <f ca="1">AVERAGE(OFFSET($DS$3,0,0,'Données projet'!$E$14+1,1))-AVERAGE(OFFSET($H$3,0,0,'Données projet'!$E$14+1,1))</f>
        <v>91.053246648097399</v>
      </c>
      <c r="DU166" s="59">
        <f t="shared" si="152"/>
        <v>64.716270355703955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>
        <f>EXP(-LN(2)/35)*EA165+(1-EXP(-LN(2)/35))/(LN(2)/35)*DW166*DX166*VLOOKUP('Données projet'!$B$14,Paramètres!$A$1:$I$89,3,0)*0.475*44/12</f>
        <v>0</v>
      </c>
      <c r="EB166" s="21">
        <f>EXP(-LN(2)/25)*EB165+(1-EXP(-LN(2)/25))/(LN(2)/25)*Calculateur!DW166*Calculateur!DY166*VLOOKUP('Données projet'!$B$14,Paramètres!$A$1:$I$89,3,0)*0.475*44/12</f>
        <v>0</v>
      </c>
      <c r="EC166" s="21">
        <f>EXP(-LN(2)/2)*EC165+(1-EXP(-LN(2)/2))/(LN(2)/2)*DW166*DZ166*VLOOKUP('Données projet'!$B$14,Paramètres!$A$1:$I$89,3,0)*0.475*44/12</f>
        <v>0</v>
      </c>
      <c r="ED166" s="22">
        <f t="shared" si="178"/>
        <v>0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553.99999999999955</v>
      </c>
      <c r="EK166" s="17">
        <f>EJ166*VLOOKUP('Données projet'!$B$15,Paramètres!$A$1:$I$89,3,0)*VLOOKUP('Données projet'!$B$15,Paramètres!$A$1:$I$89,5,0)</f>
        <v>331.29199999999975</v>
      </c>
      <c r="EL166" s="13">
        <f t="shared" si="179"/>
        <v>77.698110787752</v>
      </c>
      <c r="EM166" s="20">
        <f t="shared" si="180"/>
        <v>712.32444295533423</v>
      </c>
      <c r="EN166" s="59">
        <f t="shared" si="128"/>
        <v>1005.6577762886675</v>
      </c>
      <c r="EO166" s="59">
        <f ca="1">AVERAGE(OFFSET($EN$3,0,0,'Données projet'!$E$15+1,1))-AVERAGE(OFFSET($H$3,0,0,'Données projet'!$E$15+1,1))</f>
        <v>316.58509520829671</v>
      </c>
      <c r="EP166" s="59">
        <f t="shared" si="154"/>
        <v>240.71332110643596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>
        <f>EXP(-LN(2)/35)*EV165+(1-EXP(-LN(2)/35))/(LN(2)/35)*ER166*ES166*VLOOKUP('Données projet'!$B$15,Paramètres!$A$1:$I$89,3,0)*0.475*44/12</f>
        <v>0.18196439565575703</v>
      </c>
      <c r="EW166" s="21">
        <f>EXP(-LN(2)/25)*EW165+(1-EXP(-LN(2)/25))/(LN(2)/25)*Calculateur!ER166*Calculateur!ET166*VLOOKUP('Données projet'!$B$15,Paramètres!$A$1:$I$89,3,0)*0.475*44/12</f>
        <v>0.38220863090983725</v>
      </c>
      <c r="EX166" s="21">
        <f>EXP(-LN(2)/2)*EX165+(1-EXP(-LN(2)/2))/(LN(2)/2)*ER166*EU166*VLOOKUP('Données projet'!$B$15,Paramètres!$A$1:$I$89,3,0)*0.475*44/12</f>
        <v>2.1024656434878185E-19</v>
      </c>
      <c r="EY166" s="22">
        <f t="shared" si="181"/>
        <v>0.56417302656559432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497</v>
      </c>
      <c r="FF166" s="17">
        <f>FE166*VLOOKUP('Données projet'!$B$16,Paramètres!$A$1:$I$89,3,0)*VLOOKUP('Données projet'!$B$16,Paramètres!$A$1:$I$89,5,0)</f>
        <v>297.20600000000002</v>
      </c>
      <c r="FG166" s="13">
        <f t="shared" si="182"/>
        <v>70.590415164571112</v>
      </c>
      <c r="FH166" s="20">
        <f t="shared" si="183"/>
        <v>640.57875641162809</v>
      </c>
      <c r="FI166" s="59">
        <f t="shared" si="131"/>
        <v>933.91208974496135</v>
      </c>
      <c r="FJ166" s="59">
        <f ca="1">AVERAGE(OFFSET($FI$3,0,0,'Données projet'!$E$16+1,1))-AVERAGE(OFFSET($H$3,0,0,'Données projet'!$E$16+1,1))</f>
        <v>270.30888762640245</v>
      </c>
      <c r="FK166" s="59">
        <f t="shared" si="156"/>
        <v>202.23783851977691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>
        <f>EXP(-LN(2)/35)*FQ165+(1-EXP(-LN(2)/35))/(LN(2)/35)*FM166*FN166*VLOOKUP('Données projet'!$B$16,Paramètres!$A$1:$I$89,3,0)*0.475*44/12</f>
        <v>0.15377272872317477</v>
      </c>
      <c r="FR166" s="21">
        <f>EXP(-LN(2)/25)*FR165+(1-EXP(-LN(2)/25))/(LN(2)/25)*Calculateur!FM166*Calculateur!FO166*VLOOKUP('Données projet'!$B$16,Paramètres!$A$1:$I$89,3,0)*0.475*44/12</f>
        <v>0.3077912782961193</v>
      </c>
      <c r="FS166" s="21">
        <f>EXP(-LN(2)/2)*FS165+(1-EXP(-LN(2)/2))/(LN(2)/2)*FM166*FP166*VLOOKUP('Données projet'!$B$16,Paramètres!$A$1:$I$89,3,0)*0.475*44/12</f>
        <v>1.7721621876828448E-19</v>
      </c>
      <c r="FT166" s="22">
        <f t="shared" si="184"/>
        <v>0.46156400701929406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-5.1159076974727213E-13</v>
      </c>
      <c r="GA166" s="17">
        <f>FZ166*VLOOKUP('Données projet'!$B$17,Paramètres!$A$1:$I$89,3,0)*VLOOKUP('Données projet'!$B$17,Paramètres!$A$1:$I$89,5,0)</f>
        <v>-4.0702161641092972E-13</v>
      </c>
      <c r="GB166" s="13" t="e">
        <f t="shared" si="185"/>
        <v>#NUM!</v>
      </c>
      <c r="GC166" s="20" t="e">
        <f t="shared" si="186"/>
        <v>#NUM!</v>
      </c>
      <c r="GD166" s="59" t="e">
        <f t="shared" si="134"/>
        <v>#NUM!</v>
      </c>
      <c r="GE166" s="59">
        <f ca="1">AVERAGE(OFFSET($GD$3,0,0,'Données projet'!$E$17+1,1))-AVERAGE(OFFSET($H$3,0,0,'Données projet'!$E$17+1,1))</f>
        <v>260.20517190557814</v>
      </c>
      <c r="GF166" s="59">
        <f t="shared" si="158"/>
        <v>307.22009971147133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>
        <f>EXP(-LN(2)/35)*GL165+(1-EXP(-LN(2)/35))/(LN(2)/35)*GH166*GI166*VLOOKUP('Données projet'!$B$17,Paramètres!$A$1:$I$89,3,0)*0.475*44/12</f>
        <v>0.23426198069011214</v>
      </c>
      <c r="GM166" s="21">
        <f>EXP(-LN(2)/25)*GM165+(1-EXP(-LN(2)/25))/(LN(2)/25)*Calculateur!GH166*Calculateur!GJ166*VLOOKUP('Données projet'!$B$17,Paramètres!$A$1:$I$89,3,0)*0.475*44/12</f>
        <v>0.51367611384190026</v>
      </c>
      <c r="GN166" s="21">
        <f>EXP(-LN(2)/2)*GN165+(1-EXP(-LN(2)/2))/(LN(2)/2)*GH166*GK166*VLOOKUP('Données projet'!$B$17,Paramètres!$A$1:$I$89,3,0)*0.475*44/12</f>
        <v>2.30368081019868E-19</v>
      </c>
      <c r="GO166" s="21">
        <f t="shared" si="187"/>
        <v>0.74793809453201243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5.6843418860808015E-14</v>
      </c>
      <c r="GV166" s="17">
        <f>GU166*VLOOKUP('Données projet'!$B$18,Paramètres!$A$1:$I$89,3,0)*VLOOKUP('Données projet'!$B$18,Paramètres!$A$1:$I$89,5,0)</f>
        <v>4.5224624045658861E-14</v>
      </c>
      <c r="GW166" s="13">
        <f t="shared" si="188"/>
        <v>7.4514601661523691E-13</v>
      </c>
      <c r="GX166" s="20">
        <f t="shared" si="189"/>
        <v>1.3765621991510601E-12</v>
      </c>
      <c r="GY166" s="59">
        <f t="shared" si="137"/>
        <v>293.33333333333468</v>
      </c>
      <c r="GZ166" s="59">
        <f ca="1">AVERAGE(OFFSET($GY$3,0,0,'Données projet'!$E$18+1,1))-AVERAGE(OFFSET($H$3,0,0,'Données projet'!$E$18+1,1))</f>
        <v>199.58763537752952</v>
      </c>
      <c r="HA166" s="59">
        <f t="shared" si="160"/>
        <v>242.62852778451929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>
        <f>EXP(-LN(2)/35)*HG165+(1-EXP(-LN(2)/35))/(LN(2)/35)*HC166*HD166*VLOOKUP('Données projet'!$B$18,Paramètres!$A$1:$I$89,3,0)*0.475*44/12</f>
        <v>0</v>
      </c>
      <c r="HH166" s="21">
        <f>EXP(-LN(2)/25)*HH165+(1-EXP(-LN(2)/25))/(LN(2)/25)*Calculateur!HC166*Calculateur!HE166*VLOOKUP('Données projet'!$B$18,Paramètres!$A$1:$I$89,3,0)*0.475*44/12</f>
        <v>0.25741820942527172</v>
      </c>
      <c r="HI166" s="21">
        <f>EXP(-LN(2)/2)*HI165+(1-EXP(-LN(2)/2))/(LN(2)/2)*HC166*HF166*VLOOKUP('Données projet'!$B$18,Paramètres!$A$1:$I$89,3,0)*0.475*44/12</f>
        <v>1.031289164848642E-19</v>
      </c>
      <c r="HJ166" s="22">
        <f t="shared" si="190"/>
        <v>0.25741820942527172</v>
      </c>
    </row>
    <row r="167" spans="1:218" x14ac:dyDescent="0.2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145.8288</v>
      </c>
      <c r="D167" s="11">
        <f t="shared" si="140"/>
        <v>37.629115201395898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1416.1663629581437</v>
      </c>
      <c r="H167" s="67">
        <f t="shared" si="110"/>
        <v>612.85586897576445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-2.2737367544323206E-13</v>
      </c>
      <c r="O167" s="13">
        <f>N167*VLOOKUP('Données projet'!$B$9,Paramètres!$A$1:$I$89,3,0)*VLOOKUP('Données projet'!$B$9,Paramètres!$A$1:$I$89,5,0)</f>
        <v>-1.2710188457276673E-13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255.5374979188561</v>
      </c>
      <c r="T167" s="59">
        <f t="shared" si="142"/>
        <v>343.10418468620901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0.21749505126546242</v>
      </c>
      <c r="AA167" s="21">
        <f>EXP(-LN(2)/25)*AA166+(1-EXP(-LN(2)/25))/(LN(2)/25)*Calculateur!V167*Calculateur!X167*VLOOKUP('Données projet'!$B$9,Paramètres!$A$1:$I$89,3,0)*0.475*44/12</f>
        <v>0.38861464364087361</v>
      </c>
      <c r="AB167" s="21">
        <f>EXP(-LN(2)/2)*AB166+(1-EXP(-LN(2)/2))/(LN(2)/2)*V167*Y167*VLOOKUP('Données projet'!$B$9,Paramètres!$A$1:$I$89,3,0)*0.475*44/12</f>
        <v>1.1469856636288782E-20</v>
      </c>
      <c r="AC167" s="22">
        <f t="shared" si="163"/>
        <v>0.60610969490633604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1.1368683772161603E-13</v>
      </c>
      <c r="AJ167" s="13">
        <f>AI167*VLOOKUP('Données projet'!$B$10,Paramètres!$A$1:$I$89,3,0)*VLOOKUP('Données projet'!$B$10,Paramètres!$A$1:$I$89,5,0)</f>
        <v>6.3550942286383367E-14</v>
      </c>
      <c r="AK167" s="13">
        <f t="shared" si="164"/>
        <v>1.0064464192543978E-12</v>
      </c>
      <c r="AL167" s="20">
        <f t="shared" si="165"/>
        <v>1.8635787380168604E-12</v>
      </c>
      <c r="AM167" s="59">
        <f t="shared" si="113"/>
        <v>293.33333333333519</v>
      </c>
      <c r="AN167" s="59">
        <f ca="1">AVERAGE(OFFSET($AM$3,0,0,'Données projet'!$E$10+1,1))-AVERAGE(OFFSET($H$3,0,0,'Données projet'!$E$10+1,1))</f>
        <v>224.7049802939942</v>
      </c>
      <c r="AO167" s="59">
        <f t="shared" si="144"/>
        <v>203.48513862195352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0.15704205666026952</v>
      </c>
      <c r="AV167" s="21">
        <f>EXP(-LN(2)/25)*AV166+(1-EXP(-LN(2)/25))/(LN(2)/25)*Calculateur!AQ167*Calculateur!AS167*VLOOKUP('Données projet'!$B$10,Paramètres!$A$1:$I$89,3,0)*0.475*44/12</f>
        <v>0.47540063411519567</v>
      </c>
      <c r="AW167" s="21">
        <f>EXP(-LN(2)/2)*AW166+(1-EXP(-LN(2)/2))/(LN(2)/2)*AQ167*AT167*VLOOKUP('Données projet'!$B$10,Paramètres!$A$1:$I$89,3,0)*0.475*44/12</f>
        <v>6.0719472737866122E-20</v>
      </c>
      <c r="AX167" s="21">
        <f t="shared" si="166"/>
        <v>0.63244269077546522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>
        <f>BD167*VLOOKUP('Données projet'!$B$11,Paramètres!$A$1:$I$89,3,0)*VLOOKUP('Données projet'!$B$11,Paramètres!$A$1:$I$89,5,0)</f>
        <v>0</v>
      </c>
      <c r="BF167" s="13" t="e">
        <f t="shared" si="167"/>
        <v>#NUM!</v>
      </c>
      <c r="BG167" s="20" t="e">
        <f t="shared" si="168"/>
        <v>#NUM!</v>
      </c>
      <c r="BH167" s="59" t="e">
        <f t="shared" si="116"/>
        <v>#NUM!</v>
      </c>
      <c r="BI167" s="59">
        <f ca="1">AVERAGE(OFFSET($BH$3,0,0,'Données projet'!$E$11+1,1))-AVERAGE(OFFSET($H$3,0,0,'Données projet'!$E$11+1,1))</f>
        <v>210.04871822652808</v>
      </c>
      <c r="BJ167" s="59">
        <f t="shared" si="146"/>
        <v>250.17540614049324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0.5138858870223173</v>
      </c>
      <c r="BQ167" s="21">
        <f>EXP(-LN(2)/25)*BQ166+(1-EXP(-LN(2)/25))/(LN(2)/25)*Calculateur!BL167*Calculateur!BN167*VLOOKUP('Données projet'!$B$11,Paramètres!$A$1:$I$89,3,0)*0.475*44/12</f>
        <v>0.6776470703578682</v>
      </c>
      <c r="BR167" s="21">
        <f>EXP(-LN(2)/2)*BR166+(1-EXP(-LN(2)/2))/(LN(2)/2)*BL167*BO167*VLOOKUP('Données projet'!$B$11,Paramètres!$A$1:$I$89,3,0)*0.475*44/12</f>
        <v>1.4605483121592226E-19</v>
      </c>
      <c r="BS167" s="22">
        <f t="shared" si="169"/>
        <v>1.1915329573801854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2.2737367544323206E-13</v>
      </c>
      <c r="BZ167" s="13">
        <f>BY167*VLOOKUP('Données projet'!$B$12,Paramètres!$A$1:$I$89,3,0)*VLOOKUP('Données projet'!$B$12,Paramètres!$A$1:$I$89,5,0)</f>
        <v>1.2414602679200471E-13</v>
      </c>
      <c r="CA167" s="13">
        <f t="shared" si="170"/>
        <v>1.8186582995804361E-12</v>
      </c>
      <c r="CB167" s="20">
        <f t="shared" si="171"/>
        <v>3.3837175350986671E-12</v>
      </c>
      <c r="CC167" s="59">
        <f t="shared" si="119"/>
        <v>293.33333333333672</v>
      </c>
      <c r="CD167" s="59">
        <f ca="1">AVERAGE(OFFSET($CC$3,0,0,'Données projet'!$E$12+1,1))-AVERAGE(OFFSET($H$3,0,0,'Données projet'!$E$12+1,1))</f>
        <v>168.72306536277267</v>
      </c>
      <c r="CE167" s="59">
        <f t="shared" si="148"/>
        <v>203.35476578922339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0.21411911959263227</v>
      </c>
      <c r="CL167" s="21">
        <f>EXP(-LN(2)/25)*CL166+(1-EXP(-LN(2)/25))/(LN(2)/25)*Calculateur!CG167*Calculateur!CI167*VLOOKUP('Données projet'!$B$12,Paramètres!$A$1:$I$89,3,0)*0.475*44/12</f>
        <v>0.55965983286496723</v>
      </c>
      <c r="CM167" s="21">
        <f>EXP(-LN(2)/2)*CM166+(1-EXP(-LN(2)/2))/(LN(2)/2)*CG167*CJ167*VLOOKUP('Données projet'!$B$12,Paramètres!$A$1:$I$89,3,0)*0.475*44/12</f>
        <v>1.356868625574107E-19</v>
      </c>
      <c r="CN167" s="22">
        <f t="shared" si="172"/>
        <v>0.77377895245759953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1277.6923076923067</v>
      </c>
      <c r="CU167" s="17">
        <f>CT167*VLOOKUP('Données projet'!$B$13,Paramètres!$A$1:$I$89,3,0)*VLOOKUP('Données projet'!$B$13,Paramètres!$A$1:$I$89,5,0)</f>
        <v>614.5699999999996</v>
      </c>
      <c r="CV167" s="13">
        <f t="shared" si="173"/>
        <v>134.13240620831178</v>
      </c>
      <c r="CW167" s="20">
        <f t="shared" si="174"/>
        <v>1303.9900241461421</v>
      </c>
      <c r="CX167" s="59">
        <f t="shared" si="122"/>
        <v>1597.3233574794754</v>
      </c>
      <c r="CY167" s="59">
        <f ca="1">AVERAGE(OFFSET($CX$3,0,0,'Données projet'!$E$13+1,1))-AVERAGE(OFFSET($H$3,0,0,'Données projet'!$E$13+1,1))</f>
        <v>304.15237106473313</v>
      </c>
      <c r="CZ167" s="59">
        <f t="shared" si="150"/>
        <v>120.85458928724336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>
        <f>EXP(-LN(2)/35)*DF166+(1-EXP(-LN(2)/35))/(LN(2)/35)*DB167*DC167*VLOOKUP('Données projet'!$B$13,Paramètres!$A$1:$I$89,3,0)*0.475*44/12</f>
        <v>0</v>
      </c>
      <c r="DG167" s="21">
        <f>EXP(-LN(2)/25)*DG166+(1-EXP(-LN(2)/25))/(LN(2)/25)*Calculateur!DB167*Calculateur!DD167*VLOOKUP('Données projet'!$B$13,Paramètres!$A$1:$I$89,3,0)*0.475*44/12</f>
        <v>0</v>
      </c>
      <c r="DH167" s="21">
        <f>EXP(-LN(2)/2)*DH166+(1-EXP(-LN(2)/2))/(LN(2)/2)*DB167*DE167*VLOOKUP('Données projet'!$B$13,Paramètres!$A$1:$I$89,3,0)*0.475*44/12</f>
        <v>0</v>
      </c>
      <c r="DI167" s="22">
        <f t="shared" si="175"/>
        <v>0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425.38461538461536</v>
      </c>
      <c r="DP167" s="17">
        <f>DO167*VLOOKUP('Données projet'!$B$14,Paramètres!$A$1:$I$89,3,0)*VLOOKUP('Données projet'!$B$14,Paramètres!$A$1:$I$89,5,0)</f>
        <v>204.60999999999999</v>
      </c>
      <c r="DQ167" s="13">
        <f t="shared" si="176"/>
        <v>50.755958577224398</v>
      </c>
      <c r="DR167" s="20">
        <f t="shared" si="177"/>
        <v>444.76237785533249</v>
      </c>
      <c r="DS167" s="59">
        <f t="shared" si="125"/>
        <v>738.09571118866575</v>
      </c>
      <c r="DT167" s="59">
        <f ca="1">AVERAGE(OFFSET($DS$3,0,0,'Données projet'!$E$14+1,1))-AVERAGE(OFFSET($H$3,0,0,'Données projet'!$E$14+1,1))</f>
        <v>91.053246648097399</v>
      </c>
      <c r="DU167" s="59">
        <f t="shared" si="152"/>
        <v>64.716270355703955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>
        <f>EXP(-LN(2)/35)*EA166+(1-EXP(-LN(2)/35))/(LN(2)/35)*DW167*DX167*VLOOKUP('Données projet'!$B$14,Paramètres!$A$1:$I$89,3,0)*0.475*44/12</f>
        <v>0</v>
      </c>
      <c r="EB167" s="21">
        <f>EXP(-LN(2)/25)*EB166+(1-EXP(-LN(2)/25))/(LN(2)/25)*Calculateur!DW167*Calculateur!DY167*VLOOKUP('Données projet'!$B$14,Paramètres!$A$1:$I$89,3,0)*0.475*44/12</f>
        <v>0</v>
      </c>
      <c r="EC167" s="21">
        <f>EXP(-LN(2)/2)*EC166+(1-EXP(-LN(2)/2))/(LN(2)/2)*DW167*DZ167*VLOOKUP('Données projet'!$B$14,Paramètres!$A$1:$I$89,3,0)*0.475*44/12</f>
        <v>0</v>
      </c>
      <c r="ED167" s="22">
        <f t="shared" si="178"/>
        <v>0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553.99999999999955</v>
      </c>
      <c r="EK167" s="17">
        <f>EJ167*VLOOKUP('Données projet'!$B$15,Paramètres!$A$1:$I$89,3,0)*VLOOKUP('Données projet'!$B$15,Paramètres!$A$1:$I$89,5,0)</f>
        <v>331.29199999999975</v>
      </c>
      <c r="EL167" s="13">
        <f t="shared" si="179"/>
        <v>77.698110787752</v>
      </c>
      <c r="EM167" s="20">
        <f t="shared" si="180"/>
        <v>712.32444295533423</v>
      </c>
      <c r="EN167" s="59">
        <f t="shared" si="128"/>
        <v>1005.6577762886675</v>
      </c>
      <c r="EO167" s="59">
        <f ca="1">AVERAGE(OFFSET($EN$3,0,0,'Données projet'!$E$15+1,1))-AVERAGE(OFFSET($H$3,0,0,'Données projet'!$E$15+1,1))</f>
        <v>316.58509520829671</v>
      </c>
      <c r="EP167" s="59">
        <f t="shared" si="154"/>
        <v>240.71332110643596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>
        <f>EXP(-LN(2)/35)*EV166+(1-EXP(-LN(2)/35))/(LN(2)/35)*ER167*ES167*VLOOKUP('Données projet'!$B$15,Paramètres!$A$1:$I$89,3,0)*0.475*44/12</f>
        <v>0.17839618484426989</v>
      </c>
      <c r="EW167" s="21">
        <f>EXP(-LN(2)/25)*EW166+(1-EXP(-LN(2)/25))/(LN(2)/25)*Calculateur!ER167*Calculateur!ET167*VLOOKUP('Données projet'!$B$15,Paramètres!$A$1:$I$89,3,0)*0.475*44/12</f>
        <v>0.37175711579812942</v>
      </c>
      <c r="EX167" s="21">
        <f>EXP(-LN(2)/2)*EX166+(1-EXP(-LN(2)/2))/(LN(2)/2)*ER167*EU167*VLOOKUP('Données projet'!$B$15,Paramètres!$A$1:$I$89,3,0)*0.475*44/12</f>
        <v>1.4866677137219747E-19</v>
      </c>
      <c r="EY167" s="22">
        <f t="shared" si="181"/>
        <v>0.55015330064239931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497</v>
      </c>
      <c r="FF167" s="17">
        <f>FE167*VLOOKUP('Données projet'!$B$16,Paramètres!$A$1:$I$89,3,0)*VLOOKUP('Données projet'!$B$16,Paramètres!$A$1:$I$89,5,0)</f>
        <v>297.20600000000002</v>
      </c>
      <c r="FG167" s="13">
        <f t="shared" si="182"/>
        <v>70.590415164571112</v>
      </c>
      <c r="FH167" s="20">
        <f t="shared" si="183"/>
        <v>640.57875641162809</v>
      </c>
      <c r="FI167" s="59">
        <f t="shared" si="131"/>
        <v>933.91208974496135</v>
      </c>
      <c r="FJ167" s="59">
        <f ca="1">AVERAGE(OFFSET($FI$3,0,0,'Données projet'!$E$16+1,1))-AVERAGE(OFFSET($H$3,0,0,'Données projet'!$E$16+1,1))</f>
        <v>270.30888762640245</v>
      </c>
      <c r="FK167" s="59">
        <f t="shared" si="156"/>
        <v>202.23783851977691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>
        <f>EXP(-LN(2)/35)*FQ166+(1-EXP(-LN(2)/35))/(LN(2)/35)*FM167*FN167*VLOOKUP('Données projet'!$B$16,Paramètres!$A$1:$I$89,3,0)*0.475*44/12</f>
        <v>0.15075733930501664</v>
      </c>
      <c r="FR167" s="21">
        <f>EXP(-LN(2)/25)*FR166+(1-EXP(-LN(2)/25))/(LN(2)/25)*Calculateur!FM167*Calculateur!FO167*VLOOKUP('Données projet'!$B$16,Paramètres!$A$1:$I$89,3,0)*0.475*44/12</f>
        <v>0.29937470960507206</v>
      </c>
      <c r="FS167" s="21">
        <f>EXP(-LN(2)/2)*FS166+(1-EXP(-LN(2)/2))/(LN(2)/2)*FM167*FP167*VLOOKUP('Données projet'!$B$16,Paramètres!$A$1:$I$89,3,0)*0.475*44/12</f>
        <v>1.2531079002729267E-19</v>
      </c>
      <c r="FT167" s="22">
        <f t="shared" si="184"/>
        <v>0.45013204891008873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-5.1159076974727213E-13</v>
      </c>
      <c r="GA167" s="17">
        <f>FZ167*VLOOKUP('Données projet'!$B$17,Paramètres!$A$1:$I$89,3,0)*VLOOKUP('Données projet'!$B$17,Paramètres!$A$1:$I$89,5,0)</f>
        <v>-4.0702161641092972E-13</v>
      </c>
      <c r="GB167" s="13" t="e">
        <f t="shared" si="185"/>
        <v>#NUM!</v>
      </c>
      <c r="GC167" s="20" t="e">
        <f t="shared" si="186"/>
        <v>#NUM!</v>
      </c>
      <c r="GD167" s="59" t="e">
        <f t="shared" si="134"/>
        <v>#NUM!</v>
      </c>
      <c r="GE167" s="59">
        <f ca="1">AVERAGE(OFFSET($GD$3,0,0,'Données projet'!$E$17+1,1))-AVERAGE(OFFSET($H$3,0,0,'Données projet'!$E$17+1,1))</f>
        <v>260.20517190557814</v>
      </c>
      <c r="GF167" s="59">
        <f t="shared" si="158"/>
        <v>307.22009971147133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>
        <f>EXP(-LN(2)/35)*GL166+(1-EXP(-LN(2)/35))/(LN(2)/35)*GH167*GI167*VLOOKUP('Données projet'!$B$17,Paramètres!$A$1:$I$89,3,0)*0.475*44/12</f>
        <v>0.22966824613447848</v>
      </c>
      <c r="GM167" s="21">
        <f>EXP(-LN(2)/25)*GM166+(1-EXP(-LN(2)/25))/(LN(2)/25)*Calculateur!GH167*Calculateur!GJ167*VLOOKUP('Données projet'!$B$17,Paramètres!$A$1:$I$89,3,0)*0.475*44/12</f>
        <v>0.49962961349584067</v>
      </c>
      <c r="GN167" s="21">
        <f>EXP(-LN(2)/2)*GN166+(1-EXP(-LN(2)/2))/(LN(2)/2)*GH167*GK167*VLOOKUP('Données projet'!$B$17,Paramètres!$A$1:$I$89,3,0)*0.475*44/12</f>
        <v>1.6289483225808065E-19</v>
      </c>
      <c r="GO167" s="21">
        <f t="shared" si="187"/>
        <v>0.72929785963031912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5.6843418860808015E-14</v>
      </c>
      <c r="GV167" s="17">
        <f>GU167*VLOOKUP('Données projet'!$B$18,Paramètres!$A$1:$I$89,3,0)*VLOOKUP('Données projet'!$B$18,Paramètres!$A$1:$I$89,5,0)</f>
        <v>4.5224624045658861E-14</v>
      </c>
      <c r="GW167" s="13">
        <f t="shared" si="188"/>
        <v>7.4514601661523691E-13</v>
      </c>
      <c r="GX167" s="20">
        <f t="shared" si="189"/>
        <v>1.3765621991510601E-12</v>
      </c>
      <c r="GY167" s="59">
        <f t="shared" si="137"/>
        <v>293.33333333333468</v>
      </c>
      <c r="GZ167" s="59">
        <f ca="1">AVERAGE(OFFSET($GY$3,0,0,'Données projet'!$E$18+1,1))-AVERAGE(OFFSET($H$3,0,0,'Données projet'!$E$18+1,1))</f>
        <v>199.58763537752952</v>
      </c>
      <c r="HA167" s="59">
        <f t="shared" si="160"/>
        <v>242.62852778451929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>
        <f>EXP(-LN(2)/35)*HG166+(1-EXP(-LN(2)/35))/(LN(2)/35)*HC167*HD167*VLOOKUP('Données projet'!$B$18,Paramètres!$A$1:$I$89,3,0)*0.475*44/12</f>
        <v>0</v>
      </c>
      <c r="HH167" s="21">
        <f>EXP(-LN(2)/25)*HH166+(1-EXP(-LN(2)/25))/(LN(2)/25)*Calculateur!HC167*Calculateur!HE167*VLOOKUP('Données projet'!$B$18,Paramètres!$A$1:$I$89,3,0)*0.475*44/12</f>
        <v>0.25037909495150235</v>
      </c>
      <c r="HI167" s="21">
        <f>EXP(-LN(2)/2)*HI166+(1-EXP(-LN(2)/2))/(LN(2)/2)*HC167*HF167*VLOOKUP('Données projet'!$B$18,Paramètres!$A$1:$I$89,3,0)*0.475*44/12</f>
        <v>7.2923156182868605E-20</v>
      </c>
      <c r="HJ167" s="22">
        <f t="shared" si="190"/>
        <v>0.25037909495150235</v>
      </c>
    </row>
    <row r="168" spans="1:218" x14ac:dyDescent="0.2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146.71799999999999</v>
      </c>
      <c r="D168" s="11">
        <f t="shared" si="140"/>
        <v>37.831781747183037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1424.594806469483</v>
      </c>
      <c r="H168" s="67">
        <f t="shared" si="110"/>
        <v>614.75753654301047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-2.2737367544323206E-13</v>
      </c>
      <c r="O168" s="13">
        <f>N168*VLOOKUP('Données projet'!$B$9,Paramètres!$A$1:$I$89,3,0)*VLOOKUP('Données projet'!$B$9,Paramètres!$A$1:$I$89,5,0)</f>
        <v>-1.2710188457276673E-13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255.5374979188561</v>
      </c>
      <c r="T168" s="59">
        <f t="shared" si="142"/>
        <v>343.10418468620901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0.213230105969029</v>
      </c>
      <c r="AA168" s="21">
        <f>EXP(-LN(2)/25)*AA167+(1-EXP(-LN(2)/25))/(LN(2)/25)*Calculateur!V168*Calculateur!X168*VLOOKUP('Données projet'!$B$9,Paramètres!$A$1:$I$89,3,0)*0.475*44/12</f>
        <v>0.377987955774158</v>
      </c>
      <c r="AB168" s="21">
        <f>EXP(-LN(2)/2)*AB167+(1-EXP(-LN(2)/2))/(LN(2)/2)*V168*Y168*VLOOKUP('Données projet'!$B$9,Paramètres!$A$1:$I$89,3,0)*0.475*44/12</f>
        <v>8.1104134067573214E-21</v>
      </c>
      <c r="AC168" s="22">
        <f t="shared" si="163"/>
        <v>0.59121806174318703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1.1368683772161603E-13</v>
      </c>
      <c r="AJ168" s="13">
        <f>AI168*VLOOKUP('Données projet'!$B$10,Paramètres!$A$1:$I$89,3,0)*VLOOKUP('Données projet'!$B$10,Paramètres!$A$1:$I$89,5,0)</f>
        <v>6.3550942286383367E-14</v>
      </c>
      <c r="AK168" s="13">
        <f t="shared" si="164"/>
        <v>1.0064464192543978E-12</v>
      </c>
      <c r="AL168" s="20">
        <f t="shared" si="165"/>
        <v>1.8635787380168604E-12</v>
      </c>
      <c r="AM168" s="59">
        <f t="shared" si="113"/>
        <v>293.33333333333519</v>
      </c>
      <c r="AN168" s="59">
        <f ca="1">AVERAGE(OFFSET($AM$3,0,0,'Données projet'!$E$10+1,1))-AVERAGE(OFFSET($H$3,0,0,'Données projet'!$E$10+1,1))</f>
        <v>224.7049802939942</v>
      </c>
      <c r="AO168" s="59">
        <f t="shared" si="144"/>
        <v>203.48513862195352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0.15396255771535811</v>
      </c>
      <c r="AV168" s="21">
        <f>EXP(-LN(2)/25)*AV167+(1-EXP(-LN(2)/25))/(LN(2)/25)*Calculateur!AQ168*Calculateur!AS168*VLOOKUP('Données projet'!$B$10,Paramètres!$A$1:$I$89,3,0)*0.475*44/12</f>
        <v>0.46240077877508284</v>
      </c>
      <c r="AW168" s="21">
        <f>EXP(-LN(2)/2)*AW167+(1-EXP(-LN(2)/2))/(LN(2)/2)*AQ168*AT168*VLOOKUP('Données projet'!$B$10,Paramètres!$A$1:$I$89,3,0)*0.475*44/12</f>
        <v>4.2935150923016838E-20</v>
      </c>
      <c r="AX168" s="21">
        <f t="shared" si="166"/>
        <v>0.61636333649044095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>
        <f>BD168*VLOOKUP('Données projet'!$B$11,Paramètres!$A$1:$I$89,3,0)*VLOOKUP('Données projet'!$B$11,Paramètres!$A$1:$I$89,5,0)</f>
        <v>0</v>
      </c>
      <c r="BF168" s="13" t="e">
        <f t="shared" si="167"/>
        <v>#NUM!</v>
      </c>
      <c r="BG168" s="20" t="e">
        <f t="shared" si="168"/>
        <v>#NUM!</v>
      </c>
      <c r="BH168" s="59" t="e">
        <f t="shared" si="116"/>
        <v>#NUM!</v>
      </c>
      <c r="BI168" s="59">
        <f ca="1">AVERAGE(OFFSET($BH$3,0,0,'Données projet'!$E$11+1,1))-AVERAGE(OFFSET($H$3,0,0,'Données projet'!$E$11+1,1))</f>
        <v>210.04871822652808</v>
      </c>
      <c r="BJ168" s="59">
        <f t="shared" si="146"/>
        <v>250.17540614049324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0.50380889821725117</v>
      </c>
      <c r="BQ168" s="21">
        <f>EXP(-LN(2)/25)*BQ167+(1-EXP(-LN(2)/25))/(LN(2)/25)*Calculateur!BL168*Calculateur!BN168*VLOOKUP('Données projet'!$B$11,Paramètres!$A$1:$I$89,3,0)*0.475*44/12</f>
        <v>0.65911677558302162</v>
      </c>
      <c r="BR168" s="21">
        <f>EXP(-LN(2)/2)*BR167+(1-EXP(-LN(2)/2))/(LN(2)/2)*BL168*BO168*VLOOKUP('Données projet'!$B$11,Paramètres!$A$1:$I$89,3,0)*0.475*44/12</f>
        <v>1.0327636157783527E-19</v>
      </c>
      <c r="BS168" s="22">
        <f t="shared" si="169"/>
        <v>1.1629256738002729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2.2737367544323206E-13</v>
      </c>
      <c r="BZ168" s="13">
        <f>BY168*VLOOKUP('Données projet'!$B$12,Paramètres!$A$1:$I$89,3,0)*VLOOKUP('Données projet'!$B$12,Paramètres!$A$1:$I$89,5,0)</f>
        <v>1.2414602679200471E-13</v>
      </c>
      <c r="CA168" s="13">
        <f t="shared" si="170"/>
        <v>1.8186582995804361E-12</v>
      </c>
      <c r="CB168" s="20">
        <f t="shared" si="171"/>
        <v>3.3837175350986671E-12</v>
      </c>
      <c r="CC168" s="59">
        <f t="shared" si="119"/>
        <v>293.33333333333672</v>
      </c>
      <c r="CD168" s="59">
        <f ca="1">AVERAGE(OFFSET($CC$3,0,0,'Données projet'!$E$12+1,1))-AVERAGE(OFFSET($H$3,0,0,'Données projet'!$E$12+1,1))</f>
        <v>168.72306536277267</v>
      </c>
      <c r="CE168" s="59">
        <f t="shared" si="148"/>
        <v>203.35476578922339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0.20992037425718804</v>
      </c>
      <c r="CL168" s="21">
        <f>EXP(-LN(2)/25)*CL167+(1-EXP(-LN(2)/25))/(LN(2)/25)*Calculateur!CG168*Calculateur!CI168*VLOOKUP('Données projet'!$B$12,Paramètres!$A$1:$I$89,3,0)*0.475*44/12</f>
        <v>0.54435590530404321</v>
      </c>
      <c r="CM168" s="21">
        <f>EXP(-LN(2)/2)*CM167+(1-EXP(-LN(2)/2))/(LN(2)/2)*CG168*CJ168*VLOOKUP('Données projet'!$B$12,Paramètres!$A$1:$I$89,3,0)*0.475*44/12</f>
        <v>9.5945100632272157E-20</v>
      </c>
      <c r="CN168" s="22">
        <f t="shared" si="172"/>
        <v>0.75427627956123122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1277.6923076923067</v>
      </c>
      <c r="CU168" s="17">
        <f>CT168*VLOOKUP('Données projet'!$B$13,Paramètres!$A$1:$I$89,3,0)*VLOOKUP('Données projet'!$B$13,Paramètres!$A$1:$I$89,5,0)</f>
        <v>614.5699999999996</v>
      </c>
      <c r="CV168" s="13">
        <f t="shared" si="173"/>
        <v>134.13240620831178</v>
      </c>
      <c r="CW168" s="20">
        <f t="shared" si="174"/>
        <v>1303.9900241461421</v>
      </c>
      <c r="CX168" s="59">
        <f t="shared" si="122"/>
        <v>1597.3233574794754</v>
      </c>
      <c r="CY168" s="59">
        <f ca="1">AVERAGE(OFFSET($CX$3,0,0,'Données projet'!$E$13+1,1))-AVERAGE(OFFSET($H$3,0,0,'Données projet'!$E$13+1,1))</f>
        <v>304.15237106473313</v>
      </c>
      <c r="CZ168" s="59">
        <f t="shared" si="150"/>
        <v>120.85458928724336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>
        <f>EXP(-LN(2)/35)*DF167+(1-EXP(-LN(2)/35))/(LN(2)/35)*DB168*DC168*VLOOKUP('Données projet'!$B$13,Paramètres!$A$1:$I$89,3,0)*0.475*44/12</f>
        <v>0</v>
      </c>
      <c r="DG168" s="21">
        <f>EXP(-LN(2)/25)*DG167+(1-EXP(-LN(2)/25))/(LN(2)/25)*Calculateur!DB168*Calculateur!DD168*VLOOKUP('Données projet'!$B$13,Paramètres!$A$1:$I$89,3,0)*0.475*44/12</f>
        <v>0</v>
      </c>
      <c r="DH168" s="21">
        <f>EXP(-LN(2)/2)*DH167+(1-EXP(-LN(2)/2))/(LN(2)/2)*DB168*DE168*VLOOKUP('Données projet'!$B$13,Paramètres!$A$1:$I$89,3,0)*0.475*44/12</f>
        <v>0</v>
      </c>
      <c r="DI168" s="22">
        <f t="shared" si="175"/>
        <v>0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425.38461538461536</v>
      </c>
      <c r="DP168" s="17">
        <f>DO168*VLOOKUP('Données projet'!$B$14,Paramètres!$A$1:$I$89,3,0)*VLOOKUP('Données projet'!$B$14,Paramètres!$A$1:$I$89,5,0)</f>
        <v>204.60999999999999</v>
      </c>
      <c r="DQ168" s="13">
        <f t="shared" si="176"/>
        <v>50.755958577224398</v>
      </c>
      <c r="DR168" s="20">
        <f t="shared" si="177"/>
        <v>444.76237785533249</v>
      </c>
      <c r="DS168" s="59">
        <f t="shared" si="125"/>
        <v>738.09571118866575</v>
      </c>
      <c r="DT168" s="59">
        <f ca="1">AVERAGE(OFFSET($DS$3,0,0,'Données projet'!$E$14+1,1))-AVERAGE(OFFSET($H$3,0,0,'Données projet'!$E$14+1,1))</f>
        <v>91.053246648097399</v>
      </c>
      <c r="DU168" s="59">
        <f t="shared" si="152"/>
        <v>64.716270355703955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>
        <f>EXP(-LN(2)/35)*EA167+(1-EXP(-LN(2)/35))/(LN(2)/35)*DW168*DX168*VLOOKUP('Données projet'!$B$14,Paramètres!$A$1:$I$89,3,0)*0.475*44/12</f>
        <v>0</v>
      </c>
      <c r="EB168" s="21">
        <f>EXP(-LN(2)/25)*EB167+(1-EXP(-LN(2)/25))/(LN(2)/25)*Calculateur!DW168*Calculateur!DY168*VLOOKUP('Données projet'!$B$14,Paramètres!$A$1:$I$89,3,0)*0.475*44/12</f>
        <v>0</v>
      </c>
      <c r="EC168" s="21">
        <f>EXP(-LN(2)/2)*EC167+(1-EXP(-LN(2)/2))/(LN(2)/2)*DW168*DZ168*VLOOKUP('Données projet'!$B$14,Paramètres!$A$1:$I$89,3,0)*0.475*44/12</f>
        <v>0</v>
      </c>
      <c r="ED168" s="22">
        <f t="shared" si="178"/>
        <v>0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553.99999999999955</v>
      </c>
      <c r="EK168" s="17">
        <f>EJ168*VLOOKUP('Données projet'!$B$15,Paramètres!$A$1:$I$89,3,0)*VLOOKUP('Données projet'!$B$15,Paramètres!$A$1:$I$89,5,0)</f>
        <v>331.29199999999975</v>
      </c>
      <c r="EL168" s="13">
        <f t="shared" si="179"/>
        <v>77.698110787752</v>
      </c>
      <c r="EM168" s="20">
        <f t="shared" si="180"/>
        <v>712.32444295533423</v>
      </c>
      <c r="EN168" s="59">
        <f t="shared" si="128"/>
        <v>1005.6577762886675</v>
      </c>
      <c r="EO168" s="59">
        <f ca="1">AVERAGE(OFFSET($EN$3,0,0,'Données projet'!$E$15+1,1))-AVERAGE(OFFSET($H$3,0,0,'Données projet'!$E$15+1,1))</f>
        <v>316.58509520829671</v>
      </c>
      <c r="EP168" s="59">
        <f t="shared" si="154"/>
        <v>240.71332110643596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>
        <f>EXP(-LN(2)/35)*EV167+(1-EXP(-LN(2)/35))/(LN(2)/35)*ER168*ES168*VLOOKUP('Données projet'!$B$15,Paramètres!$A$1:$I$89,3,0)*0.475*44/12</f>
        <v>0.17489794447040233</v>
      </c>
      <c r="EW168" s="21">
        <f>EXP(-LN(2)/25)*EW167+(1-EXP(-LN(2)/25))/(LN(2)/25)*Calculateur!ER168*Calculateur!ET168*VLOOKUP('Données projet'!$B$15,Paramètres!$A$1:$I$89,3,0)*0.475*44/12</f>
        <v>0.36159139791677253</v>
      </c>
      <c r="EX168" s="21">
        <f>EXP(-LN(2)/2)*EX167+(1-EXP(-LN(2)/2))/(LN(2)/2)*ER168*EU168*VLOOKUP('Données projet'!$B$15,Paramètres!$A$1:$I$89,3,0)*0.475*44/12</f>
        <v>1.0512328217439093E-19</v>
      </c>
      <c r="EY168" s="22">
        <f t="shared" si="181"/>
        <v>0.53648934238717483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497</v>
      </c>
      <c r="FF168" s="17">
        <f>FE168*VLOOKUP('Données projet'!$B$16,Paramètres!$A$1:$I$89,3,0)*VLOOKUP('Données projet'!$B$16,Paramètres!$A$1:$I$89,5,0)</f>
        <v>297.20600000000002</v>
      </c>
      <c r="FG168" s="13">
        <f t="shared" si="182"/>
        <v>70.590415164571112</v>
      </c>
      <c r="FH168" s="20">
        <f t="shared" si="183"/>
        <v>640.57875641162809</v>
      </c>
      <c r="FI168" s="59">
        <f t="shared" si="131"/>
        <v>933.91208974496135</v>
      </c>
      <c r="FJ168" s="59">
        <f ca="1">AVERAGE(OFFSET($FI$3,0,0,'Données projet'!$E$16+1,1))-AVERAGE(OFFSET($H$3,0,0,'Données projet'!$E$16+1,1))</f>
        <v>270.30888762640245</v>
      </c>
      <c r="FK168" s="59">
        <f t="shared" si="156"/>
        <v>202.23783851977691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>
        <f>EXP(-LN(2)/35)*FQ167+(1-EXP(-LN(2)/35))/(LN(2)/35)*FM168*FN168*VLOOKUP('Données projet'!$B$16,Paramètres!$A$1:$I$89,3,0)*0.475*44/12</f>
        <v>0.14780107983414265</v>
      </c>
      <c r="FR168" s="21">
        <f>EXP(-LN(2)/25)*FR167+(1-EXP(-LN(2)/25))/(LN(2)/25)*Calculateur!FM168*Calculateur!FO168*VLOOKUP('Données projet'!$B$16,Paramètres!$A$1:$I$89,3,0)*0.475*44/12</f>
        <v>0.29118829242748961</v>
      </c>
      <c r="FS168" s="21">
        <f>EXP(-LN(2)/2)*FS167+(1-EXP(-LN(2)/2))/(LN(2)/2)*FM168*FP168*VLOOKUP('Données projet'!$B$16,Paramètres!$A$1:$I$89,3,0)*0.475*44/12</f>
        <v>8.8608109384142239E-20</v>
      </c>
      <c r="FT168" s="22">
        <f t="shared" si="184"/>
        <v>0.43898937226163226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-5.1159076974727213E-13</v>
      </c>
      <c r="GA168" s="17">
        <f>FZ168*VLOOKUP('Données projet'!$B$17,Paramètres!$A$1:$I$89,3,0)*VLOOKUP('Données projet'!$B$17,Paramètres!$A$1:$I$89,5,0)</f>
        <v>-4.0702161641092972E-13</v>
      </c>
      <c r="GB168" s="13" t="e">
        <f t="shared" si="185"/>
        <v>#NUM!</v>
      </c>
      <c r="GC168" s="20" t="e">
        <f t="shared" si="186"/>
        <v>#NUM!</v>
      </c>
      <c r="GD168" s="59" t="e">
        <f t="shared" si="134"/>
        <v>#NUM!</v>
      </c>
      <c r="GE168" s="59">
        <f ca="1">AVERAGE(OFFSET($GD$3,0,0,'Données projet'!$E$17+1,1))-AVERAGE(OFFSET($H$3,0,0,'Données projet'!$E$17+1,1))</f>
        <v>260.20517190557814</v>
      </c>
      <c r="GF168" s="59">
        <f t="shared" si="158"/>
        <v>307.22009971147133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>
        <f>EXP(-LN(2)/35)*GL167+(1-EXP(-LN(2)/35))/(LN(2)/35)*GH168*GI168*VLOOKUP('Données projet'!$B$17,Paramètres!$A$1:$I$89,3,0)*0.475*44/12</f>
        <v>0.22516459191157936</v>
      </c>
      <c r="GM168" s="21">
        <f>EXP(-LN(2)/25)*GM167+(1-EXP(-LN(2)/25))/(LN(2)/25)*Calculateur!GH168*Calculateur!GJ168*VLOOKUP('Données projet'!$B$17,Paramètres!$A$1:$I$89,3,0)*0.475*44/12</f>
        <v>0.48596721544041743</v>
      </c>
      <c r="GN168" s="21">
        <f>EXP(-LN(2)/2)*GN167+(1-EXP(-LN(2)/2))/(LN(2)/2)*GH168*GK168*VLOOKUP('Données projet'!$B$17,Paramètres!$A$1:$I$89,3,0)*0.475*44/12</f>
        <v>1.15184040509934E-19</v>
      </c>
      <c r="GO168" s="21">
        <f t="shared" si="187"/>
        <v>0.71113180735199677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5.6843418860808015E-14</v>
      </c>
      <c r="GV168" s="17">
        <f>GU168*VLOOKUP('Données projet'!$B$18,Paramètres!$A$1:$I$89,3,0)*VLOOKUP('Données projet'!$B$18,Paramètres!$A$1:$I$89,5,0)</f>
        <v>4.5224624045658861E-14</v>
      </c>
      <c r="GW168" s="13">
        <f t="shared" si="188"/>
        <v>7.4514601661523691E-13</v>
      </c>
      <c r="GX168" s="20">
        <f t="shared" si="189"/>
        <v>1.3765621991510601E-12</v>
      </c>
      <c r="GY168" s="59">
        <f t="shared" si="137"/>
        <v>293.33333333333468</v>
      </c>
      <c r="GZ168" s="59">
        <f ca="1">AVERAGE(OFFSET($GY$3,0,0,'Données projet'!$E$18+1,1))-AVERAGE(OFFSET($H$3,0,0,'Données projet'!$E$18+1,1))</f>
        <v>199.58763537752952</v>
      </c>
      <c r="HA168" s="59">
        <f t="shared" si="160"/>
        <v>242.62852778451929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>
        <f>EXP(-LN(2)/35)*HG167+(1-EXP(-LN(2)/35))/(LN(2)/35)*HC168*HD168*VLOOKUP('Données projet'!$B$18,Paramètres!$A$1:$I$89,3,0)*0.475*44/12</f>
        <v>0</v>
      </c>
      <c r="HH168" s="21">
        <f>EXP(-LN(2)/25)*HH167+(1-EXP(-LN(2)/25))/(LN(2)/25)*Calculateur!HC168*Calculateur!HE168*VLOOKUP('Données projet'!$B$18,Paramètres!$A$1:$I$89,3,0)*0.475*44/12</f>
        <v>0.24353246543318915</v>
      </c>
      <c r="HI168" s="21">
        <f>EXP(-LN(2)/2)*HI167+(1-EXP(-LN(2)/2))/(LN(2)/2)*HC168*HF168*VLOOKUP('Données projet'!$B$18,Paramètres!$A$1:$I$89,3,0)*0.475*44/12</f>
        <v>5.1564458242432102E-20</v>
      </c>
      <c r="HJ168" s="22">
        <f t="shared" si="190"/>
        <v>0.24353246543318915</v>
      </c>
    </row>
    <row r="169" spans="1:218" x14ac:dyDescent="0.2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147.60719999999998</v>
      </c>
      <c r="D169" s="11">
        <f t="shared" si="140"/>
        <v>38.034305370426985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1433.0221467190852</v>
      </c>
      <c r="H169" s="67">
        <f t="shared" si="110"/>
        <v>616.65895518682692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-2.2737367544323206E-13</v>
      </c>
      <c r="O169" s="13">
        <f>N169*VLOOKUP('Données projet'!$B$9,Paramètres!$A$1:$I$89,3,0)*VLOOKUP('Données projet'!$B$9,Paramètres!$A$1:$I$89,5,0)</f>
        <v>-1.2710188457276673E-13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255.5374979188561</v>
      </c>
      <c r="T169" s="59">
        <f t="shared" si="142"/>
        <v>343.10418468620901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0.20904879364849888</v>
      </c>
      <c r="AA169" s="21">
        <f>EXP(-LN(2)/25)*AA168+(1-EXP(-LN(2)/25))/(LN(2)/25)*Calculateur!V169*Calculateur!X169*VLOOKUP('Données projet'!$B$9,Paramètres!$A$1:$I$89,3,0)*0.475*44/12</f>
        <v>0.36765185524599098</v>
      </c>
      <c r="AB169" s="21">
        <f>EXP(-LN(2)/2)*AB168+(1-EXP(-LN(2)/2))/(LN(2)/2)*V169*Y169*VLOOKUP('Données projet'!$B$9,Paramètres!$A$1:$I$89,3,0)*0.475*44/12</f>
        <v>5.7349283181443908E-21</v>
      </c>
      <c r="AC169" s="22">
        <f t="shared" si="163"/>
        <v>0.57670064889448991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1.1368683772161603E-13</v>
      </c>
      <c r="AJ169" s="13">
        <f>AI169*VLOOKUP('Données projet'!$B$10,Paramètres!$A$1:$I$89,3,0)*VLOOKUP('Données projet'!$B$10,Paramètres!$A$1:$I$89,5,0)</f>
        <v>6.3550942286383367E-14</v>
      </c>
      <c r="AK169" s="13">
        <f t="shared" si="164"/>
        <v>1.0064464192543978E-12</v>
      </c>
      <c r="AL169" s="20">
        <f t="shared" si="165"/>
        <v>1.8635787380168604E-12</v>
      </c>
      <c r="AM169" s="59">
        <f t="shared" si="113"/>
        <v>293.33333333333519</v>
      </c>
      <c r="AN169" s="59">
        <f ca="1">AVERAGE(OFFSET($AM$3,0,0,'Données projet'!$E$10+1,1))-AVERAGE(OFFSET($H$3,0,0,'Données projet'!$E$10+1,1))</f>
        <v>224.7049802939942</v>
      </c>
      <c r="AO169" s="59">
        <f t="shared" si="144"/>
        <v>203.48513862195352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0.15094344586644751</v>
      </c>
      <c r="AV169" s="21">
        <f>EXP(-LN(2)/25)*AV168+(1-EXP(-LN(2)/25))/(LN(2)/25)*Calculateur!AQ169*Calculateur!AS169*VLOOKUP('Données projet'!$B$10,Paramètres!$A$1:$I$89,3,0)*0.475*44/12</f>
        <v>0.44975640516287807</v>
      </c>
      <c r="AW169" s="21">
        <f>EXP(-LN(2)/2)*AW168+(1-EXP(-LN(2)/2))/(LN(2)/2)*AQ169*AT169*VLOOKUP('Données projet'!$B$10,Paramètres!$A$1:$I$89,3,0)*0.475*44/12</f>
        <v>3.0359736368933061E-20</v>
      </c>
      <c r="AX169" s="21">
        <f t="shared" si="166"/>
        <v>0.60069985102932555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>
        <f>BD169*VLOOKUP('Données projet'!$B$11,Paramètres!$A$1:$I$89,3,0)*VLOOKUP('Données projet'!$B$11,Paramètres!$A$1:$I$89,5,0)</f>
        <v>0</v>
      </c>
      <c r="BF169" s="13" t="e">
        <f t="shared" si="167"/>
        <v>#NUM!</v>
      </c>
      <c r="BG169" s="20" t="e">
        <f t="shared" si="168"/>
        <v>#NUM!</v>
      </c>
      <c r="BH169" s="59" t="e">
        <f t="shared" si="116"/>
        <v>#NUM!</v>
      </c>
      <c r="BI169" s="59">
        <f ca="1">AVERAGE(OFFSET($BH$3,0,0,'Données projet'!$E$11+1,1))-AVERAGE(OFFSET($H$3,0,0,'Données projet'!$E$11+1,1))</f>
        <v>210.04871822652808</v>
      </c>
      <c r="BJ169" s="59">
        <f t="shared" si="146"/>
        <v>250.17540614049324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0.49392951301629612</v>
      </c>
      <c r="BQ169" s="21">
        <f>EXP(-LN(2)/25)*BQ168+(1-EXP(-LN(2)/25))/(LN(2)/25)*Calculateur!BL169*Calculateur!BN169*VLOOKUP('Données projet'!$B$11,Paramètres!$A$1:$I$89,3,0)*0.475*44/12</f>
        <v>0.64109319269325915</v>
      </c>
      <c r="BR169" s="21">
        <f>EXP(-LN(2)/2)*BR168+(1-EXP(-LN(2)/2))/(LN(2)/2)*BL169*BO169*VLOOKUP('Données projet'!$B$11,Paramètres!$A$1:$I$89,3,0)*0.475*44/12</f>
        <v>7.302741560796113E-20</v>
      </c>
      <c r="BS169" s="22">
        <f t="shared" si="169"/>
        <v>1.1350227057095552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2.2737367544323206E-13</v>
      </c>
      <c r="BZ169" s="13">
        <f>BY169*VLOOKUP('Données projet'!$B$12,Paramètres!$A$1:$I$89,3,0)*VLOOKUP('Données projet'!$B$12,Paramètres!$A$1:$I$89,5,0)</f>
        <v>1.2414602679200471E-13</v>
      </c>
      <c r="CA169" s="13">
        <f t="shared" si="170"/>
        <v>1.8186582995804361E-12</v>
      </c>
      <c r="CB169" s="20">
        <f t="shared" si="171"/>
        <v>3.3837175350986671E-12</v>
      </c>
      <c r="CC169" s="59">
        <f t="shared" si="119"/>
        <v>293.33333333333672</v>
      </c>
      <c r="CD169" s="59">
        <f ca="1">AVERAGE(OFFSET($CC$3,0,0,'Données projet'!$E$12+1,1))-AVERAGE(OFFSET($H$3,0,0,'Données projet'!$E$12+1,1))</f>
        <v>168.72306536277267</v>
      </c>
      <c r="CE169" s="59">
        <f t="shared" si="148"/>
        <v>203.35476578922339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0.20580396375679011</v>
      </c>
      <c r="CL169" s="21">
        <f>EXP(-LN(2)/25)*CL168+(1-EXP(-LN(2)/25))/(LN(2)/25)*Calculateur!CG169*Calculateur!CI169*VLOOKUP('Données projet'!$B$12,Paramètres!$A$1:$I$89,3,0)*0.475*44/12</f>
        <v>0.52947046444707124</v>
      </c>
      <c r="CM169" s="21">
        <f>EXP(-LN(2)/2)*CM168+(1-EXP(-LN(2)/2))/(LN(2)/2)*CG169*CJ169*VLOOKUP('Données projet'!$B$12,Paramètres!$A$1:$I$89,3,0)*0.475*44/12</f>
        <v>6.784343127870535E-20</v>
      </c>
      <c r="CN169" s="22">
        <f t="shared" si="172"/>
        <v>0.73527442820386135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1277.6923076923067</v>
      </c>
      <c r="CU169" s="17">
        <f>CT169*VLOOKUP('Données projet'!$B$13,Paramètres!$A$1:$I$89,3,0)*VLOOKUP('Données projet'!$B$13,Paramètres!$A$1:$I$89,5,0)</f>
        <v>614.5699999999996</v>
      </c>
      <c r="CV169" s="13">
        <f t="shared" si="173"/>
        <v>134.13240620831178</v>
      </c>
      <c r="CW169" s="20">
        <f t="shared" si="174"/>
        <v>1303.9900241461421</v>
      </c>
      <c r="CX169" s="59">
        <f t="shared" si="122"/>
        <v>1597.3233574794754</v>
      </c>
      <c r="CY169" s="59">
        <f ca="1">AVERAGE(OFFSET($CX$3,0,0,'Données projet'!$E$13+1,1))-AVERAGE(OFFSET($H$3,0,0,'Données projet'!$E$13+1,1))</f>
        <v>304.15237106473313</v>
      </c>
      <c r="CZ169" s="59">
        <f t="shared" si="150"/>
        <v>120.85458928724336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>
        <f>EXP(-LN(2)/35)*DF168+(1-EXP(-LN(2)/35))/(LN(2)/35)*DB169*DC169*VLOOKUP('Données projet'!$B$13,Paramètres!$A$1:$I$89,3,0)*0.475*44/12</f>
        <v>0</v>
      </c>
      <c r="DG169" s="21">
        <f>EXP(-LN(2)/25)*DG168+(1-EXP(-LN(2)/25))/(LN(2)/25)*Calculateur!DB169*Calculateur!DD169*VLOOKUP('Données projet'!$B$13,Paramètres!$A$1:$I$89,3,0)*0.475*44/12</f>
        <v>0</v>
      </c>
      <c r="DH169" s="21">
        <f>EXP(-LN(2)/2)*DH168+(1-EXP(-LN(2)/2))/(LN(2)/2)*DB169*DE169*VLOOKUP('Données projet'!$B$13,Paramètres!$A$1:$I$89,3,0)*0.475*44/12</f>
        <v>0</v>
      </c>
      <c r="DI169" s="22">
        <f t="shared" si="175"/>
        <v>0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425.38461538461536</v>
      </c>
      <c r="DP169" s="17">
        <f>DO169*VLOOKUP('Données projet'!$B$14,Paramètres!$A$1:$I$89,3,0)*VLOOKUP('Données projet'!$B$14,Paramètres!$A$1:$I$89,5,0)</f>
        <v>204.60999999999999</v>
      </c>
      <c r="DQ169" s="13">
        <f t="shared" si="176"/>
        <v>50.755958577224398</v>
      </c>
      <c r="DR169" s="20">
        <f t="shared" si="177"/>
        <v>444.76237785533249</v>
      </c>
      <c r="DS169" s="59">
        <f t="shared" si="125"/>
        <v>738.09571118866575</v>
      </c>
      <c r="DT169" s="59">
        <f ca="1">AVERAGE(OFFSET($DS$3,0,0,'Données projet'!$E$14+1,1))-AVERAGE(OFFSET($H$3,0,0,'Données projet'!$E$14+1,1))</f>
        <v>91.053246648097399</v>
      </c>
      <c r="DU169" s="59">
        <f t="shared" si="152"/>
        <v>64.716270355703955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>
        <f>EXP(-LN(2)/35)*EA168+(1-EXP(-LN(2)/35))/(LN(2)/35)*DW169*DX169*VLOOKUP('Données projet'!$B$14,Paramètres!$A$1:$I$89,3,0)*0.475*44/12</f>
        <v>0</v>
      </c>
      <c r="EB169" s="21">
        <f>EXP(-LN(2)/25)*EB168+(1-EXP(-LN(2)/25))/(LN(2)/25)*Calculateur!DW169*Calculateur!DY169*VLOOKUP('Données projet'!$B$14,Paramètres!$A$1:$I$89,3,0)*0.475*44/12</f>
        <v>0</v>
      </c>
      <c r="EC169" s="21">
        <f>EXP(-LN(2)/2)*EC168+(1-EXP(-LN(2)/2))/(LN(2)/2)*DW169*DZ169*VLOOKUP('Données projet'!$B$14,Paramètres!$A$1:$I$89,3,0)*0.475*44/12</f>
        <v>0</v>
      </c>
      <c r="ED169" s="22">
        <f t="shared" si="178"/>
        <v>0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553.99999999999955</v>
      </c>
      <c r="EK169" s="17">
        <f>EJ169*VLOOKUP('Données projet'!$B$15,Paramètres!$A$1:$I$89,3,0)*VLOOKUP('Données projet'!$B$15,Paramètres!$A$1:$I$89,5,0)</f>
        <v>331.29199999999975</v>
      </c>
      <c r="EL169" s="13">
        <f t="shared" si="179"/>
        <v>77.698110787752</v>
      </c>
      <c r="EM169" s="20">
        <f t="shared" si="180"/>
        <v>712.32444295533423</v>
      </c>
      <c r="EN169" s="59">
        <f t="shared" si="128"/>
        <v>1005.6577762886675</v>
      </c>
      <c r="EO169" s="59">
        <f ca="1">AVERAGE(OFFSET($EN$3,0,0,'Données projet'!$E$15+1,1))-AVERAGE(OFFSET($H$3,0,0,'Données projet'!$E$15+1,1))</f>
        <v>316.58509520829671</v>
      </c>
      <c r="EP169" s="59">
        <f t="shared" si="154"/>
        <v>240.71332110643596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>
        <f>EXP(-LN(2)/35)*EV168+(1-EXP(-LN(2)/35))/(LN(2)/35)*ER169*ES169*VLOOKUP('Données projet'!$B$15,Paramètres!$A$1:$I$89,3,0)*0.475*44/12</f>
        <v>0.17146830245655037</v>
      </c>
      <c r="EW169" s="21">
        <f>EXP(-LN(2)/25)*EW168+(1-EXP(-LN(2)/25))/(LN(2)/25)*Calculateur!ER169*Calculateur!ET169*VLOOKUP('Données projet'!$B$15,Paramètres!$A$1:$I$89,3,0)*0.475*44/12</f>
        <v>0.35170366212547322</v>
      </c>
      <c r="EX169" s="21">
        <f>EXP(-LN(2)/2)*EX168+(1-EXP(-LN(2)/2))/(LN(2)/2)*ER169*EU169*VLOOKUP('Données projet'!$B$15,Paramètres!$A$1:$I$89,3,0)*0.475*44/12</f>
        <v>7.4333385686098736E-20</v>
      </c>
      <c r="EY169" s="22">
        <f t="shared" si="181"/>
        <v>0.52317196458202364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497</v>
      </c>
      <c r="FF169" s="17">
        <f>FE169*VLOOKUP('Données projet'!$B$16,Paramètres!$A$1:$I$89,3,0)*VLOOKUP('Données projet'!$B$16,Paramètres!$A$1:$I$89,5,0)</f>
        <v>297.20600000000002</v>
      </c>
      <c r="FG169" s="13">
        <f t="shared" si="182"/>
        <v>70.590415164571112</v>
      </c>
      <c r="FH169" s="20">
        <f t="shared" si="183"/>
        <v>640.57875641162809</v>
      </c>
      <c r="FI169" s="59">
        <f t="shared" si="131"/>
        <v>933.91208974496135</v>
      </c>
      <c r="FJ169" s="59">
        <f ca="1">AVERAGE(OFFSET($FI$3,0,0,'Données projet'!$E$16+1,1))-AVERAGE(OFFSET($H$3,0,0,'Données projet'!$E$16+1,1))</f>
        <v>270.30888762640245</v>
      </c>
      <c r="FK169" s="59">
        <f t="shared" si="156"/>
        <v>202.23783851977691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>
        <f>EXP(-LN(2)/35)*FQ168+(1-EXP(-LN(2)/35))/(LN(2)/35)*FM169*FN169*VLOOKUP('Données projet'!$B$16,Paramètres!$A$1:$I$89,3,0)*0.475*44/12</f>
        <v>0.14490279080835225</v>
      </c>
      <c r="FR169" s="21">
        <f>EXP(-LN(2)/25)*FR168+(1-EXP(-LN(2)/25))/(LN(2)/25)*Calculateur!FM169*Calculateur!FO169*VLOOKUP('Données projet'!$B$16,Paramètres!$A$1:$I$89,3,0)*0.475*44/12</f>
        <v>0.28322573325813311</v>
      </c>
      <c r="FS169" s="21">
        <f>EXP(-LN(2)/2)*FS168+(1-EXP(-LN(2)/2))/(LN(2)/2)*FM169*FP169*VLOOKUP('Données projet'!$B$16,Paramètres!$A$1:$I$89,3,0)*0.475*44/12</f>
        <v>6.2655395013646334E-20</v>
      </c>
      <c r="FT169" s="22">
        <f t="shared" si="184"/>
        <v>0.42812852406648538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-5.1159076974727213E-13</v>
      </c>
      <c r="GA169" s="17">
        <f>FZ169*VLOOKUP('Données projet'!$B$17,Paramètres!$A$1:$I$89,3,0)*VLOOKUP('Données projet'!$B$17,Paramètres!$A$1:$I$89,5,0)</f>
        <v>-4.0702161641092972E-13</v>
      </c>
      <c r="GB169" s="13" t="e">
        <f t="shared" si="185"/>
        <v>#NUM!</v>
      </c>
      <c r="GC169" s="20" t="e">
        <f t="shared" si="186"/>
        <v>#NUM!</v>
      </c>
      <c r="GD169" s="59" t="e">
        <f t="shared" si="134"/>
        <v>#NUM!</v>
      </c>
      <c r="GE169" s="59">
        <f ca="1">AVERAGE(OFFSET($GD$3,0,0,'Données projet'!$E$17+1,1))-AVERAGE(OFFSET($H$3,0,0,'Données projet'!$E$17+1,1))</f>
        <v>260.20517190557814</v>
      </c>
      <c r="GF169" s="59">
        <f t="shared" si="158"/>
        <v>307.22009971147133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>
        <f>EXP(-LN(2)/35)*GL168+(1-EXP(-LN(2)/35))/(LN(2)/35)*GH169*GI169*VLOOKUP('Données projet'!$B$17,Paramètres!$A$1:$I$89,3,0)*0.475*44/12</f>
        <v>0.22074925160103348</v>
      </c>
      <c r="GM169" s="21">
        <f>EXP(-LN(2)/25)*GM168+(1-EXP(-LN(2)/25))/(LN(2)/25)*Calculateur!GH169*Calculateur!GJ169*VLOOKUP('Données projet'!$B$17,Paramètres!$A$1:$I$89,3,0)*0.475*44/12</f>
        <v>0.47267841637829405</v>
      </c>
      <c r="GN169" s="21">
        <f>EXP(-LN(2)/2)*GN168+(1-EXP(-LN(2)/2))/(LN(2)/2)*GH169*GK169*VLOOKUP('Données projet'!$B$17,Paramètres!$A$1:$I$89,3,0)*0.475*44/12</f>
        <v>8.1447416129040326E-20</v>
      </c>
      <c r="GO169" s="21">
        <f t="shared" si="187"/>
        <v>0.69342766797932753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5.6843418860808015E-14</v>
      </c>
      <c r="GV169" s="17">
        <f>GU169*VLOOKUP('Données projet'!$B$18,Paramètres!$A$1:$I$89,3,0)*VLOOKUP('Données projet'!$B$18,Paramètres!$A$1:$I$89,5,0)</f>
        <v>4.5224624045658861E-14</v>
      </c>
      <c r="GW169" s="13">
        <f t="shared" si="188"/>
        <v>7.4514601661523691E-13</v>
      </c>
      <c r="GX169" s="20">
        <f t="shared" si="189"/>
        <v>1.3765621991510601E-12</v>
      </c>
      <c r="GY169" s="59">
        <f t="shared" si="137"/>
        <v>293.33333333333468</v>
      </c>
      <c r="GZ169" s="59">
        <f ca="1">AVERAGE(OFFSET($GY$3,0,0,'Données projet'!$E$18+1,1))-AVERAGE(OFFSET($H$3,0,0,'Données projet'!$E$18+1,1))</f>
        <v>199.58763537752952</v>
      </c>
      <c r="HA169" s="59">
        <f t="shared" si="160"/>
        <v>242.62852778451929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>
        <f>EXP(-LN(2)/35)*HG168+(1-EXP(-LN(2)/35))/(LN(2)/35)*HC169*HD169*VLOOKUP('Données projet'!$B$18,Paramètres!$A$1:$I$89,3,0)*0.475*44/12</f>
        <v>0</v>
      </c>
      <c r="HH169" s="21">
        <f>EXP(-LN(2)/25)*HH168+(1-EXP(-LN(2)/25))/(LN(2)/25)*Calculateur!HC169*Calculateur!HE169*VLOOKUP('Données projet'!$B$18,Paramètres!$A$1:$I$89,3,0)*0.475*44/12</f>
        <v>0.23687305735910283</v>
      </c>
      <c r="HI169" s="21">
        <f>EXP(-LN(2)/2)*HI168+(1-EXP(-LN(2)/2))/(LN(2)/2)*HC169*HF169*VLOOKUP('Données projet'!$B$18,Paramètres!$A$1:$I$89,3,0)*0.475*44/12</f>
        <v>3.6461578091434303E-20</v>
      </c>
      <c r="HJ169" s="22">
        <f t="shared" si="190"/>
        <v>0.23687305735910283</v>
      </c>
    </row>
    <row r="170" spans="1:218" x14ac:dyDescent="0.2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148.49639999999997</v>
      </c>
      <c r="D170" s="11">
        <f t="shared" si="140"/>
        <v>38.23668703199958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1441.4483911242071</v>
      </c>
      <c r="H170" s="67">
        <f t="shared" si="110"/>
        <v>618.56012658073257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-2.2737367544323206E-13</v>
      </c>
      <c r="O170" s="13">
        <f>N170*VLOOKUP('Données projet'!$B$9,Paramètres!$A$1:$I$89,3,0)*VLOOKUP('Données projet'!$B$9,Paramètres!$A$1:$I$89,5,0)</f>
        <v>-1.2710188457276673E-13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255.5374979188561</v>
      </c>
      <c r="T170" s="59">
        <f t="shared" si="142"/>
        <v>343.10418468620901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0.20494947431222565</v>
      </c>
      <c r="AA170" s="21">
        <f>EXP(-LN(2)/25)*AA169+(1-EXP(-LN(2)/25))/(LN(2)/25)*Calculateur!V170*Calculateur!X170*VLOOKUP('Données projet'!$B$9,Paramètres!$A$1:$I$89,3,0)*0.475*44/12</f>
        <v>0.35759839593031856</v>
      </c>
      <c r="AB170" s="21">
        <f>EXP(-LN(2)/2)*AB169+(1-EXP(-LN(2)/2))/(LN(2)/2)*V170*Y170*VLOOKUP('Données projet'!$B$9,Paramètres!$A$1:$I$89,3,0)*0.475*44/12</f>
        <v>4.0552067033786607E-21</v>
      </c>
      <c r="AC170" s="22">
        <f t="shared" si="163"/>
        <v>0.56254787024254416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1.1368683772161603E-13</v>
      </c>
      <c r="AJ170" s="13">
        <f>AI170*VLOOKUP('Données projet'!$B$10,Paramètres!$A$1:$I$89,3,0)*VLOOKUP('Données projet'!$B$10,Paramètres!$A$1:$I$89,5,0)</f>
        <v>6.3550942286383367E-14</v>
      </c>
      <c r="AK170" s="13">
        <f t="shared" si="164"/>
        <v>1.0064464192543978E-12</v>
      </c>
      <c r="AL170" s="20">
        <f t="shared" si="165"/>
        <v>1.8635787380168604E-12</v>
      </c>
      <c r="AM170" s="59">
        <f t="shared" si="113"/>
        <v>293.33333333333519</v>
      </c>
      <c r="AN170" s="59">
        <f ca="1">AVERAGE(OFFSET($AM$3,0,0,'Données projet'!$E$10+1,1))-AVERAGE(OFFSET($H$3,0,0,'Données projet'!$E$10+1,1))</f>
        <v>224.7049802939942</v>
      </c>
      <c r="AO170" s="59">
        <f t="shared" si="144"/>
        <v>203.48513862195352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0.14798353695941766</v>
      </c>
      <c r="AV170" s="21">
        <f>EXP(-LN(2)/25)*AV169+(1-EXP(-LN(2)/25))/(LN(2)/25)*Calculateur!AQ170*Calculateur!AS170*VLOOKUP('Données projet'!$B$10,Paramètres!$A$1:$I$89,3,0)*0.475*44/12</f>
        <v>0.43745779261203777</v>
      </c>
      <c r="AW170" s="21">
        <f>EXP(-LN(2)/2)*AW169+(1-EXP(-LN(2)/2))/(LN(2)/2)*AQ170*AT170*VLOOKUP('Données projet'!$B$10,Paramètres!$A$1:$I$89,3,0)*0.475*44/12</f>
        <v>2.1467575461508419E-20</v>
      </c>
      <c r="AX170" s="21">
        <f t="shared" si="166"/>
        <v>0.58544132957145545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>
        <f>BD170*VLOOKUP('Données projet'!$B$11,Paramètres!$A$1:$I$89,3,0)*VLOOKUP('Données projet'!$B$11,Paramètres!$A$1:$I$89,5,0)</f>
        <v>0</v>
      </c>
      <c r="BF170" s="13" t="e">
        <f t="shared" si="167"/>
        <v>#NUM!</v>
      </c>
      <c r="BG170" s="20" t="e">
        <f t="shared" si="168"/>
        <v>#NUM!</v>
      </c>
      <c r="BH170" s="59" t="e">
        <f t="shared" si="116"/>
        <v>#NUM!</v>
      </c>
      <c r="BI170" s="59">
        <f ca="1">AVERAGE(OFFSET($BH$3,0,0,'Données projet'!$E$11+1,1))-AVERAGE(OFFSET($H$3,0,0,'Données projet'!$E$11+1,1))</f>
        <v>210.04871822652808</v>
      </c>
      <c r="BJ170" s="59">
        <f t="shared" si="146"/>
        <v>250.17540614049324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0.48424385653330182</v>
      </c>
      <c r="BQ170" s="21">
        <f>EXP(-LN(2)/25)*BQ169+(1-EXP(-LN(2)/25))/(LN(2)/25)*Calculateur!BL170*Calculateur!BN170*VLOOKUP('Données projet'!$B$11,Paramètres!$A$1:$I$89,3,0)*0.475*44/12</f>
        <v>0.62356246562543627</v>
      </c>
      <c r="BR170" s="21">
        <f>EXP(-LN(2)/2)*BR169+(1-EXP(-LN(2)/2))/(LN(2)/2)*BL170*BO170*VLOOKUP('Données projet'!$B$11,Paramètres!$A$1:$I$89,3,0)*0.475*44/12</f>
        <v>5.1638180788917637E-20</v>
      </c>
      <c r="BS170" s="22">
        <f t="shared" si="169"/>
        <v>1.107806322158738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2.2737367544323206E-13</v>
      </c>
      <c r="BZ170" s="13">
        <f>BY170*VLOOKUP('Données projet'!$B$12,Paramètres!$A$1:$I$89,3,0)*VLOOKUP('Données projet'!$B$12,Paramètres!$A$1:$I$89,5,0)</f>
        <v>1.2414602679200471E-13</v>
      </c>
      <c r="CA170" s="13">
        <f t="shared" si="170"/>
        <v>1.8186582995804361E-12</v>
      </c>
      <c r="CB170" s="20">
        <f t="shared" si="171"/>
        <v>3.3837175350986671E-12</v>
      </c>
      <c r="CC170" s="59">
        <f t="shared" si="119"/>
        <v>293.33333333333672</v>
      </c>
      <c r="CD170" s="59">
        <f ca="1">AVERAGE(OFFSET($CC$3,0,0,'Données projet'!$E$12+1,1))-AVERAGE(OFFSET($H$3,0,0,'Données projet'!$E$12+1,1))</f>
        <v>168.72306536277267</v>
      </c>
      <c r="CE170" s="59">
        <f t="shared" si="148"/>
        <v>203.35476578922339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0.20176827355554247</v>
      </c>
      <c r="CL170" s="21">
        <f>EXP(-LN(2)/25)*CL169+(1-EXP(-LN(2)/25))/(LN(2)/25)*Calculateur!CG170*Calculateur!CI170*VLOOKUP('Données projet'!$B$12,Paramètres!$A$1:$I$89,3,0)*0.475*44/12</f>
        <v>0.51499206675312448</v>
      </c>
      <c r="CM170" s="21">
        <f>EXP(-LN(2)/2)*CM169+(1-EXP(-LN(2)/2))/(LN(2)/2)*CG170*CJ170*VLOOKUP('Données projet'!$B$12,Paramètres!$A$1:$I$89,3,0)*0.475*44/12</f>
        <v>4.7972550316136079E-20</v>
      </c>
      <c r="CN170" s="22">
        <f t="shared" si="172"/>
        <v>0.71676034030866698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1277.6923076923067</v>
      </c>
      <c r="CU170" s="17">
        <f>CT170*VLOOKUP('Données projet'!$B$13,Paramètres!$A$1:$I$89,3,0)*VLOOKUP('Données projet'!$B$13,Paramètres!$A$1:$I$89,5,0)</f>
        <v>614.5699999999996</v>
      </c>
      <c r="CV170" s="13">
        <f t="shared" si="173"/>
        <v>134.13240620831178</v>
      </c>
      <c r="CW170" s="20">
        <f t="shared" si="174"/>
        <v>1303.9900241461421</v>
      </c>
      <c r="CX170" s="59">
        <f t="shared" si="122"/>
        <v>1597.3233574794754</v>
      </c>
      <c r="CY170" s="59">
        <f ca="1">AVERAGE(OFFSET($CX$3,0,0,'Données projet'!$E$13+1,1))-AVERAGE(OFFSET($H$3,0,0,'Données projet'!$E$13+1,1))</f>
        <v>304.15237106473313</v>
      </c>
      <c r="CZ170" s="59">
        <f t="shared" si="150"/>
        <v>120.85458928724336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>
        <f>EXP(-LN(2)/35)*DF169+(1-EXP(-LN(2)/35))/(LN(2)/35)*DB170*DC170*VLOOKUP('Données projet'!$B$13,Paramètres!$A$1:$I$89,3,0)*0.475*44/12</f>
        <v>0</v>
      </c>
      <c r="DG170" s="21">
        <f>EXP(-LN(2)/25)*DG169+(1-EXP(-LN(2)/25))/(LN(2)/25)*Calculateur!DB170*Calculateur!DD170*VLOOKUP('Données projet'!$B$13,Paramètres!$A$1:$I$89,3,0)*0.475*44/12</f>
        <v>0</v>
      </c>
      <c r="DH170" s="21">
        <f>EXP(-LN(2)/2)*DH169+(1-EXP(-LN(2)/2))/(LN(2)/2)*DB170*DE170*VLOOKUP('Données projet'!$B$13,Paramètres!$A$1:$I$89,3,0)*0.475*44/12</f>
        <v>0</v>
      </c>
      <c r="DI170" s="22">
        <f t="shared" si="175"/>
        <v>0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425.38461538461536</v>
      </c>
      <c r="DP170" s="17">
        <f>DO170*VLOOKUP('Données projet'!$B$14,Paramètres!$A$1:$I$89,3,0)*VLOOKUP('Données projet'!$B$14,Paramètres!$A$1:$I$89,5,0)</f>
        <v>204.60999999999999</v>
      </c>
      <c r="DQ170" s="13">
        <f t="shared" si="176"/>
        <v>50.755958577224398</v>
      </c>
      <c r="DR170" s="20">
        <f t="shared" si="177"/>
        <v>444.76237785533249</v>
      </c>
      <c r="DS170" s="59">
        <f t="shared" si="125"/>
        <v>738.09571118866575</v>
      </c>
      <c r="DT170" s="59">
        <f ca="1">AVERAGE(OFFSET($DS$3,0,0,'Données projet'!$E$14+1,1))-AVERAGE(OFFSET($H$3,0,0,'Données projet'!$E$14+1,1))</f>
        <v>91.053246648097399</v>
      </c>
      <c r="DU170" s="59">
        <f t="shared" si="152"/>
        <v>64.716270355703955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>
        <f>EXP(-LN(2)/35)*EA169+(1-EXP(-LN(2)/35))/(LN(2)/35)*DW170*DX170*VLOOKUP('Données projet'!$B$14,Paramètres!$A$1:$I$89,3,0)*0.475*44/12</f>
        <v>0</v>
      </c>
      <c r="EB170" s="21">
        <f>EXP(-LN(2)/25)*EB169+(1-EXP(-LN(2)/25))/(LN(2)/25)*Calculateur!DW170*Calculateur!DY170*VLOOKUP('Données projet'!$B$14,Paramètres!$A$1:$I$89,3,0)*0.475*44/12</f>
        <v>0</v>
      </c>
      <c r="EC170" s="21">
        <f>EXP(-LN(2)/2)*EC169+(1-EXP(-LN(2)/2))/(LN(2)/2)*DW170*DZ170*VLOOKUP('Données projet'!$B$14,Paramètres!$A$1:$I$89,3,0)*0.475*44/12</f>
        <v>0</v>
      </c>
      <c r="ED170" s="22">
        <f t="shared" si="178"/>
        <v>0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553.99999999999955</v>
      </c>
      <c r="EK170" s="17">
        <f>EJ170*VLOOKUP('Données projet'!$B$15,Paramètres!$A$1:$I$89,3,0)*VLOOKUP('Données projet'!$B$15,Paramètres!$A$1:$I$89,5,0)</f>
        <v>331.29199999999975</v>
      </c>
      <c r="EL170" s="13">
        <f t="shared" si="179"/>
        <v>77.698110787752</v>
      </c>
      <c r="EM170" s="20">
        <f t="shared" si="180"/>
        <v>712.32444295533423</v>
      </c>
      <c r="EN170" s="59">
        <f t="shared" si="128"/>
        <v>1005.6577762886675</v>
      </c>
      <c r="EO170" s="59">
        <f ca="1">AVERAGE(OFFSET($EN$3,0,0,'Données projet'!$E$15+1,1))-AVERAGE(OFFSET($H$3,0,0,'Données projet'!$E$15+1,1))</f>
        <v>316.58509520829671</v>
      </c>
      <c r="EP170" s="59">
        <f t="shared" si="154"/>
        <v>240.71332110643596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>
        <f>EXP(-LN(2)/35)*EV169+(1-EXP(-LN(2)/35))/(LN(2)/35)*ER170*ES170*VLOOKUP('Données projet'!$B$15,Paramètres!$A$1:$I$89,3,0)*0.475*44/12</f>
        <v>0.16810591363071498</v>
      </c>
      <c r="EW170" s="21">
        <f>EXP(-LN(2)/25)*EW169+(1-EXP(-LN(2)/25))/(LN(2)/25)*Calculateur!ER170*Calculateur!ET170*VLOOKUP('Données projet'!$B$15,Paramètres!$A$1:$I$89,3,0)*0.475*44/12</f>
        <v>0.34208630698936038</v>
      </c>
      <c r="EX170" s="21">
        <f>EXP(-LN(2)/2)*EX169+(1-EXP(-LN(2)/2))/(LN(2)/2)*ER170*EU170*VLOOKUP('Données projet'!$B$15,Paramètres!$A$1:$I$89,3,0)*0.475*44/12</f>
        <v>5.2561641087195463E-20</v>
      </c>
      <c r="EY170" s="22">
        <f t="shared" si="181"/>
        <v>0.5101922206200753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497</v>
      </c>
      <c r="FF170" s="17">
        <f>FE170*VLOOKUP('Données projet'!$B$16,Paramètres!$A$1:$I$89,3,0)*VLOOKUP('Données projet'!$B$16,Paramètres!$A$1:$I$89,5,0)</f>
        <v>297.20600000000002</v>
      </c>
      <c r="FG170" s="13">
        <f t="shared" si="182"/>
        <v>70.590415164571112</v>
      </c>
      <c r="FH170" s="20">
        <f t="shared" si="183"/>
        <v>640.57875641162809</v>
      </c>
      <c r="FI170" s="59">
        <f t="shared" si="131"/>
        <v>933.91208974496135</v>
      </c>
      <c r="FJ170" s="59">
        <f ca="1">AVERAGE(OFFSET($FI$3,0,0,'Données projet'!$E$16+1,1))-AVERAGE(OFFSET($H$3,0,0,'Données projet'!$E$16+1,1))</f>
        <v>270.30888762640245</v>
      </c>
      <c r="FK170" s="59">
        <f t="shared" si="156"/>
        <v>202.23783851977691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>
        <f>EXP(-LN(2)/35)*FQ169+(1-EXP(-LN(2)/35))/(LN(2)/35)*FM170*FN170*VLOOKUP('Données projet'!$B$16,Paramètres!$A$1:$I$89,3,0)*0.475*44/12</f>
        <v>0.14206133546257585</v>
      </c>
      <c r="FR170" s="21">
        <f>EXP(-LN(2)/25)*FR169+(1-EXP(-LN(2)/25))/(LN(2)/25)*Calculateur!FM170*Calculateur!FO170*VLOOKUP('Données projet'!$B$16,Paramètres!$A$1:$I$89,3,0)*0.475*44/12</f>
        <v>0.27548091068799546</v>
      </c>
      <c r="FS170" s="21">
        <f>EXP(-LN(2)/2)*FS169+(1-EXP(-LN(2)/2))/(LN(2)/2)*FM170*FP170*VLOOKUP('Données projet'!$B$16,Paramètres!$A$1:$I$89,3,0)*0.475*44/12</f>
        <v>4.4304054692071119E-20</v>
      </c>
      <c r="FT170" s="22">
        <f t="shared" si="184"/>
        <v>0.41754224615057134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-5.1159076974727213E-13</v>
      </c>
      <c r="GA170" s="17">
        <f>FZ170*VLOOKUP('Données projet'!$B$17,Paramètres!$A$1:$I$89,3,0)*VLOOKUP('Données projet'!$B$17,Paramètres!$A$1:$I$89,5,0)</f>
        <v>-4.0702161641092972E-13</v>
      </c>
      <c r="GB170" s="13" t="e">
        <f t="shared" si="185"/>
        <v>#NUM!</v>
      </c>
      <c r="GC170" s="20" t="e">
        <f t="shared" si="186"/>
        <v>#NUM!</v>
      </c>
      <c r="GD170" s="59" t="e">
        <f t="shared" si="134"/>
        <v>#NUM!</v>
      </c>
      <c r="GE170" s="59">
        <f ca="1">AVERAGE(OFFSET($GD$3,0,0,'Données projet'!$E$17+1,1))-AVERAGE(OFFSET($H$3,0,0,'Données projet'!$E$17+1,1))</f>
        <v>260.20517190557814</v>
      </c>
      <c r="GF170" s="59">
        <f t="shared" si="158"/>
        <v>307.22009971147133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>
        <f>EXP(-LN(2)/35)*GL169+(1-EXP(-LN(2)/35))/(LN(2)/35)*GH170*GI170*VLOOKUP('Données projet'!$B$17,Paramètres!$A$1:$I$89,3,0)*0.475*44/12</f>
        <v>0.21642049342088573</v>
      </c>
      <c r="GM170" s="21">
        <f>EXP(-LN(2)/25)*GM169+(1-EXP(-LN(2)/25))/(LN(2)/25)*Calculateur!GH170*Calculateur!GJ170*VLOOKUP('Données projet'!$B$17,Paramètres!$A$1:$I$89,3,0)*0.475*44/12</f>
        <v>0.45975300022535198</v>
      </c>
      <c r="GN170" s="21">
        <f>EXP(-LN(2)/2)*GN169+(1-EXP(-LN(2)/2))/(LN(2)/2)*GH170*GK170*VLOOKUP('Données projet'!$B$17,Paramètres!$A$1:$I$89,3,0)*0.475*44/12</f>
        <v>5.7592020254966999E-20</v>
      </c>
      <c r="GO170" s="21">
        <f t="shared" si="187"/>
        <v>0.67617349364623769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5.6843418860808015E-14</v>
      </c>
      <c r="GV170" s="17">
        <f>GU170*VLOOKUP('Données projet'!$B$18,Paramètres!$A$1:$I$89,3,0)*VLOOKUP('Données projet'!$B$18,Paramètres!$A$1:$I$89,5,0)</f>
        <v>4.5224624045658861E-14</v>
      </c>
      <c r="GW170" s="13">
        <f t="shared" si="188"/>
        <v>7.4514601661523691E-13</v>
      </c>
      <c r="GX170" s="20">
        <f t="shared" si="189"/>
        <v>1.3765621991510601E-12</v>
      </c>
      <c r="GY170" s="59">
        <f t="shared" si="137"/>
        <v>293.33333333333468</v>
      </c>
      <c r="GZ170" s="59">
        <f ca="1">AVERAGE(OFFSET($GY$3,0,0,'Données projet'!$E$18+1,1))-AVERAGE(OFFSET($H$3,0,0,'Données projet'!$E$18+1,1))</f>
        <v>199.58763537752952</v>
      </c>
      <c r="HA170" s="59">
        <f t="shared" si="160"/>
        <v>242.62852778451929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>
        <f>EXP(-LN(2)/35)*HG169+(1-EXP(-LN(2)/35))/(LN(2)/35)*HC170*HD170*VLOOKUP('Données projet'!$B$18,Paramètres!$A$1:$I$89,3,0)*0.475*44/12</f>
        <v>0</v>
      </c>
      <c r="HH170" s="21">
        <f>EXP(-LN(2)/25)*HH169+(1-EXP(-LN(2)/25))/(LN(2)/25)*Calculateur!HC170*Calculateur!HE170*VLOOKUP('Données projet'!$B$18,Paramètres!$A$1:$I$89,3,0)*0.475*44/12</f>
        <v>0.23039575114900546</v>
      </c>
      <c r="HI170" s="21">
        <f>EXP(-LN(2)/2)*HI169+(1-EXP(-LN(2)/2))/(LN(2)/2)*HC170*HF170*VLOOKUP('Données projet'!$B$18,Paramètres!$A$1:$I$89,3,0)*0.475*44/12</f>
        <v>2.5782229121216051E-20</v>
      </c>
      <c r="HJ170" s="22">
        <f t="shared" si="190"/>
        <v>0.23039575114900546</v>
      </c>
    </row>
    <row r="171" spans="1:218" x14ac:dyDescent="0.2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149.38559999999995</v>
      </c>
      <c r="D171" s="11">
        <f t="shared" si="140"/>
        <v>38.438927680599591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1449.8735470081367</v>
      </c>
      <c r="H171" s="67">
        <f t="shared" si="110"/>
        <v>620.46105237704421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-2.2737367544323206E-13</v>
      </c>
      <c r="O171" s="13">
        <f>N171*VLOOKUP('Données projet'!$B$9,Paramètres!$A$1:$I$89,3,0)*VLOOKUP('Données projet'!$B$9,Paramètres!$A$1:$I$89,5,0)</f>
        <v>-1.2710188457276673E-13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255.5374979188561</v>
      </c>
      <c r="T171" s="59">
        <f t="shared" si="142"/>
        <v>343.10418468620901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0.20093054012779885</v>
      </c>
      <c r="AA171" s="21">
        <f>EXP(-LN(2)/25)*AA170+(1-EXP(-LN(2)/25))/(LN(2)/25)*Calculateur!V171*Calculateur!X171*VLOOKUP('Données projet'!$B$9,Paramètres!$A$1:$I$89,3,0)*0.475*44/12</f>
        <v>0.34781984898832163</v>
      </c>
      <c r="AB171" s="21">
        <f>EXP(-LN(2)/2)*AB170+(1-EXP(-LN(2)/2))/(LN(2)/2)*V171*Y171*VLOOKUP('Données projet'!$B$9,Paramètres!$A$1:$I$89,3,0)*0.475*44/12</f>
        <v>2.8674641590721954E-21</v>
      </c>
      <c r="AC171" s="22">
        <f t="shared" si="163"/>
        <v>0.54875038911612051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1.1368683772161603E-13</v>
      </c>
      <c r="AJ171" s="13">
        <f>AI171*VLOOKUP('Données projet'!$B$10,Paramètres!$A$1:$I$89,3,0)*VLOOKUP('Données projet'!$B$10,Paramètres!$A$1:$I$89,5,0)</f>
        <v>6.3550942286383367E-14</v>
      </c>
      <c r="AK171" s="13">
        <f t="shared" si="164"/>
        <v>1.0064464192543978E-12</v>
      </c>
      <c r="AL171" s="20">
        <f t="shared" si="165"/>
        <v>1.8635787380168604E-12</v>
      </c>
      <c r="AM171" s="59">
        <f t="shared" si="113"/>
        <v>293.33333333333519</v>
      </c>
      <c r="AN171" s="59">
        <f ca="1">AVERAGE(OFFSET($AM$3,0,0,'Données projet'!$E$10+1,1))-AVERAGE(OFFSET($H$3,0,0,'Données projet'!$E$10+1,1))</f>
        <v>224.7049802939942</v>
      </c>
      <c r="AO171" s="59">
        <f t="shared" si="144"/>
        <v>203.48513862195352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0.14508167006068848</v>
      </c>
      <c r="AV171" s="21">
        <f>EXP(-LN(2)/25)*AV170+(1-EXP(-LN(2)/25))/(LN(2)/25)*Calculateur!AQ171*Calculateur!AS171*VLOOKUP('Données projet'!$B$10,Paramètres!$A$1:$I$89,3,0)*0.475*44/12</f>
        <v>0.42549548626815609</v>
      </c>
      <c r="AW171" s="21">
        <f>EXP(-LN(2)/2)*AW170+(1-EXP(-LN(2)/2))/(LN(2)/2)*AQ171*AT171*VLOOKUP('Données projet'!$B$10,Paramètres!$A$1:$I$89,3,0)*0.475*44/12</f>
        <v>1.5179868184466531E-20</v>
      </c>
      <c r="AX171" s="21">
        <f t="shared" si="166"/>
        <v>0.57057715632884454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>
        <f>BD171*VLOOKUP('Données projet'!$B$11,Paramètres!$A$1:$I$89,3,0)*VLOOKUP('Données projet'!$B$11,Paramètres!$A$1:$I$89,5,0)</f>
        <v>0</v>
      </c>
      <c r="BF171" s="13" t="e">
        <f t="shared" si="167"/>
        <v>#NUM!</v>
      </c>
      <c r="BG171" s="20" t="e">
        <f t="shared" si="168"/>
        <v>#NUM!</v>
      </c>
      <c r="BH171" s="59" t="e">
        <f t="shared" si="116"/>
        <v>#NUM!</v>
      </c>
      <c r="BI171" s="59">
        <f ca="1">AVERAGE(OFFSET($BH$3,0,0,'Données projet'!$E$11+1,1))-AVERAGE(OFFSET($H$3,0,0,'Données projet'!$E$11+1,1))</f>
        <v>210.04871822652808</v>
      </c>
      <c r="BJ171" s="59">
        <f t="shared" si="146"/>
        <v>250.17540614049324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0.47474812986627191</v>
      </c>
      <c r="BQ171" s="21">
        <f>EXP(-LN(2)/25)*BQ170+(1-EXP(-LN(2)/25))/(LN(2)/25)*Calculateur!BL171*Calculateur!BN171*VLOOKUP('Données projet'!$B$11,Paramètres!$A$1:$I$89,3,0)*0.475*44/12</f>
        <v>0.60651111721118378</v>
      </c>
      <c r="BR171" s="21">
        <f>EXP(-LN(2)/2)*BR170+(1-EXP(-LN(2)/2))/(LN(2)/2)*BL171*BO171*VLOOKUP('Données projet'!$B$11,Paramètres!$A$1:$I$89,3,0)*0.475*44/12</f>
        <v>3.6513707803980565E-20</v>
      </c>
      <c r="BS171" s="22">
        <f t="shared" si="169"/>
        <v>1.0812592470774556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2.2737367544323206E-13</v>
      </c>
      <c r="BZ171" s="13">
        <f>BY171*VLOOKUP('Données projet'!$B$12,Paramètres!$A$1:$I$89,3,0)*VLOOKUP('Données projet'!$B$12,Paramètres!$A$1:$I$89,5,0)</f>
        <v>1.2414602679200471E-13</v>
      </c>
      <c r="CA171" s="13">
        <f t="shared" si="170"/>
        <v>1.8186582995804361E-12</v>
      </c>
      <c r="CB171" s="20">
        <f t="shared" si="171"/>
        <v>3.3837175350986671E-12</v>
      </c>
      <c r="CC171" s="59">
        <f t="shared" si="119"/>
        <v>293.33333333333672</v>
      </c>
      <c r="CD171" s="59">
        <f ca="1">AVERAGE(OFFSET($CC$3,0,0,'Données projet'!$E$12+1,1))-AVERAGE(OFFSET($H$3,0,0,'Données projet'!$E$12+1,1))</f>
        <v>168.72306536277267</v>
      </c>
      <c r="CE171" s="59">
        <f t="shared" si="148"/>
        <v>203.35476578922339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0.19781172077761333</v>
      </c>
      <c r="CL171" s="21">
        <f>EXP(-LN(2)/25)*CL170+(1-EXP(-LN(2)/25))/(LN(2)/25)*Calculateur!CG171*Calculateur!CI171*VLOOKUP('Données projet'!$B$12,Paramètres!$A$1:$I$89,3,0)*0.475*44/12</f>
        <v>0.50090958160550458</v>
      </c>
      <c r="CM171" s="21">
        <f>EXP(-LN(2)/2)*CM170+(1-EXP(-LN(2)/2))/(LN(2)/2)*CG171*CJ171*VLOOKUP('Données projet'!$B$12,Paramètres!$A$1:$I$89,3,0)*0.475*44/12</f>
        <v>3.3921715639352675E-20</v>
      </c>
      <c r="CN171" s="22">
        <f t="shared" si="172"/>
        <v>0.69872130238311791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1277.6923076923067</v>
      </c>
      <c r="CU171" s="17">
        <f>CT171*VLOOKUP('Données projet'!$B$13,Paramètres!$A$1:$I$89,3,0)*VLOOKUP('Données projet'!$B$13,Paramètres!$A$1:$I$89,5,0)</f>
        <v>614.5699999999996</v>
      </c>
      <c r="CV171" s="13">
        <f t="shared" si="173"/>
        <v>134.13240620831178</v>
      </c>
      <c r="CW171" s="20">
        <f t="shared" si="174"/>
        <v>1303.9900241461421</v>
      </c>
      <c r="CX171" s="59">
        <f t="shared" si="122"/>
        <v>1597.3233574794754</v>
      </c>
      <c r="CY171" s="59">
        <f ca="1">AVERAGE(OFFSET($CX$3,0,0,'Données projet'!$E$13+1,1))-AVERAGE(OFFSET($H$3,0,0,'Données projet'!$E$13+1,1))</f>
        <v>304.15237106473313</v>
      </c>
      <c r="CZ171" s="59">
        <f t="shared" si="150"/>
        <v>120.85458928724336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>
        <f>EXP(-LN(2)/35)*DF170+(1-EXP(-LN(2)/35))/(LN(2)/35)*DB171*DC171*VLOOKUP('Données projet'!$B$13,Paramètres!$A$1:$I$89,3,0)*0.475*44/12</f>
        <v>0</v>
      </c>
      <c r="DG171" s="21">
        <f>EXP(-LN(2)/25)*DG170+(1-EXP(-LN(2)/25))/(LN(2)/25)*Calculateur!DB171*Calculateur!DD171*VLOOKUP('Données projet'!$B$13,Paramètres!$A$1:$I$89,3,0)*0.475*44/12</f>
        <v>0</v>
      </c>
      <c r="DH171" s="21">
        <f>EXP(-LN(2)/2)*DH170+(1-EXP(-LN(2)/2))/(LN(2)/2)*DB171*DE171*VLOOKUP('Données projet'!$B$13,Paramètres!$A$1:$I$89,3,0)*0.475*44/12</f>
        <v>0</v>
      </c>
      <c r="DI171" s="22">
        <f t="shared" si="175"/>
        <v>0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425.38461538461536</v>
      </c>
      <c r="DP171" s="17">
        <f>DO171*VLOOKUP('Données projet'!$B$14,Paramètres!$A$1:$I$89,3,0)*VLOOKUP('Données projet'!$B$14,Paramètres!$A$1:$I$89,5,0)</f>
        <v>204.60999999999999</v>
      </c>
      <c r="DQ171" s="13">
        <f t="shared" si="176"/>
        <v>50.755958577224398</v>
      </c>
      <c r="DR171" s="20">
        <f t="shared" si="177"/>
        <v>444.76237785533249</v>
      </c>
      <c r="DS171" s="59">
        <f t="shared" si="125"/>
        <v>738.09571118866575</v>
      </c>
      <c r="DT171" s="59">
        <f ca="1">AVERAGE(OFFSET($DS$3,0,0,'Données projet'!$E$14+1,1))-AVERAGE(OFFSET($H$3,0,0,'Données projet'!$E$14+1,1))</f>
        <v>91.053246648097399</v>
      </c>
      <c r="DU171" s="59">
        <f t="shared" si="152"/>
        <v>64.716270355703955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>
        <f>EXP(-LN(2)/35)*EA170+(1-EXP(-LN(2)/35))/(LN(2)/35)*DW171*DX171*VLOOKUP('Données projet'!$B$14,Paramètres!$A$1:$I$89,3,0)*0.475*44/12</f>
        <v>0</v>
      </c>
      <c r="EB171" s="21">
        <f>EXP(-LN(2)/25)*EB170+(1-EXP(-LN(2)/25))/(LN(2)/25)*Calculateur!DW171*Calculateur!DY171*VLOOKUP('Données projet'!$B$14,Paramètres!$A$1:$I$89,3,0)*0.475*44/12</f>
        <v>0</v>
      </c>
      <c r="EC171" s="21">
        <f>EXP(-LN(2)/2)*EC170+(1-EXP(-LN(2)/2))/(LN(2)/2)*DW171*DZ171*VLOOKUP('Données projet'!$B$14,Paramètres!$A$1:$I$89,3,0)*0.475*44/12</f>
        <v>0</v>
      </c>
      <c r="ED171" s="22">
        <f t="shared" si="178"/>
        <v>0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553.99999999999955</v>
      </c>
      <c r="EK171" s="17">
        <f>EJ171*VLOOKUP('Données projet'!$B$15,Paramètres!$A$1:$I$89,3,0)*VLOOKUP('Données projet'!$B$15,Paramètres!$A$1:$I$89,5,0)</f>
        <v>331.29199999999975</v>
      </c>
      <c r="EL171" s="13">
        <f t="shared" si="179"/>
        <v>77.698110787752</v>
      </c>
      <c r="EM171" s="20">
        <f t="shared" si="180"/>
        <v>712.32444295533423</v>
      </c>
      <c r="EN171" s="59">
        <f t="shared" si="128"/>
        <v>1005.6577762886675</v>
      </c>
      <c r="EO171" s="59">
        <f ca="1">AVERAGE(OFFSET($EN$3,0,0,'Données projet'!$E$15+1,1))-AVERAGE(OFFSET($H$3,0,0,'Données projet'!$E$15+1,1))</f>
        <v>316.58509520829671</v>
      </c>
      <c r="EP171" s="59">
        <f t="shared" si="154"/>
        <v>240.71332110643596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>
        <f>EXP(-LN(2)/35)*EV170+(1-EXP(-LN(2)/35))/(LN(2)/35)*ER171*ES171*VLOOKUP('Données projet'!$B$15,Paramètres!$A$1:$I$89,3,0)*0.475*44/12</f>
        <v>0.16480945919889953</v>
      </c>
      <c r="EW171" s="21">
        <f>EXP(-LN(2)/25)*EW170+(1-EXP(-LN(2)/25))/(LN(2)/25)*Calculateur!ER171*Calculateur!ET171*VLOOKUP('Données projet'!$B$15,Paramètres!$A$1:$I$89,3,0)*0.475*44/12</f>
        <v>0.33273193893519926</v>
      </c>
      <c r="EX171" s="21">
        <f>EXP(-LN(2)/2)*EX170+(1-EXP(-LN(2)/2))/(LN(2)/2)*ER171*EU171*VLOOKUP('Données projet'!$B$15,Paramètres!$A$1:$I$89,3,0)*0.475*44/12</f>
        <v>3.7166692843049368E-20</v>
      </c>
      <c r="EY171" s="22">
        <f t="shared" si="181"/>
        <v>0.49754139813409881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497</v>
      </c>
      <c r="FF171" s="17">
        <f>FE171*VLOOKUP('Données projet'!$B$16,Paramètres!$A$1:$I$89,3,0)*VLOOKUP('Données projet'!$B$16,Paramètres!$A$1:$I$89,5,0)</f>
        <v>297.20600000000002</v>
      </c>
      <c r="FG171" s="13">
        <f t="shared" si="182"/>
        <v>70.590415164571112</v>
      </c>
      <c r="FH171" s="20">
        <f t="shared" si="183"/>
        <v>640.57875641162809</v>
      </c>
      <c r="FI171" s="59">
        <f t="shared" si="131"/>
        <v>933.91208974496135</v>
      </c>
      <c r="FJ171" s="59">
        <f ca="1">AVERAGE(OFFSET($FI$3,0,0,'Données projet'!$E$16+1,1))-AVERAGE(OFFSET($H$3,0,0,'Données projet'!$E$16+1,1))</f>
        <v>270.30888762640245</v>
      </c>
      <c r="FK171" s="59">
        <f t="shared" si="156"/>
        <v>202.23783851977691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>
        <f>EXP(-LN(2)/35)*FQ170+(1-EXP(-LN(2)/35))/(LN(2)/35)*FM171*FN171*VLOOKUP('Données projet'!$B$16,Paramètres!$A$1:$I$89,3,0)*0.475*44/12</f>
        <v>0.1392755993230135</v>
      </c>
      <c r="FR171" s="21">
        <f>EXP(-LN(2)/25)*FR170+(1-EXP(-LN(2)/25))/(LN(2)/25)*Calculateur!FM171*Calculateur!FO171*VLOOKUP('Données projet'!$B$16,Paramètres!$A$1:$I$89,3,0)*0.475*44/12</f>
        <v>0.26794787069832077</v>
      </c>
      <c r="FS171" s="21">
        <f>EXP(-LN(2)/2)*FS170+(1-EXP(-LN(2)/2))/(LN(2)/2)*FM171*FP171*VLOOKUP('Données projet'!$B$16,Paramètres!$A$1:$I$89,3,0)*0.475*44/12</f>
        <v>3.1327697506823167E-20</v>
      </c>
      <c r="FT171" s="22">
        <f t="shared" si="184"/>
        <v>0.4072234700213343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-5.1159076974727213E-13</v>
      </c>
      <c r="GA171" s="17">
        <f>FZ171*VLOOKUP('Données projet'!$B$17,Paramètres!$A$1:$I$89,3,0)*VLOOKUP('Données projet'!$B$17,Paramètres!$A$1:$I$89,5,0)</f>
        <v>-4.0702161641092972E-13</v>
      </c>
      <c r="GB171" s="13" t="e">
        <f t="shared" si="185"/>
        <v>#NUM!</v>
      </c>
      <c r="GC171" s="20" t="e">
        <f t="shared" si="186"/>
        <v>#NUM!</v>
      </c>
      <c r="GD171" s="59" t="e">
        <f t="shared" si="134"/>
        <v>#NUM!</v>
      </c>
      <c r="GE171" s="59">
        <f ca="1">AVERAGE(OFFSET($GD$3,0,0,'Données projet'!$E$17+1,1))-AVERAGE(OFFSET($H$3,0,0,'Données projet'!$E$17+1,1))</f>
        <v>260.20517190557814</v>
      </c>
      <c r="GF171" s="59">
        <f t="shared" si="158"/>
        <v>307.22009971147133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>
        <f>EXP(-LN(2)/35)*GL170+(1-EXP(-LN(2)/35))/(LN(2)/35)*GH171*GI171*VLOOKUP('Données projet'!$B$17,Paramètres!$A$1:$I$89,3,0)*0.475*44/12</f>
        <v>0.21217661954836889</v>
      </c>
      <c r="GM171" s="21">
        <f>EXP(-LN(2)/25)*GM170+(1-EXP(-LN(2)/25))/(LN(2)/25)*Calculateur!GH171*Calculateur!GJ171*VLOOKUP('Données projet'!$B$17,Paramètres!$A$1:$I$89,3,0)*0.475*44/12</f>
        <v>0.4471810302568302</v>
      </c>
      <c r="GN171" s="21">
        <f>EXP(-LN(2)/2)*GN170+(1-EXP(-LN(2)/2))/(LN(2)/2)*GH171*GK171*VLOOKUP('Données projet'!$B$17,Paramètres!$A$1:$I$89,3,0)*0.475*44/12</f>
        <v>4.0723708064520163E-20</v>
      </c>
      <c r="GO171" s="21">
        <f t="shared" si="187"/>
        <v>0.65935764980519906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5.6843418860808015E-14</v>
      </c>
      <c r="GV171" s="17">
        <f>GU171*VLOOKUP('Données projet'!$B$18,Paramètres!$A$1:$I$89,3,0)*VLOOKUP('Données projet'!$B$18,Paramètres!$A$1:$I$89,5,0)</f>
        <v>4.5224624045658861E-14</v>
      </c>
      <c r="GW171" s="13">
        <f t="shared" si="188"/>
        <v>7.4514601661523691E-13</v>
      </c>
      <c r="GX171" s="20">
        <f t="shared" si="189"/>
        <v>1.3765621991510601E-12</v>
      </c>
      <c r="GY171" s="59">
        <f t="shared" si="137"/>
        <v>293.33333333333468</v>
      </c>
      <c r="GZ171" s="59">
        <f ca="1">AVERAGE(OFFSET($GY$3,0,0,'Données projet'!$E$18+1,1))-AVERAGE(OFFSET($H$3,0,0,'Données projet'!$E$18+1,1))</f>
        <v>199.58763537752952</v>
      </c>
      <c r="HA171" s="59">
        <f t="shared" si="160"/>
        <v>242.62852778451929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>
        <f>EXP(-LN(2)/35)*HG170+(1-EXP(-LN(2)/35))/(LN(2)/35)*HC171*HD171*VLOOKUP('Données projet'!$B$18,Paramètres!$A$1:$I$89,3,0)*0.475*44/12</f>
        <v>0</v>
      </c>
      <c r="HH171" s="21">
        <f>EXP(-LN(2)/25)*HH170+(1-EXP(-LN(2)/25))/(LN(2)/25)*Calculateur!HC171*Calculateur!HE171*VLOOKUP('Données projet'!$B$18,Paramètres!$A$1:$I$89,3,0)*0.475*44/12</f>
        <v>0.22409556721784993</v>
      </c>
      <c r="HI171" s="21">
        <f>EXP(-LN(2)/2)*HI170+(1-EXP(-LN(2)/2))/(LN(2)/2)*HC171*HF171*VLOOKUP('Données projet'!$B$18,Paramètres!$A$1:$I$89,3,0)*0.475*44/12</f>
        <v>1.8230789045717151E-20</v>
      </c>
      <c r="HJ171" s="22">
        <f t="shared" si="190"/>
        <v>0.22409556721784993</v>
      </c>
    </row>
    <row r="172" spans="1:218" x14ac:dyDescent="0.2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150.27479999999994</v>
      </c>
      <c r="D172" s="11">
        <f t="shared" si="140"/>
        <v>38.641028252978323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1458.2976216019376</v>
      </c>
      <c r="H172" s="67">
        <f t="shared" si="110"/>
        <v>622.36173420727039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-2.2737367544323206E-13</v>
      </c>
      <c r="O172" s="13">
        <f>N172*VLOOKUP('Données projet'!$B$9,Paramètres!$A$1:$I$89,3,0)*VLOOKUP('Données projet'!$B$9,Paramètres!$A$1:$I$89,5,0)</f>
        <v>-1.2710188457276673E-13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255.5374979188561</v>
      </c>
      <c r="T172" s="59">
        <f t="shared" si="142"/>
        <v>343.10418468620901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0.19699041479142085</v>
      </c>
      <c r="AA172" s="21">
        <f>EXP(-LN(2)/25)*AA171+(1-EXP(-LN(2)/25))/(LN(2)/25)*Calculateur!V172*Calculateur!X172*VLOOKUP('Données projet'!$B$9,Paramètres!$A$1:$I$89,3,0)*0.475*44/12</f>
        <v>0.33830869692668508</v>
      </c>
      <c r="AB172" s="21">
        <f>EXP(-LN(2)/2)*AB171+(1-EXP(-LN(2)/2))/(LN(2)/2)*V172*Y172*VLOOKUP('Données projet'!$B$9,Paramètres!$A$1:$I$89,3,0)*0.475*44/12</f>
        <v>2.0276033516893304E-21</v>
      </c>
      <c r="AC172" s="22">
        <f t="shared" si="163"/>
        <v>0.53529911171810596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1.1368683772161603E-13</v>
      </c>
      <c r="AJ172" s="13">
        <f>AI172*VLOOKUP('Données projet'!$B$10,Paramètres!$A$1:$I$89,3,0)*VLOOKUP('Données projet'!$B$10,Paramètres!$A$1:$I$89,5,0)</f>
        <v>6.3550942286383367E-14</v>
      </c>
      <c r="AK172" s="13">
        <f t="shared" si="164"/>
        <v>1.0064464192543978E-12</v>
      </c>
      <c r="AL172" s="20">
        <f t="shared" si="165"/>
        <v>1.8635787380168604E-12</v>
      </c>
      <c r="AM172" s="59">
        <f t="shared" si="113"/>
        <v>293.33333333333519</v>
      </c>
      <c r="AN172" s="59">
        <f ca="1">AVERAGE(OFFSET($AM$3,0,0,'Données projet'!$E$10+1,1))-AVERAGE(OFFSET($H$3,0,0,'Données projet'!$E$10+1,1))</f>
        <v>224.7049802939942</v>
      </c>
      <c r="AO172" s="59">
        <f t="shared" si="144"/>
        <v>203.48513862195352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0.14223670700187935</v>
      </c>
      <c r="AV172" s="21">
        <f>EXP(-LN(2)/25)*AV171+(1-EXP(-LN(2)/25))/(LN(2)/25)*Calculateur!AQ172*Calculateur!AS172*VLOOKUP('Données projet'!$B$10,Paramètres!$A$1:$I$89,3,0)*0.475*44/12</f>
        <v>0.41386028982031819</v>
      </c>
      <c r="AW172" s="21">
        <f>EXP(-LN(2)/2)*AW171+(1-EXP(-LN(2)/2))/(LN(2)/2)*AQ172*AT172*VLOOKUP('Données projet'!$B$10,Paramètres!$A$1:$I$89,3,0)*0.475*44/12</f>
        <v>1.0733787730754209E-20</v>
      </c>
      <c r="AX172" s="21">
        <f t="shared" si="166"/>
        <v>0.5560969968221976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>
        <f>BD172*VLOOKUP('Données projet'!$B$11,Paramètres!$A$1:$I$89,3,0)*VLOOKUP('Données projet'!$B$11,Paramètres!$A$1:$I$89,5,0)</f>
        <v>0</v>
      </c>
      <c r="BF172" s="13" t="e">
        <f t="shared" si="167"/>
        <v>#NUM!</v>
      </c>
      <c r="BG172" s="20" t="e">
        <f t="shared" si="168"/>
        <v>#NUM!</v>
      </c>
      <c r="BH172" s="59" t="e">
        <f t="shared" si="116"/>
        <v>#NUM!</v>
      </c>
      <c r="BI172" s="59">
        <f ca="1">AVERAGE(OFFSET($BH$3,0,0,'Données projet'!$E$11+1,1))-AVERAGE(OFFSET($H$3,0,0,'Données projet'!$E$11+1,1))</f>
        <v>210.04871822652808</v>
      </c>
      <c r="BJ172" s="59">
        <f t="shared" si="146"/>
        <v>250.17540614049324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0.46543860860736108</v>
      </c>
      <c r="BQ172" s="21">
        <f>EXP(-LN(2)/25)*BQ171+(1-EXP(-LN(2)/25))/(LN(2)/25)*Calculateur!BL172*Calculateur!BN172*VLOOKUP('Données projet'!$B$11,Paramètres!$A$1:$I$89,3,0)*0.475*44/12</f>
        <v>0.58992603881601047</v>
      </c>
      <c r="BR172" s="21">
        <f>EXP(-LN(2)/2)*BR171+(1-EXP(-LN(2)/2))/(LN(2)/2)*BL172*BO172*VLOOKUP('Données projet'!$B$11,Paramètres!$A$1:$I$89,3,0)*0.475*44/12</f>
        <v>2.5819090394458818E-20</v>
      </c>
      <c r="BS172" s="22">
        <f t="shared" si="169"/>
        <v>1.0553646474233715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2.2737367544323206E-13</v>
      </c>
      <c r="BZ172" s="13">
        <f>BY172*VLOOKUP('Données projet'!$B$12,Paramètres!$A$1:$I$89,3,0)*VLOOKUP('Données projet'!$B$12,Paramètres!$A$1:$I$89,5,0)</f>
        <v>1.2414602679200471E-13</v>
      </c>
      <c r="CA172" s="13">
        <f t="shared" si="170"/>
        <v>1.8186582995804361E-12</v>
      </c>
      <c r="CB172" s="20">
        <f t="shared" si="171"/>
        <v>3.3837175350986671E-12</v>
      </c>
      <c r="CC172" s="59">
        <f t="shared" si="119"/>
        <v>293.33333333333672</v>
      </c>
      <c r="CD172" s="59">
        <f ca="1">AVERAGE(OFFSET($CC$3,0,0,'Données projet'!$E$12+1,1))-AVERAGE(OFFSET($H$3,0,0,'Données projet'!$E$12+1,1))</f>
        <v>168.72306536277267</v>
      </c>
      <c r="CE172" s="59">
        <f t="shared" si="148"/>
        <v>203.35476578922339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0.1939327535864005</v>
      </c>
      <c r="CL172" s="21">
        <f>EXP(-LN(2)/25)*CL171+(1-EXP(-LN(2)/25))/(LN(2)/25)*Calculateur!CG172*Calculateur!CI172*VLOOKUP('Données projet'!$B$12,Paramètres!$A$1:$I$89,3,0)*0.475*44/12</f>
        <v>0.48721218275481198</v>
      </c>
      <c r="CM172" s="21">
        <f>EXP(-LN(2)/2)*CM171+(1-EXP(-LN(2)/2))/(LN(2)/2)*CG172*CJ172*VLOOKUP('Données projet'!$B$12,Paramètres!$A$1:$I$89,3,0)*0.475*44/12</f>
        <v>2.3986275158068039E-20</v>
      </c>
      <c r="CN172" s="22">
        <f t="shared" si="172"/>
        <v>0.68114493634121254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1277.6923076923067</v>
      </c>
      <c r="CU172" s="17">
        <f>CT172*VLOOKUP('Données projet'!$B$13,Paramètres!$A$1:$I$89,3,0)*VLOOKUP('Données projet'!$B$13,Paramètres!$A$1:$I$89,5,0)</f>
        <v>614.5699999999996</v>
      </c>
      <c r="CV172" s="13">
        <f t="shared" si="173"/>
        <v>134.13240620831178</v>
      </c>
      <c r="CW172" s="20">
        <f t="shared" si="174"/>
        <v>1303.9900241461421</v>
      </c>
      <c r="CX172" s="59">
        <f t="shared" si="122"/>
        <v>1597.3233574794754</v>
      </c>
      <c r="CY172" s="59">
        <f ca="1">AVERAGE(OFFSET($CX$3,0,0,'Données projet'!$E$13+1,1))-AVERAGE(OFFSET($H$3,0,0,'Données projet'!$E$13+1,1))</f>
        <v>304.15237106473313</v>
      </c>
      <c r="CZ172" s="59">
        <f t="shared" si="150"/>
        <v>120.85458928724336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>
        <f>EXP(-LN(2)/35)*DF171+(1-EXP(-LN(2)/35))/(LN(2)/35)*DB172*DC172*VLOOKUP('Données projet'!$B$13,Paramètres!$A$1:$I$89,3,0)*0.475*44/12</f>
        <v>0</v>
      </c>
      <c r="DG172" s="21">
        <f>EXP(-LN(2)/25)*DG171+(1-EXP(-LN(2)/25))/(LN(2)/25)*Calculateur!DB172*Calculateur!DD172*VLOOKUP('Données projet'!$B$13,Paramètres!$A$1:$I$89,3,0)*0.475*44/12</f>
        <v>0</v>
      </c>
      <c r="DH172" s="21">
        <f>EXP(-LN(2)/2)*DH171+(1-EXP(-LN(2)/2))/(LN(2)/2)*DB172*DE172*VLOOKUP('Données projet'!$B$13,Paramètres!$A$1:$I$89,3,0)*0.475*44/12</f>
        <v>0</v>
      </c>
      <c r="DI172" s="22">
        <f t="shared" si="175"/>
        <v>0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425.38461538461536</v>
      </c>
      <c r="DP172" s="17">
        <f>DO172*VLOOKUP('Données projet'!$B$14,Paramètres!$A$1:$I$89,3,0)*VLOOKUP('Données projet'!$B$14,Paramètres!$A$1:$I$89,5,0)</f>
        <v>204.60999999999999</v>
      </c>
      <c r="DQ172" s="13">
        <f t="shared" si="176"/>
        <v>50.755958577224398</v>
      </c>
      <c r="DR172" s="20">
        <f t="shared" si="177"/>
        <v>444.76237785533249</v>
      </c>
      <c r="DS172" s="59">
        <f t="shared" si="125"/>
        <v>738.09571118866575</v>
      </c>
      <c r="DT172" s="59">
        <f ca="1">AVERAGE(OFFSET($DS$3,0,0,'Données projet'!$E$14+1,1))-AVERAGE(OFFSET($H$3,0,0,'Données projet'!$E$14+1,1))</f>
        <v>91.053246648097399</v>
      </c>
      <c r="DU172" s="59">
        <f t="shared" si="152"/>
        <v>64.716270355703955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>
        <f>EXP(-LN(2)/35)*EA171+(1-EXP(-LN(2)/35))/(LN(2)/35)*DW172*DX172*VLOOKUP('Données projet'!$B$14,Paramètres!$A$1:$I$89,3,0)*0.475*44/12</f>
        <v>0</v>
      </c>
      <c r="EB172" s="21">
        <f>EXP(-LN(2)/25)*EB171+(1-EXP(-LN(2)/25))/(LN(2)/25)*Calculateur!DW172*Calculateur!DY172*VLOOKUP('Données projet'!$B$14,Paramètres!$A$1:$I$89,3,0)*0.475*44/12</f>
        <v>0</v>
      </c>
      <c r="EC172" s="21">
        <f>EXP(-LN(2)/2)*EC171+(1-EXP(-LN(2)/2))/(LN(2)/2)*DW172*DZ172*VLOOKUP('Données projet'!$B$14,Paramètres!$A$1:$I$89,3,0)*0.475*44/12</f>
        <v>0</v>
      </c>
      <c r="ED172" s="22">
        <f t="shared" si="178"/>
        <v>0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553.99999999999955</v>
      </c>
      <c r="EK172" s="17">
        <f>EJ172*VLOOKUP('Données projet'!$B$15,Paramètres!$A$1:$I$89,3,0)*VLOOKUP('Données projet'!$B$15,Paramètres!$A$1:$I$89,5,0)</f>
        <v>331.29199999999975</v>
      </c>
      <c r="EL172" s="13">
        <f t="shared" si="179"/>
        <v>77.698110787752</v>
      </c>
      <c r="EM172" s="20">
        <f t="shared" si="180"/>
        <v>712.32444295533423</v>
      </c>
      <c r="EN172" s="59">
        <f t="shared" si="128"/>
        <v>1005.6577762886675</v>
      </c>
      <c r="EO172" s="59">
        <f ca="1">AVERAGE(OFFSET($EN$3,0,0,'Données projet'!$E$15+1,1))-AVERAGE(OFFSET($H$3,0,0,'Données projet'!$E$15+1,1))</f>
        <v>316.58509520829671</v>
      </c>
      <c r="EP172" s="59">
        <f t="shared" si="154"/>
        <v>240.71332110643596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>
        <f>EXP(-LN(2)/35)*EV171+(1-EXP(-LN(2)/35))/(LN(2)/35)*ER172*ES172*VLOOKUP('Données projet'!$B$15,Paramètres!$A$1:$I$89,3,0)*0.475*44/12</f>
        <v>0.16157764622785331</v>
      </c>
      <c r="EW172" s="21">
        <f>EXP(-LN(2)/25)*EW171+(1-EXP(-LN(2)/25))/(LN(2)/25)*Calculateur!ER172*Calculateur!ET172*VLOOKUP('Données projet'!$B$15,Paramètres!$A$1:$I$89,3,0)*0.475*44/12</f>
        <v>0.32363336656740405</v>
      </c>
      <c r="EX172" s="21">
        <f>EXP(-LN(2)/2)*EX171+(1-EXP(-LN(2)/2))/(LN(2)/2)*ER172*EU172*VLOOKUP('Données projet'!$B$15,Paramètres!$A$1:$I$89,3,0)*0.475*44/12</f>
        <v>2.6280820543597732E-20</v>
      </c>
      <c r="EY172" s="22">
        <f t="shared" si="181"/>
        <v>0.48521101279525736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497</v>
      </c>
      <c r="FF172" s="17">
        <f>FE172*VLOOKUP('Données projet'!$B$16,Paramètres!$A$1:$I$89,3,0)*VLOOKUP('Données projet'!$B$16,Paramètres!$A$1:$I$89,5,0)</f>
        <v>297.20600000000002</v>
      </c>
      <c r="FG172" s="13">
        <f t="shared" si="182"/>
        <v>70.590415164571112</v>
      </c>
      <c r="FH172" s="20">
        <f t="shared" si="183"/>
        <v>640.57875641162809</v>
      </c>
      <c r="FI172" s="59">
        <f t="shared" si="131"/>
        <v>933.91208974496135</v>
      </c>
      <c r="FJ172" s="59">
        <f ca="1">AVERAGE(OFFSET($FI$3,0,0,'Données projet'!$E$16+1,1))-AVERAGE(OFFSET($H$3,0,0,'Données projet'!$E$16+1,1))</f>
        <v>270.30888762640245</v>
      </c>
      <c r="FK172" s="59">
        <f t="shared" si="156"/>
        <v>202.23783851977691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>
        <f>EXP(-LN(2)/35)*FQ171+(1-EXP(-LN(2)/35))/(LN(2)/35)*FM172*FN172*VLOOKUP('Données projet'!$B$16,Paramètres!$A$1:$I$89,3,0)*0.475*44/12</f>
        <v>0.13654448977001671</v>
      </c>
      <c r="FR172" s="21">
        <f>EXP(-LN(2)/25)*FR171+(1-EXP(-LN(2)/25))/(LN(2)/25)*Calculateur!FM172*Calculateur!FO172*VLOOKUP('Données projet'!$B$16,Paramètres!$A$1:$I$89,3,0)*0.475*44/12</f>
        <v>0.26062082208330906</v>
      </c>
      <c r="FS172" s="21">
        <f>EXP(-LN(2)/2)*FS171+(1-EXP(-LN(2)/2))/(LN(2)/2)*FM172*FP172*VLOOKUP('Données projet'!$B$16,Paramètres!$A$1:$I$89,3,0)*0.475*44/12</f>
        <v>2.215202734603556E-20</v>
      </c>
      <c r="FT172" s="22">
        <f t="shared" si="184"/>
        <v>0.39716531185332576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-5.1159076974727213E-13</v>
      </c>
      <c r="GA172" s="17">
        <f>FZ172*VLOOKUP('Données projet'!$B$17,Paramètres!$A$1:$I$89,3,0)*VLOOKUP('Données projet'!$B$17,Paramètres!$A$1:$I$89,5,0)</f>
        <v>-4.0702161641092972E-13</v>
      </c>
      <c r="GB172" s="13" t="e">
        <f t="shared" si="185"/>
        <v>#NUM!</v>
      </c>
      <c r="GC172" s="20" t="e">
        <f t="shared" si="186"/>
        <v>#NUM!</v>
      </c>
      <c r="GD172" s="59" t="e">
        <f t="shared" si="134"/>
        <v>#NUM!</v>
      </c>
      <c r="GE172" s="59">
        <f ca="1">AVERAGE(OFFSET($GD$3,0,0,'Données projet'!$E$17+1,1))-AVERAGE(OFFSET($H$3,0,0,'Données projet'!$E$17+1,1))</f>
        <v>260.20517190557814</v>
      </c>
      <c r="GF172" s="59">
        <f t="shared" si="158"/>
        <v>307.22009971147133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>
        <f>EXP(-LN(2)/35)*GL171+(1-EXP(-LN(2)/35))/(LN(2)/35)*GH172*GI172*VLOOKUP('Données projet'!$B$17,Paramètres!$A$1:$I$89,3,0)*0.475*44/12</f>
        <v>0.20801596545398462</v>
      </c>
      <c r="GM172" s="21">
        <f>EXP(-LN(2)/25)*GM171+(1-EXP(-LN(2)/25))/(LN(2)/25)*Calculateur!GH172*Calculateur!GJ172*VLOOKUP('Données projet'!$B$17,Paramètres!$A$1:$I$89,3,0)*0.475*44/12</f>
        <v>0.43495284146822882</v>
      </c>
      <c r="GN172" s="21">
        <f>EXP(-LN(2)/2)*GN171+(1-EXP(-LN(2)/2))/(LN(2)/2)*GH172*GK172*VLOOKUP('Données projet'!$B$17,Paramètres!$A$1:$I$89,3,0)*0.475*44/12</f>
        <v>2.87960101274835E-20</v>
      </c>
      <c r="GO172" s="21">
        <f t="shared" si="187"/>
        <v>0.64296880692221348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5.6843418860808015E-14</v>
      </c>
      <c r="GV172" s="17">
        <f>GU172*VLOOKUP('Données projet'!$B$18,Paramètres!$A$1:$I$89,3,0)*VLOOKUP('Données projet'!$B$18,Paramètres!$A$1:$I$89,5,0)</f>
        <v>4.5224624045658861E-14</v>
      </c>
      <c r="GW172" s="13">
        <f t="shared" si="188"/>
        <v>7.4514601661523691E-13</v>
      </c>
      <c r="GX172" s="20">
        <f t="shared" si="189"/>
        <v>1.3765621991510601E-12</v>
      </c>
      <c r="GY172" s="59">
        <f t="shared" si="137"/>
        <v>293.33333333333468</v>
      </c>
      <c r="GZ172" s="59">
        <f ca="1">AVERAGE(OFFSET($GY$3,0,0,'Données projet'!$E$18+1,1))-AVERAGE(OFFSET($H$3,0,0,'Données projet'!$E$18+1,1))</f>
        <v>199.58763537752952</v>
      </c>
      <c r="HA172" s="59">
        <f t="shared" si="160"/>
        <v>242.62852778451929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>
        <f>EXP(-LN(2)/35)*HG171+(1-EXP(-LN(2)/35))/(LN(2)/35)*HC172*HD172*VLOOKUP('Données projet'!$B$18,Paramètres!$A$1:$I$89,3,0)*0.475*44/12</f>
        <v>0</v>
      </c>
      <c r="HH172" s="21">
        <f>EXP(-LN(2)/25)*HH171+(1-EXP(-LN(2)/25))/(LN(2)/25)*Calculateur!HC172*Calculateur!HE172*VLOOKUP('Données projet'!$B$18,Paramètres!$A$1:$I$89,3,0)*0.475*44/12</f>
        <v>0.21796766214760413</v>
      </c>
      <c r="HI172" s="21">
        <f>EXP(-LN(2)/2)*HI171+(1-EXP(-LN(2)/2))/(LN(2)/2)*HC172*HF172*VLOOKUP('Données projet'!$B$18,Paramètres!$A$1:$I$89,3,0)*0.475*44/12</f>
        <v>1.2891114560608025E-20</v>
      </c>
      <c r="HJ172" s="22">
        <f t="shared" si="190"/>
        <v>0.21796766214760413</v>
      </c>
    </row>
    <row r="173" spans="1:218" x14ac:dyDescent="0.2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151.16399999999993</v>
      </c>
      <c r="D173" s="11">
        <f t="shared" si="140"/>
        <v>38.842989674159945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1466.7206220461464</v>
      </c>
      <c r="H173" s="67">
        <f t="shared" si="110"/>
        <v>624.26217368249513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-2.2737367544323206E-13</v>
      </c>
      <c r="O173" s="13">
        <f>N173*VLOOKUP('Données projet'!$B$9,Paramètres!$A$1:$I$89,3,0)*VLOOKUP('Données projet'!$B$9,Paramètres!$A$1:$I$89,5,0)</f>
        <v>-1.2710188457276673E-13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255.5374979188561</v>
      </c>
      <c r="T173" s="59">
        <f t="shared" si="142"/>
        <v>343.10418468620901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0.19312755290965006</v>
      </c>
      <c r="AA173" s="21">
        <f>EXP(-LN(2)/25)*AA172+(1-EXP(-LN(2)/25))/(LN(2)/25)*Calculateur!V173*Calculateur!X173*VLOOKUP('Données projet'!$B$9,Paramètres!$A$1:$I$89,3,0)*0.475*44/12</f>
        <v>0.32905762781834375</v>
      </c>
      <c r="AB173" s="21">
        <f>EXP(-LN(2)/2)*AB172+(1-EXP(-LN(2)/2))/(LN(2)/2)*V173*Y173*VLOOKUP('Données projet'!$B$9,Paramètres!$A$1:$I$89,3,0)*0.475*44/12</f>
        <v>1.4337320795360977E-21</v>
      </c>
      <c r="AC173" s="22">
        <f t="shared" si="163"/>
        <v>0.5221851807279938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1.1368683772161603E-13</v>
      </c>
      <c r="AJ173" s="13">
        <f>AI173*VLOOKUP('Données projet'!$B$10,Paramètres!$A$1:$I$89,3,0)*VLOOKUP('Données projet'!$B$10,Paramètres!$A$1:$I$89,5,0)</f>
        <v>6.3550942286383367E-14</v>
      </c>
      <c r="AK173" s="13">
        <f t="shared" si="164"/>
        <v>1.0064464192543978E-12</v>
      </c>
      <c r="AL173" s="20">
        <f t="shared" si="165"/>
        <v>1.8635787380168604E-12</v>
      </c>
      <c r="AM173" s="59">
        <f t="shared" si="113"/>
        <v>293.33333333333519</v>
      </c>
      <c r="AN173" s="59">
        <f ca="1">AVERAGE(OFFSET($AM$3,0,0,'Données projet'!$E$10+1,1))-AVERAGE(OFFSET($H$3,0,0,'Données projet'!$E$10+1,1))</f>
        <v>224.7049802939942</v>
      </c>
      <c r="AO173" s="59">
        <f t="shared" si="144"/>
        <v>203.48513862195352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0.13944753193339735</v>
      </c>
      <c r="AV173" s="21">
        <f>EXP(-LN(2)/25)*AV172+(1-EXP(-LN(2)/25))/(LN(2)/25)*Calculateur!AQ173*Calculateur!AS173*VLOOKUP('Données projet'!$B$10,Paramètres!$A$1:$I$89,3,0)*0.475*44/12</f>
        <v>0.40254325843121486</v>
      </c>
      <c r="AW173" s="21">
        <f>EXP(-LN(2)/2)*AW172+(1-EXP(-LN(2)/2))/(LN(2)/2)*AQ173*AT173*VLOOKUP('Données projet'!$B$10,Paramètres!$A$1:$I$89,3,0)*0.475*44/12</f>
        <v>7.5899340922332653E-21</v>
      </c>
      <c r="AX173" s="21">
        <f t="shared" si="166"/>
        <v>0.54199079036461217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>
        <f>BD173*VLOOKUP('Données projet'!$B$11,Paramètres!$A$1:$I$89,3,0)*VLOOKUP('Données projet'!$B$11,Paramètres!$A$1:$I$89,5,0)</f>
        <v>0</v>
      </c>
      <c r="BF173" s="13" t="e">
        <f t="shared" si="167"/>
        <v>#NUM!</v>
      </c>
      <c r="BG173" s="20" t="e">
        <f t="shared" si="168"/>
        <v>#NUM!</v>
      </c>
      <c r="BH173" s="59" t="e">
        <f t="shared" si="116"/>
        <v>#NUM!</v>
      </c>
      <c r="BI173" s="59">
        <f ca="1">AVERAGE(OFFSET($BH$3,0,0,'Données projet'!$E$11+1,1))-AVERAGE(OFFSET($H$3,0,0,'Données projet'!$E$11+1,1))</f>
        <v>210.04871822652808</v>
      </c>
      <c r="BJ173" s="59">
        <f t="shared" si="146"/>
        <v>250.17540614049324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0.45631164138209024</v>
      </c>
      <c r="BQ173" s="21">
        <f>EXP(-LN(2)/25)*BQ172+(1-EXP(-LN(2)/25))/(LN(2)/25)*Calculateur!BL173*Calculateur!BN173*VLOOKUP('Données projet'!$B$11,Paramètres!$A$1:$I$89,3,0)*0.475*44/12</f>
        <v>0.57379448026172453</v>
      </c>
      <c r="BR173" s="21">
        <f>EXP(-LN(2)/2)*BR172+(1-EXP(-LN(2)/2))/(LN(2)/2)*BL173*BO173*VLOOKUP('Données projet'!$B$11,Paramètres!$A$1:$I$89,3,0)*0.475*44/12</f>
        <v>1.8256853901990282E-20</v>
      </c>
      <c r="BS173" s="22">
        <f t="shared" si="169"/>
        <v>1.0301061216438148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2.2737367544323206E-13</v>
      </c>
      <c r="BZ173" s="13">
        <f>BY173*VLOOKUP('Données projet'!$B$12,Paramètres!$A$1:$I$89,3,0)*VLOOKUP('Données projet'!$B$12,Paramètres!$A$1:$I$89,5,0)</f>
        <v>1.2414602679200471E-13</v>
      </c>
      <c r="CA173" s="13">
        <f t="shared" si="170"/>
        <v>1.8186582995804361E-12</v>
      </c>
      <c r="CB173" s="20">
        <f t="shared" si="171"/>
        <v>3.3837175350986671E-12</v>
      </c>
      <c r="CC173" s="59">
        <f t="shared" si="119"/>
        <v>293.33333333333672</v>
      </c>
      <c r="CD173" s="59">
        <f ca="1">AVERAGE(OFFSET($CC$3,0,0,'Données projet'!$E$12+1,1))-AVERAGE(OFFSET($H$3,0,0,'Données projet'!$E$12+1,1))</f>
        <v>168.72306536277267</v>
      </c>
      <c r="CE173" s="59">
        <f t="shared" si="148"/>
        <v>203.35476578922339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0.19012985057587098</v>
      </c>
      <c r="CL173" s="21">
        <f>EXP(-LN(2)/25)*CL172+(1-EXP(-LN(2)/25))/(LN(2)/25)*Calculateur!CG173*Calculateur!CI173*VLOOKUP('Données projet'!$B$12,Paramètres!$A$1:$I$89,3,0)*0.475*44/12</f>
        <v>0.47388933999600652</v>
      </c>
      <c r="CM173" s="21">
        <f>EXP(-LN(2)/2)*CM172+(1-EXP(-LN(2)/2))/(LN(2)/2)*CG173*CJ173*VLOOKUP('Données projet'!$B$12,Paramètres!$A$1:$I$89,3,0)*0.475*44/12</f>
        <v>1.6960857819676337E-20</v>
      </c>
      <c r="CN173" s="22">
        <f t="shared" si="172"/>
        <v>0.66401919057187753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1277.6923076923067</v>
      </c>
      <c r="CU173" s="17">
        <f>CT173*VLOOKUP('Données projet'!$B$13,Paramètres!$A$1:$I$89,3,0)*VLOOKUP('Données projet'!$B$13,Paramètres!$A$1:$I$89,5,0)</f>
        <v>614.5699999999996</v>
      </c>
      <c r="CV173" s="13">
        <f t="shared" si="173"/>
        <v>134.13240620831178</v>
      </c>
      <c r="CW173" s="20">
        <f t="shared" si="174"/>
        <v>1303.9900241461421</v>
      </c>
      <c r="CX173" s="59">
        <f t="shared" si="122"/>
        <v>1597.3233574794754</v>
      </c>
      <c r="CY173" s="59">
        <f ca="1">AVERAGE(OFFSET($CX$3,0,0,'Données projet'!$E$13+1,1))-AVERAGE(OFFSET($H$3,0,0,'Données projet'!$E$13+1,1))</f>
        <v>304.15237106473313</v>
      </c>
      <c r="CZ173" s="59">
        <f t="shared" si="150"/>
        <v>120.85458928724336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>
        <f>EXP(-LN(2)/35)*DF172+(1-EXP(-LN(2)/35))/(LN(2)/35)*DB173*DC173*VLOOKUP('Données projet'!$B$13,Paramètres!$A$1:$I$89,3,0)*0.475*44/12</f>
        <v>0</v>
      </c>
      <c r="DG173" s="21">
        <f>EXP(-LN(2)/25)*DG172+(1-EXP(-LN(2)/25))/(LN(2)/25)*Calculateur!DB173*Calculateur!DD173*VLOOKUP('Données projet'!$B$13,Paramètres!$A$1:$I$89,3,0)*0.475*44/12</f>
        <v>0</v>
      </c>
      <c r="DH173" s="21">
        <f>EXP(-LN(2)/2)*DH172+(1-EXP(-LN(2)/2))/(LN(2)/2)*DB173*DE173*VLOOKUP('Données projet'!$B$13,Paramètres!$A$1:$I$89,3,0)*0.475*44/12</f>
        <v>0</v>
      </c>
      <c r="DI173" s="22">
        <f t="shared" si="175"/>
        <v>0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425.38461538461536</v>
      </c>
      <c r="DP173" s="17">
        <f>DO173*VLOOKUP('Données projet'!$B$14,Paramètres!$A$1:$I$89,3,0)*VLOOKUP('Données projet'!$B$14,Paramètres!$A$1:$I$89,5,0)</f>
        <v>204.60999999999999</v>
      </c>
      <c r="DQ173" s="13">
        <f t="shared" si="176"/>
        <v>50.755958577224398</v>
      </c>
      <c r="DR173" s="20">
        <f t="shared" si="177"/>
        <v>444.76237785533249</v>
      </c>
      <c r="DS173" s="59">
        <f t="shared" si="125"/>
        <v>738.09571118866575</v>
      </c>
      <c r="DT173" s="59">
        <f ca="1">AVERAGE(OFFSET($DS$3,0,0,'Données projet'!$E$14+1,1))-AVERAGE(OFFSET($H$3,0,0,'Données projet'!$E$14+1,1))</f>
        <v>91.053246648097399</v>
      </c>
      <c r="DU173" s="59">
        <f t="shared" si="152"/>
        <v>64.716270355703955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>
        <f>EXP(-LN(2)/35)*EA172+(1-EXP(-LN(2)/35))/(LN(2)/35)*DW173*DX173*VLOOKUP('Données projet'!$B$14,Paramètres!$A$1:$I$89,3,0)*0.475*44/12</f>
        <v>0</v>
      </c>
      <c r="EB173" s="21">
        <f>EXP(-LN(2)/25)*EB172+(1-EXP(-LN(2)/25))/(LN(2)/25)*Calculateur!DW173*Calculateur!DY173*VLOOKUP('Données projet'!$B$14,Paramètres!$A$1:$I$89,3,0)*0.475*44/12</f>
        <v>0</v>
      </c>
      <c r="EC173" s="21">
        <f>EXP(-LN(2)/2)*EC172+(1-EXP(-LN(2)/2))/(LN(2)/2)*DW173*DZ173*VLOOKUP('Données projet'!$B$14,Paramètres!$A$1:$I$89,3,0)*0.475*44/12</f>
        <v>0</v>
      </c>
      <c r="ED173" s="22">
        <f t="shared" si="178"/>
        <v>0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553.99999999999955</v>
      </c>
      <c r="EK173" s="17">
        <f>EJ173*VLOOKUP('Données projet'!$B$15,Paramètres!$A$1:$I$89,3,0)*VLOOKUP('Données projet'!$B$15,Paramètres!$A$1:$I$89,5,0)</f>
        <v>331.29199999999975</v>
      </c>
      <c r="EL173" s="13">
        <f t="shared" si="179"/>
        <v>77.698110787752</v>
      </c>
      <c r="EM173" s="20">
        <f t="shared" si="180"/>
        <v>712.32444295533423</v>
      </c>
      <c r="EN173" s="59">
        <f t="shared" si="128"/>
        <v>1005.6577762886675</v>
      </c>
      <c r="EO173" s="59">
        <f ca="1">AVERAGE(OFFSET($EN$3,0,0,'Données projet'!$E$15+1,1))-AVERAGE(OFFSET($H$3,0,0,'Données projet'!$E$15+1,1))</f>
        <v>316.58509520829671</v>
      </c>
      <c r="EP173" s="59">
        <f t="shared" si="154"/>
        <v>240.71332110643596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>
        <f>EXP(-LN(2)/35)*EV172+(1-EXP(-LN(2)/35))/(LN(2)/35)*ER173*ES173*VLOOKUP('Données projet'!$B$15,Paramètres!$A$1:$I$89,3,0)*0.475*44/12</f>
        <v>0.15840920713795803</v>
      </c>
      <c r="EW173" s="21">
        <f>EXP(-LN(2)/25)*EW172+(1-EXP(-LN(2)/25))/(LN(2)/25)*Calculateur!ER173*Calculateur!ET173*VLOOKUP('Données projet'!$B$15,Paramètres!$A$1:$I$89,3,0)*0.475*44/12</f>
        <v>0.31478359513947929</v>
      </c>
      <c r="EX173" s="21">
        <f>EXP(-LN(2)/2)*EX172+(1-EXP(-LN(2)/2))/(LN(2)/2)*ER173*EU173*VLOOKUP('Données projet'!$B$15,Paramètres!$A$1:$I$89,3,0)*0.475*44/12</f>
        <v>1.8583346421524684E-20</v>
      </c>
      <c r="EY173" s="22">
        <f t="shared" si="181"/>
        <v>0.47319280227743732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497</v>
      </c>
      <c r="FF173" s="17">
        <f>FE173*VLOOKUP('Données projet'!$B$16,Paramètres!$A$1:$I$89,3,0)*VLOOKUP('Données projet'!$B$16,Paramètres!$A$1:$I$89,5,0)</f>
        <v>297.20600000000002</v>
      </c>
      <c r="FG173" s="13">
        <f t="shared" si="182"/>
        <v>70.590415164571112</v>
      </c>
      <c r="FH173" s="20">
        <f t="shared" si="183"/>
        <v>640.57875641162809</v>
      </c>
      <c r="FI173" s="59">
        <f t="shared" si="131"/>
        <v>933.91208974496135</v>
      </c>
      <c r="FJ173" s="59">
        <f ca="1">AVERAGE(OFFSET($FI$3,0,0,'Données projet'!$E$16+1,1))-AVERAGE(OFFSET($H$3,0,0,'Données projet'!$E$16+1,1))</f>
        <v>270.30888762640245</v>
      </c>
      <c r="FK173" s="59">
        <f t="shared" si="156"/>
        <v>202.23783851977691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>
        <f>EXP(-LN(2)/35)*FQ172+(1-EXP(-LN(2)/35))/(LN(2)/35)*FM173*FN173*VLOOKUP('Données projet'!$B$16,Paramètres!$A$1:$I$89,3,0)*0.475*44/12</f>
        <v>0.13386693560954183</v>
      </c>
      <c r="FR173" s="21">
        <f>EXP(-LN(2)/25)*FR172+(1-EXP(-LN(2)/25))/(LN(2)/25)*Calculateur!FM173*Calculateur!FO173*VLOOKUP('Données projet'!$B$16,Paramètres!$A$1:$I$89,3,0)*0.475*44/12</f>
        <v>0.25349413199798759</v>
      </c>
      <c r="FS173" s="21">
        <f>EXP(-LN(2)/2)*FS172+(1-EXP(-LN(2)/2))/(LN(2)/2)*FM173*FP173*VLOOKUP('Données projet'!$B$16,Paramètres!$A$1:$I$89,3,0)*0.475*44/12</f>
        <v>1.5663848753411583E-20</v>
      </c>
      <c r="FT173" s="22">
        <f t="shared" si="184"/>
        <v>0.38736106760752942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-5.1159076974727213E-13</v>
      </c>
      <c r="GA173" s="17">
        <f>FZ173*VLOOKUP('Données projet'!$B$17,Paramètres!$A$1:$I$89,3,0)*VLOOKUP('Données projet'!$B$17,Paramètres!$A$1:$I$89,5,0)</f>
        <v>-4.0702161641092972E-13</v>
      </c>
      <c r="GB173" s="13" t="e">
        <f t="shared" si="185"/>
        <v>#NUM!</v>
      </c>
      <c r="GC173" s="20" t="e">
        <f t="shared" si="186"/>
        <v>#NUM!</v>
      </c>
      <c r="GD173" s="59" t="e">
        <f t="shared" si="134"/>
        <v>#NUM!</v>
      </c>
      <c r="GE173" s="59">
        <f ca="1">AVERAGE(OFFSET($GD$3,0,0,'Données projet'!$E$17+1,1))-AVERAGE(OFFSET($H$3,0,0,'Données projet'!$E$17+1,1))</f>
        <v>260.20517190557814</v>
      </c>
      <c r="GF173" s="59">
        <f t="shared" si="158"/>
        <v>307.22009971147133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>
        <f>EXP(-LN(2)/35)*GL172+(1-EXP(-LN(2)/35))/(LN(2)/35)*GH173*GI173*VLOOKUP('Données projet'!$B$17,Paramètres!$A$1:$I$89,3,0)*0.475*44/12</f>
        <v>0.20393689924864283</v>
      </c>
      <c r="GM173" s="21">
        <f>EXP(-LN(2)/25)*GM172+(1-EXP(-LN(2)/25))/(LN(2)/25)*Calculateur!GH173*Calculateur!GJ173*VLOOKUP('Données projet'!$B$17,Paramètres!$A$1:$I$89,3,0)*0.475*44/12</f>
        <v>0.42305903314510429</v>
      </c>
      <c r="GN173" s="21">
        <f>EXP(-LN(2)/2)*GN172+(1-EXP(-LN(2)/2))/(LN(2)/2)*GH173*GK173*VLOOKUP('Données projet'!$B$17,Paramètres!$A$1:$I$89,3,0)*0.475*44/12</f>
        <v>2.0361854032260082E-20</v>
      </c>
      <c r="GO173" s="21">
        <f t="shared" si="187"/>
        <v>0.62699593239374707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5.6843418860808015E-14</v>
      </c>
      <c r="GV173" s="17">
        <f>GU173*VLOOKUP('Données projet'!$B$18,Paramètres!$A$1:$I$89,3,0)*VLOOKUP('Données projet'!$B$18,Paramètres!$A$1:$I$89,5,0)</f>
        <v>4.5224624045658861E-14</v>
      </c>
      <c r="GW173" s="13">
        <f t="shared" si="188"/>
        <v>7.4514601661523691E-13</v>
      </c>
      <c r="GX173" s="20">
        <f t="shared" si="189"/>
        <v>1.3765621991510601E-12</v>
      </c>
      <c r="GY173" s="59">
        <f t="shared" si="137"/>
        <v>293.33333333333468</v>
      </c>
      <c r="GZ173" s="59">
        <f ca="1">AVERAGE(OFFSET($GY$3,0,0,'Données projet'!$E$18+1,1))-AVERAGE(OFFSET($H$3,0,0,'Données projet'!$E$18+1,1))</f>
        <v>199.58763537752952</v>
      </c>
      <c r="HA173" s="59">
        <f t="shared" si="160"/>
        <v>242.62852778451929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>
        <f>EXP(-LN(2)/35)*HG172+(1-EXP(-LN(2)/35))/(LN(2)/35)*HC173*HD173*VLOOKUP('Données projet'!$B$18,Paramètres!$A$1:$I$89,3,0)*0.475*44/12</f>
        <v>0</v>
      </c>
      <c r="HH173" s="21">
        <f>EXP(-LN(2)/25)*HH172+(1-EXP(-LN(2)/25))/(LN(2)/25)*Calculateur!HC173*Calculateur!HE173*VLOOKUP('Données projet'!$B$18,Paramètres!$A$1:$I$89,3,0)*0.475*44/12</f>
        <v>0.21200732496375671</v>
      </c>
      <c r="HI173" s="21">
        <f>EXP(-LN(2)/2)*HI172+(1-EXP(-LN(2)/2))/(LN(2)/2)*HC173*HF173*VLOOKUP('Données projet'!$B$18,Paramètres!$A$1:$I$89,3,0)*0.475*44/12</f>
        <v>9.1153945228585756E-21</v>
      </c>
      <c r="HJ173" s="22">
        <f t="shared" si="190"/>
        <v>0.21200732496375671</v>
      </c>
    </row>
    <row r="174" spans="1:218" x14ac:dyDescent="0.2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152.05319999999992</v>
      </c>
      <c r="D174" s="11">
        <f t="shared" si="140"/>
        <v>39.044812857656339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1475.1425553924346</v>
      </c>
      <c r="H174" s="67">
        <f t="shared" si="110"/>
        <v>626.1623723937513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-2.2737367544323206E-13</v>
      </c>
      <c r="O174" s="13">
        <f>N174*VLOOKUP('Données projet'!$B$9,Paramètres!$A$1:$I$89,3,0)*VLOOKUP('Données projet'!$B$9,Paramètres!$A$1:$I$89,5,0)</f>
        <v>-1.2710188457276673E-13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255.5374979188561</v>
      </c>
      <c r="T174" s="59">
        <f t="shared" si="142"/>
        <v>343.10418468620901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0.1893404393932677</v>
      </c>
      <c r="AA174" s="21">
        <f>EXP(-LN(2)/25)*AA173+(1-EXP(-LN(2)/25))/(LN(2)/25)*Calculateur!V174*Calculateur!X174*VLOOKUP('Données projet'!$B$9,Paramètres!$A$1:$I$89,3,0)*0.475*44/12</f>
        <v>0.32005952968126256</v>
      </c>
      <c r="AB174" s="21">
        <f>EXP(-LN(2)/2)*AB173+(1-EXP(-LN(2)/2))/(LN(2)/2)*V174*Y174*VLOOKUP('Données projet'!$B$9,Paramètres!$A$1:$I$89,3,0)*0.475*44/12</f>
        <v>1.0138016758446652E-21</v>
      </c>
      <c r="AC174" s="22">
        <f t="shared" si="163"/>
        <v>0.50939996907453022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1.1368683772161603E-13</v>
      </c>
      <c r="AJ174" s="13">
        <f>AI174*VLOOKUP('Données projet'!$B$10,Paramètres!$A$1:$I$89,3,0)*VLOOKUP('Données projet'!$B$10,Paramètres!$A$1:$I$89,5,0)</f>
        <v>6.3550942286383367E-14</v>
      </c>
      <c r="AK174" s="13">
        <f t="shared" si="164"/>
        <v>1.0064464192543978E-12</v>
      </c>
      <c r="AL174" s="20">
        <f t="shared" si="165"/>
        <v>1.8635787380168604E-12</v>
      </c>
      <c r="AM174" s="59">
        <f t="shared" si="113"/>
        <v>293.33333333333519</v>
      </c>
      <c r="AN174" s="59">
        <f ca="1">AVERAGE(OFFSET($AM$3,0,0,'Données projet'!$E$10+1,1))-AVERAGE(OFFSET($H$3,0,0,'Données projet'!$E$10+1,1))</f>
        <v>224.7049802939942</v>
      </c>
      <c r="AO174" s="59">
        <f t="shared" si="144"/>
        <v>203.48513862195352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0.13671305088677946</v>
      </c>
      <c r="AV174" s="21">
        <f>EXP(-LN(2)/25)*AV173+(1-EXP(-LN(2)/25))/(LN(2)/25)*Calculateur!AQ174*Calculateur!AS174*VLOOKUP('Données projet'!$B$10,Paramètres!$A$1:$I$89,3,0)*0.475*44/12</f>
        <v>0.39153569186058335</v>
      </c>
      <c r="AW174" s="21">
        <f>EXP(-LN(2)/2)*AW173+(1-EXP(-LN(2)/2))/(LN(2)/2)*AQ174*AT174*VLOOKUP('Données projet'!$B$10,Paramètres!$A$1:$I$89,3,0)*0.475*44/12</f>
        <v>5.3668938653771047E-21</v>
      </c>
      <c r="AX174" s="21">
        <f t="shared" si="166"/>
        <v>0.52824874274736278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>
        <f>BD174*VLOOKUP('Données projet'!$B$11,Paramètres!$A$1:$I$89,3,0)*VLOOKUP('Données projet'!$B$11,Paramètres!$A$1:$I$89,5,0)</f>
        <v>0</v>
      </c>
      <c r="BF174" s="13" t="e">
        <f t="shared" si="167"/>
        <v>#NUM!</v>
      </c>
      <c r="BG174" s="20" t="e">
        <f t="shared" si="168"/>
        <v>#NUM!</v>
      </c>
      <c r="BH174" s="59" t="e">
        <f t="shared" si="116"/>
        <v>#NUM!</v>
      </c>
      <c r="BI174" s="59">
        <f ca="1">AVERAGE(OFFSET($BH$3,0,0,'Données projet'!$E$11+1,1))-AVERAGE(OFFSET($H$3,0,0,'Données projet'!$E$11+1,1))</f>
        <v>210.04871822652808</v>
      </c>
      <c r="BJ174" s="59">
        <f t="shared" si="146"/>
        <v>250.17540614049324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0.44736364841720661</v>
      </c>
      <c r="BQ174" s="21">
        <f>EXP(-LN(2)/25)*BQ173+(1-EXP(-LN(2)/25))/(LN(2)/25)*Calculateur!BL174*Calculateur!BN174*VLOOKUP('Données projet'!$B$11,Paramètres!$A$1:$I$89,3,0)*0.475*44/12</f>
        <v>0.55810404002442737</v>
      </c>
      <c r="BR174" s="21">
        <f>EXP(-LN(2)/2)*BR173+(1-EXP(-LN(2)/2))/(LN(2)/2)*BL174*BO174*VLOOKUP('Données projet'!$B$11,Paramètres!$A$1:$I$89,3,0)*0.475*44/12</f>
        <v>1.2909545197229409E-20</v>
      </c>
      <c r="BS174" s="22">
        <f t="shared" si="169"/>
        <v>1.005467688441634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2.2737367544323206E-13</v>
      </c>
      <c r="BZ174" s="13">
        <f>BY174*VLOOKUP('Données projet'!$B$12,Paramètres!$A$1:$I$89,3,0)*VLOOKUP('Données projet'!$B$12,Paramètres!$A$1:$I$89,5,0)</f>
        <v>1.2414602679200471E-13</v>
      </c>
      <c r="CA174" s="13">
        <f t="shared" si="170"/>
        <v>1.8186582995804361E-12</v>
      </c>
      <c r="CB174" s="20">
        <f t="shared" si="171"/>
        <v>3.3837175350986671E-12</v>
      </c>
      <c r="CC174" s="59">
        <f t="shared" si="119"/>
        <v>293.33333333333672</v>
      </c>
      <c r="CD174" s="59">
        <f ca="1">AVERAGE(OFFSET($CC$3,0,0,'Données projet'!$E$12+1,1))-AVERAGE(OFFSET($H$3,0,0,'Données projet'!$E$12+1,1))</f>
        <v>168.72306536277267</v>
      </c>
      <c r="CE174" s="59">
        <f t="shared" si="148"/>
        <v>203.35476578922339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0.18640152017383613</v>
      </c>
      <c r="CL174" s="21">
        <f>EXP(-LN(2)/25)*CL173+(1-EXP(-LN(2)/25))/(LN(2)/25)*Calculateur!CG174*Calculateur!CI174*VLOOKUP('Données projet'!$B$12,Paramètres!$A$1:$I$89,3,0)*0.475*44/12</f>
        <v>0.46093081107305844</v>
      </c>
      <c r="CM174" s="21">
        <f>EXP(-LN(2)/2)*CM173+(1-EXP(-LN(2)/2))/(LN(2)/2)*CG174*CJ174*VLOOKUP('Données projet'!$B$12,Paramètres!$A$1:$I$89,3,0)*0.475*44/12</f>
        <v>1.199313757903402E-20</v>
      </c>
      <c r="CN174" s="22">
        <f t="shared" si="172"/>
        <v>0.6473323312468946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1277.6923076923067</v>
      </c>
      <c r="CU174" s="17">
        <f>CT174*VLOOKUP('Données projet'!$B$13,Paramètres!$A$1:$I$89,3,0)*VLOOKUP('Données projet'!$B$13,Paramètres!$A$1:$I$89,5,0)</f>
        <v>614.5699999999996</v>
      </c>
      <c r="CV174" s="13">
        <f t="shared" si="173"/>
        <v>134.13240620831178</v>
      </c>
      <c r="CW174" s="20">
        <f t="shared" si="174"/>
        <v>1303.9900241461421</v>
      </c>
      <c r="CX174" s="59">
        <f t="shared" si="122"/>
        <v>1597.3233574794754</v>
      </c>
      <c r="CY174" s="59">
        <f ca="1">AVERAGE(OFFSET($CX$3,0,0,'Données projet'!$E$13+1,1))-AVERAGE(OFFSET($H$3,0,0,'Données projet'!$E$13+1,1))</f>
        <v>304.15237106473313</v>
      </c>
      <c r="CZ174" s="59">
        <f t="shared" si="150"/>
        <v>120.85458928724336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>
        <f>EXP(-LN(2)/35)*DF173+(1-EXP(-LN(2)/35))/(LN(2)/35)*DB174*DC174*VLOOKUP('Données projet'!$B$13,Paramètres!$A$1:$I$89,3,0)*0.475*44/12</f>
        <v>0</v>
      </c>
      <c r="DG174" s="21">
        <f>EXP(-LN(2)/25)*DG173+(1-EXP(-LN(2)/25))/(LN(2)/25)*Calculateur!DB174*Calculateur!DD174*VLOOKUP('Données projet'!$B$13,Paramètres!$A$1:$I$89,3,0)*0.475*44/12</f>
        <v>0</v>
      </c>
      <c r="DH174" s="21">
        <f>EXP(-LN(2)/2)*DH173+(1-EXP(-LN(2)/2))/(LN(2)/2)*DB174*DE174*VLOOKUP('Données projet'!$B$13,Paramètres!$A$1:$I$89,3,0)*0.475*44/12</f>
        <v>0</v>
      </c>
      <c r="DI174" s="22">
        <f t="shared" si="175"/>
        <v>0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425.38461538461536</v>
      </c>
      <c r="DP174" s="17">
        <f>DO174*VLOOKUP('Données projet'!$B$14,Paramètres!$A$1:$I$89,3,0)*VLOOKUP('Données projet'!$B$14,Paramètres!$A$1:$I$89,5,0)</f>
        <v>204.60999999999999</v>
      </c>
      <c r="DQ174" s="13">
        <f t="shared" si="176"/>
        <v>50.755958577224398</v>
      </c>
      <c r="DR174" s="20">
        <f t="shared" si="177"/>
        <v>444.76237785533249</v>
      </c>
      <c r="DS174" s="59">
        <f t="shared" si="125"/>
        <v>738.09571118866575</v>
      </c>
      <c r="DT174" s="59">
        <f ca="1">AVERAGE(OFFSET($DS$3,0,0,'Données projet'!$E$14+1,1))-AVERAGE(OFFSET($H$3,0,0,'Données projet'!$E$14+1,1))</f>
        <v>91.053246648097399</v>
      </c>
      <c r="DU174" s="59">
        <f t="shared" si="152"/>
        <v>64.716270355703955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>
        <f>EXP(-LN(2)/35)*EA173+(1-EXP(-LN(2)/35))/(LN(2)/35)*DW174*DX174*VLOOKUP('Données projet'!$B$14,Paramètres!$A$1:$I$89,3,0)*0.475*44/12</f>
        <v>0</v>
      </c>
      <c r="EB174" s="21">
        <f>EXP(-LN(2)/25)*EB173+(1-EXP(-LN(2)/25))/(LN(2)/25)*Calculateur!DW174*Calculateur!DY174*VLOOKUP('Données projet'!$B$14,Paramètres!$A$1:$I$89,3,0)*0.475*44/12</f>
        <v>0</v>
      </c>
      <c r="EC174" s="21">
        <f>EXP(-LN(2)/2)*EC173+(1-EXP(-LN(2)/2))/(LN(2)/2)*DW174*DZ174*VLOOKUP('Données projet'!$B$14,Paramètres!$A$1:$I$89,3,0)*0.475*44/12</f>
        <v>0</v>
      </c>
      <c r="ED174" s="22">
        <f t="shared" si="178"/>
        <v>0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553.99999999999955</v>
      </c>
      <c r="EK174" s="17">
        <f>EJ174*VLOOKUP('Données projet'!$B$15,Paramètres!$A$1:$I$89,3,0)*VLOOKUP('Données projet'!$B$15,Paramètres!$A$1:$I$89,5,0)</f>
        <v>331.29199999999975</v>
      </c>
      <c r="EL174" s="13">
        <f t="shared" si="179"/>
        <v>77.698110787752</v>
      </c>
      <c r="EM174" s="20">
        <f t="shared" si="180"/>
        <v>712.32444295533423</v>
      </c>
      <c r="EN174" s="59">
        <f t="shared" si="128"/>
        <v>1005.6577762886675</v>
      </c>
      <c r="EO174" s="59">
        <f ca="1">AVERAGE(OFFSET($EN$3,0,0,'Données projet'!$E$15+1,1))-AVERAGE(OFFSET($H$3,0,0,'Données projet'!$E$15+1,1))</f>
        <v>316.58509520829671</v>
      </c>
      <c r="EP174" s="59">
        <f t="shared" si="154"/>
        <v>240.71332110643596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>
        <f>EXP(-LN(2)/35)*EV173+(1-EXP(-LN(2)/35))/(LN(2)/35)*ER174*ES174*VLOOKUP('Données projet'!$B$15,Paramètres!$A$1:$I$89,3,0)*0.475*44/12</f>
        <v>0.15530289920605858</v>
      </c>
      <c r="EW174" s="21">
        <f>EXP(-LN(2)/25)*EW173+(1-EXP(-LN(2)/25))/(LN(2)/25)*Calculateur!ER174*Calculateur!ET174*VLOOKUP('Données projet'!$B$15,Paramètres!$A$1:$I$89,3,0)*0.475*44/12</f>
        <v>0.30617582117664038</v>
      </c>
      <c r="EX174" s="21">
        <f>EXP(-LN(2)/2)*EX173+(1-EXP(-LN(2)/2))/(LN(2)/2)*ER174*EU174*VLOOKUP('Données projet'!$B$15,Paramètres!$A$1:$I$89,3,0)*0.475*44/12</f>
        <v>1.3140410271798866E-20</v>
      </c>
      <c r="EY174" s="22">
        <f t="shared" si="181"/>
        <v>0.46147872038269899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497</v>
      </c>
      <c r="FF174" s="17">
        <f>FE174*VLOOKUP('Données projet'!$B$16,Paramètres!$A$1:$I$89,3,0)*VLOOKUP('Données projet'!$B$16,Paramètres!$A$1:$I$89,5,0)</f>
        <v>297.20600000000002</v>
      </c>
      <c r="FG174" s="13">
        <f t="shared" si="182"/>
        <v>70.590415164571112</v>
      </c>
      <c r="FH174" s="20">
        <f t="shared" si="183"/>
        <v>640.57875641162809</v>
      </c>
      <c r="FI174" s="59">
        <f t="shared" si="131"/>
        <v>933.91208974496135</v>
      </c>
      <c r="FJ174" s="59">
        <f ca="1">AVERAGE(OFFSET($FI$3,0,0,'Données projet'!$E$16+1,1))-AVERAGE(OFFSET($H$3,0,0,'Données projet'!$E$16+1,1))</f>
        <v>270.30888762640245</v>
      </c>
      <c r="FK174" s="59">
        <f t="shared" si="156"/>
        <v>202.23783851977691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>
        <f>EXP(-LN(2)/35)*FQ173+(1-EXP(-LN(2)/35))/(LN(2)/35)*FM174*FN174*VLOOKUP('Données projet'!$B$16,Paramètres!$A$1:$I$89,3,0)*0.475*44/12</f>
        <v>0.13124188665300709</v>
      </c>
      <c r="FR174" s="21">
        <f>EXP(-LN(2)/25)*FR173+(1-EXP(-LN(2)/25))/(LN(2)/25)*Calculateur!FM174*Calculateur!FO174*VLOOKUP('Données projet'!$B$16,Paramètres!$A$1:$I$89,3,0)*0.475*44/12</f>
        <v>0.2465623216278256</v>
      </c>
      <c r="FS174" s="21">
        <f>EXP(-LN(2)/2)*FS173+(1-EXP(-LN(2)/2))/(LN(2)/2)*FM174*FP174*VLOOKUP('Données projet'!$B$16,Paramètres!$A$1:$I$89,3,0)*0.475*44/12</f>
        <v>1.107601367301778E-20</v>
      </c>
      <c r="FT174" s="22">
        <f t="shared" si="184"/>
        <v>0.37780420828083272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-5.1159076974727213E-13</v>
      </c>
      <c r="GA174" s="17">
        <f>FZ174*VLOOKUP('Données projet'!$B$17,Paramètres!$A$1:$I$89,3,0)*VLOOKUP('Données projet'!$B$17,Paramètres!$A$1:$I$89,5,0)</f>
        <v>-4.0702161641092972E-13</v>
      </c>
      <c r="GB174" s="13" t="e">
        <f t="shared" si="185"/>
        <v>#NUM!</v>
      </c>
      <c r="GC174" s="20" t="e">
        <f t="shared" si="186"/>
        <v>#NUM!</v>
      </c>
      <c r="GD174" s="59" t="e">
        <f t="shared" si="134"/>
        <v>#NUM!</v>
      </c>
      <c r="GE174" s="59">
        <f ca="1">AVERAGE(OFFSET($GD$3,0,0,'Données projet'!$E$17+1,1))-AVERAGE(OFFSET($H$3,0,0,'Données projet'!$E$17+1,1))</f>
        <v>260.20517190557814</v>
      </c>
      <c r="GF174" s="59">
        <f t="shared" si="158"/>
        <v>307.22009971147133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>
        <f>EXP(-LN(2)/35)*GL173+(1-EXP(-LN(2)/35))/(LN(2)/35)*GH174*GI174*VLOOKUP('Données projet'!$B$17,Paramètres!$A$1:$I$89,3,0)*0.475*44/12</f>
        <v>0.19993782104360308</v>
      </c>
      <c r="GM174" s="21">
        <f>EXP(-LN(2)/25)*GM173+(1-EXP(-LN(2)/25))/(LN(2)/25)*Calculateur!GH174*Calculateur!GJ174*VLOOKUP('Données projet'!$B$17,Paramètres!$A$1:$I$89,3,0)*0.475*44/12</f>
        <v>0.4114904616360438</v>
      </c>
      <c r="GN174" s="21">
        <f>EXP(-LN(2)/2)*GN173+(1-EXP(-LN(2)/2))/(LN(2)/2)*GH174*GK174*VLOOKUP('Données projet'!$B$17,Paramètres!$A$1:$I$89,3,0)*0.475*44/12</f>
        <v>1.439800506374175E-20</v>
      </c>
      <c r="GO174" s="21">
        <f t="shared" si="187"/>
        <v>0.61142828267964688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5.6843418860808015E-14</v>
      </c>
      <c r="GV174" s="17">
        <f>GU174*VLOOKUP('Données projet'!$B$18,Paramètres!$A$1:$I$89,3,0)*VLOOKUP('Données projet'!$B$18,Paramètres!$A$1:$I$89,5,0)</f>
        <v>4.5224624045658861E-14</v>
      </c>
      <c r="GW174" s="13">
        <f t="shared" si="188"/>
        <v>7.4514601661523691E-13</v>
      </c>
      <c r="GX174" s="20">
        <f t="shared" si="189"/>
        <v>1.3765621991510601E-12</v>
      </c>
      <c r="GY174" s="59">
        <f t="shared" si="137"/>
        <v>293.33333333333468</v>
      </c>
      <c r="GZ174" s="59">
        <f ca="1">AVERAGE(OFFSET($GY$3,0,0,'Données projet'!$E$18+1,1))-AVERAGE(OFFSET($H$3,0,0,'Données projet'!$E$18+1,1))</f>
        <v>199.58763537752952</v>
      </c>
      <c r="HA174" s="59">
        <f t="shared" si="160"/>
        <v>242.62852778451929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>
        <f>EXP(-LN(2)/35)*HG173+(1-EXP(-LN(2)/35))/(LN(2)/35)*HC174*HD174*VLOOKUP('Données projet'!$B$18,Paramètres!$A$1:$I$89,3,0)*0.475*44/12</f>
        <v>0</v>
      </c>
      <c r="HH174" s="21">
        <f>EXP(-LN(2)/25)*HH173+(1-EXP(-LN(2)/25))/(LN(2)/25)*Calculateur!HC174*Calculateur!HE174*VLOOKUP('Données projet'!$B$18,Paramètres!$A$1:$I$89,3,0)*0.475*44/12</f>
        <v>0.20620997351364212</v>
      </c>
      <c r="HI174" s="21">
        <f>EXP(-LN(2)/2)*HI173+(1-EXP(-LN(2)/2))/(LN(2)/2)*HC174*HF174*VLOOKUP('Données projet'!$B$18,Paramètres!$A$1:$I$89,3,0)*0.475*44/12</f>
        <v>6.4455572803040127E-21</v>
      </c>
      <c r="HJ174" s="22">
        <f t="shared" si="190"/>
        <v>0.20620997351364212</v>
      </c>
    </row>
    <row r="175" spans="1:218" x14ac:dyDescent="0.2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152.94239999999991</v>
      </c>
      <c r="D175" s="11">
        <f t="shared" si="140"/>
        <v>39.246498705676842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1483.5634286052243</v>
      </c>
      <c r="H175" s="67">
        <f t="shared" si="110"/>
        <v>628.06233191238698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-2.2737367544323206E-13</v>
      </c>
      <c r="O175" s="13">
        <f>N175*VLOOKUP('Données projet'!$B$9,Paramètres!$A$1:$I$89,3,0)*VLOOKUP('Données projet'!$B$9,Paramètres!$A$1:$I$89,5,0)</f>
        <v>-1.2710188457276673E-13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255.5374979188561</v>
      </c>
      <c r="T175" s="59">
        <f t="shared" si="142"/>
        <v>343.10418468620901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0.18562758886303043</v>
      </c>
      <c r="AA175" s="21">
        <f>EXP(-LN(2)/25)*AA174+(1-EXP(-LN(2)/25))/(LN(2)/25)*Calculateur!V175*Calculateur!X175*VLOOKUP('Données projet'!$B$9,Paramètres!$A$1:$I$89,3,0)*0.475*44/12</f>
        <v>0.31130748501092925</v>
      </c>
      <c r="AB175" s="21">
        <f>EXP(-LN(2)/2)*AB174+(1-EXP(-LN(2)/2))/(LN(2)/2)*V175*Y175*VLOOKUP('Données projet'!$B$9,Paramètres!$A$1:$I$89,3,0)*0.475*44/12</f>
        <v>7.1686603976804885E-22</v>
      </c>
      <c r="AC175" s="22">
        <f t="shared" si="163"/>
        <v>0.49693507387395969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1.1368683772161603E-13</v>
      </c>
      <c r="AJ175" s="13">
        <f>AI175*VLOOKUP('Données projet'!$B$10,Paramètres!$A$1:$I$89,3,0)*VLOOKUP('Données projet'!$B$10,Paramètres!$A$1:$I$89,5,0)</f>
        <v>6.3550942286383367E-14</v>
      </c>
      <c r="AK175" s="13">
        <f t="shared" si="164"/>
        <v>1.0064464192543978E-12</v>
      </c>
      <c r="AL175" s="20">
        <f t="shared" si="165"/>
        <v>1.8635787380168604E-12</v>
      </c>
      <c r="AM175" s="59">
        <f t="shared" si="113"/>
        <v>293.33333333333519</v>
      </c>
      <c r="AN175" s="59">
        <f ca="1">AVERAGE(OFFSET($AM$3,0,0,'Données projet'!$E$10+1,1))-AVERAGE(OFFSET($H$3,0,0,'Données projet'!$E$10+1,1))</f>
        <v>224.7049802939942</v>
      </c>
      <c r="AO175" s="59">
        <f t="shared" si="144"/>
        <v>203.48513862195352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0.134032191345617</v>
      </c>
      <c r="AV175" s="21">
        <f>EXP(-LN(2)/25)*AV174+(1-EXP(-LN(2)/25))/(LN(2)/25)*Calculateur!AQ175*Calculateur!AS175*VLOOKUP('Données projet'!$B$10,Paramètres!$A$1:$I$89,3,0)*0.475*44/12</f>
        <v>0.38082912777668854</v>
      </c>
      <c r="AW175" s="21">
        <f>EXP(-LN(2)/2)*AW174+(1-EXP(-LN(2)/2))/(LN(2)/2)*AQ175*AT175*VLOOKUP('Données projet'!$B$10,Paramètres!$A$1:$I$89,3,0)*0.475*44/12</f>
        <v>3.7949670461166326E-21</v>
      </c>
      <c r="AX175" s="21">
        <f t="shared" si="166"/>
        <v>0.51486131912230548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>
        <f>BD175*VLOOKUP('Données projet'!$B$11,Paramètres!$A$1:$I$89,3,0)*VLOOKUP('Données projet'!$B$11,Paramètres!$A$1:$I$89,5,0)</f>
        <v>0</v>
      </c>
      <c r="BF175" s="13" t="e">
        <f t="shared" si="167"/>
        <v>#NUM!</v>
      </c>
      <c r="BG175" s="20" t="e">
        <f t="shared" si="168"/>
        <v>#NUM!</v>
      </c>
      <c r="BH175" s="59" t="e">
        <f t="shared" si="116"/>
        <v>#NUM!</v>
      </c>
      <c r="BI175" s="59">
        <f ca="1">AVERAGE(OFFSET($BH$3,0,0,'Données projet'!$E$11+1,1))-AVERAGE(OFFSET($H$3,0,0,'Données projet'!$E$11+1,1))</f>
        <v>210.04871822652808</v>
      </c>
      <c r="BJ175" s="59">
        <f t="shared" si="146"/>
        <v>250.17540614049324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0.43859112013662754</v>
      </c>
      <c r="BQ175" s="21">
        <f>EXP(-LN(2)/25)*BQ174+(1-EXP(-LN(2)/25))/(LN(2)/25)*Calculateur!BL175*Calculateur!BN175*VLOOKUP('Données projet'!$B$11,Paramètres!$A$1:$I$89,3,0)*0.475*44/12</f>
        <v>0.54284265570054346</v>
      </c>
      <c r="BR175" s="21">
        <f>EXP(-LN(2)/2)*BR174+(1-EXP(-LN(2)/2))/(LN(2)/2)*BL175*BO175*VLOOKUP('Données projet'!$B$11,Paramètres!$A$1:$I$89,3,0)*0.475*44/12</f>
        <v>9.1284269509951412E-21</v>
      </c>
      <c r="BS175" s="22">
        <f t="shared" si="169"/>
        <v>0.98143377583717095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2.2737367544323206E-13</v>
      </c>
      <c r="BZ175" s="13">
        <f>BY175*VLOOKUP('Données projet'!$B$12,Paramètres!$A$1:$I$89,3,0)*VLOOKUP('Données projet'!$B$12,Paramètres!$A$1:$I$89,5,0)</f>
        <v>1.2414602679200471E-13</v>
      </c>
      <c r="CA175" s="13">
        <f t="shared" si="170"/>
        <v>1.8186582995804361E-12</v>
      </c>
      <c r="CB175" s="20">
        <f t="shared" si="171"/>
        <v>3.3837175350986671E-12</v>
      </c>
      <c r="CC175" s="59">
        <f t="shared" si="119"/>
        <v>293.33333333333672</v>
      </c>
      <c r="CD175" s="59">
        <f ca="1">AVERAGE(OFFSET($CC$3,0,0,'Données projet'!$E$12+1,1))-AVERAGE(OFFSET($H$3,0,0,'Données projet'!$E$12+1,1))</f>
        <v>168.72306536277267</v>
      </c>
      <c r="CE175" s="59">
        <f t="shared" si="148"/>
        <v>203.35476578922339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0.18274630005692818</v>
      </c>
      <c r="CL175" s="21">
        <f>EXP(-LN(2)/25)*CL174+(1-EXP(-LN(2)/25))/(LN(2)/25)*Calculateur!CG175*Calculateur!CI175*VLOOKUP('Données projet'!$B$12,Paramètres!$A$1:$I$89,3,0)*0.475*44/12</f>
        <v>0.44832663380496779</v>
      </c>
      <c r="CM175" s="21">
        <f>EXP(-LN(2)/2)*CM174+(1-EXP(-LN(2)/2))/(LN(2)/2)*CG175*CJ175*VLOOKUP('Données projet'!$B$12,Paramètres!$A$1:$I$89,3,0)*0.475*44/12</f>
        <v>8.4804289098381687E-21</v>
      </c>
      <c r="CN175" s="22">
        <f t="shared" si="172"/>
        <v>0.631072933861896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1277.6923076923067</v>
      </c>
      <c r="CU175" s="17">
        <f>CT175*VLOOKUP('Données projet'!$B$13,Paramètres!$A$1:$I$89,3,0)*VLOOKUP('Données projet'!$B$13,Paramètres!$A$1:$I$89,5,0)</f>
        <v>614.5699999999996</v>
      </c>
      <c r="CV175" s="13">
        <f t="shared" si="173"/>
        <v>134.13240620831178</v>
      </c>
      <c r="CW175" s="20">
        <f t="shared" si="174"/>
        <v>1303.9900241461421</v>
      </c>
      <c r="CX175" s="59">
        <f t="shared" si="122"/>
        <v>1597.3233574794754</v>
      </c>
      <c r="CY175" s="59">
        <f ca="1">AVERAGE(OFFSET($CX$3,0,0,'Données projet'!$E$13+1,1))-AVERAGE(OFFSET($H$3,0,0,'Données projet'!$E$13+1,1))</f>
        <v>304.15237106473313</v>
      </c>
      <c r="CZ175" s="59">
        <f t="shared" si="150"/>
        <v>120.85458928724336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>
        <f>EXP(-LN(2)/35)*DF174+(1-EXP(-LN(2)/35))/(LN(2)/35)*DB175*DC175*VLOOKUP('Données projet'!$B$13,Paramètres!$A$1:$I$89,3,0)*0.475*44/12</f>
        <v>0</v>
      </c>
      <c r="DG175" s="21">
        <f>EXP(-LN(2)/25)*DG174+(1-EXP(-LN(2)/25))/(LN(2)/25)*Calculateur!DB175*Calculateur!DD175*VLOOKUP('Données projet'!$B$13,Paramètres!$A$1:$I$89,3,0)*0.475*44/12</f>
        <v>0</v>
      </c>
      <c r="DH175" s="21">
        <f>EXP(-LN(2)/2)*DH174+(1-EXP(-LN(2)/2))/(LN(2)/2)*DB175*DE175*VLOOKUP('Données projet'!$B$13,Paramètres!$A$1:$I$89,3,0)*0.475*44/12</f>
        <v>0</v>
      </c>
      <c r="DI175" s="22">
        <f t="shared" si="175"/>
        <v>0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425.38461538461536</v>
      </c>
      <c r="DP175" s="17">
        <f>DO175*VLOOKUP('Données projet'!$B$14,Paramètres!$A$1:$I$89,3,0)*VLOOKUP('Données projet'!$B$14,Paramètres!$A$1:$I$89,5,0)</f>
        <v>204.60999999999999</v>
      </c>
      <c r="DQ175" s="13">
        <f t="shared" si="176"/>
        <v>50.755958577224398</v>
      </c>
      <c r="DR175" s="20">
        <f t="shared" si="177"/>
        <v>444.76237785533249</v>
      </c>
      <c r="DS175" s="59">
        <f t="shared" si="125"/>
        <v>738.09571118866575</v>
      </c>
      <c r="DT175" s="59">
        <f ca="1">AVERAGE(OFFSET($DS$3,0,0,'Données projet'!$E$14+1,1))-AVERAGE(OFFSET($H$3,0,0,'Données projet'!$E$14+1,1))</f>
        <v>91.053246648097399</v>
      </c>
      <c r="DU175" s="59">
        <f t="shared" si="152"/>
        <v>64.716270355703955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>
        <f>EXP(-LN(2)/35)*EA174+(1-EXP(-LN(2)/35))/(LN(2)/35)*DW175*DX175*VLOOKUP('Données projet'!$B$14,Paramètres!$A$1:$I$89,3,0)*0.475*44/12</f>
        <v>0</v>
      </c>
      <c r="EB175" s="21">
        <f>EXP(-LN(2)/25)*EB174+(1-EXP(-LN(2)/25))/(LN(2)/25)*Calculateur!DW175*Calculateur!DY175*VLOOKUP('Données projet'!$B$14,Paramètres!$A$1:$I$89,3,0)*0.475*44/12</f>
        <v>0</v>
      </c>
      <c r="EC175" s="21">
        <f>EXP(-LN(2)/2)*EC174+(1-EXP(-LN(2)/2))/(LN(2)/2)*DW175*DZ175*VLOOKUP('Données projet'!$B$14,Paramètres!$A$1:$I$89,3,0)*0.475*44/12</f>
        <v>0</v>
      </c>
      <c r="ED175" s="22">
        <f t="shared" si="178"/>
        <v>0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553.99999999999955</v>
      </c>
      <c r="EK175" s="17">
        <f>EJ175*VLOOKUP('Données projet'!$B$15,Paramètres!$A$1:$I$89,3,0)*VLOOKUP('Données projet'!$B$15,Paramètres!$A$1:$I$89,5,0)</f>
        <v>331.29199999999975</v>
      </c>
      <c r="EL175" s="13">
        <f t="shared" si="179"/>
        <v>77.698110787752</v>
      </c>
      <c r="EM175" s="20">
        <f t="shared" si="180"/>
        <v>712.32444295533423</v>
      </c>
      <c r="EN175" s="59">
        <f t="shared" si="128"/>
        <v>1005.6577762886675</v>
      </c>
      <c r="EO175" s="59">
        <f ca="1">AVERAGE(OFFSET($EN$3,0,0,'Données projet'!$E$15+1,1))-AVERAGE(OFFSET($H$3,0,0,'Données projet'!$E$15+1,1))</f>
        <v>316.58509520829671</v>
      </c>
      <c r="EP175" s="59">
        <f t="shared" si="154"/>
        <v>240.71332110643596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>
        <f>EXP(-LN(2)/35)*EV174+(1-EXP(-LN(2)/35))/(LN(2)/35)*ER175*ES175*VLOOKUP('Données projet'!$B$15,Paramètres!$A$1:$I$89,3,0)*0.475*44/12</f>
        <v>0.15225750407804292</v>
      </c>
      <c r="EW175" s="21">
        <f>EXP(-LN(2)/25)*EW174+(1-EXP(-LN(2)/25))/(LN(2)/25)*Calculateur!ER175*Calculateur!ET175*VLOOKUP('Données projet'!$B$15,Paramètres!$A$1:$I$89,3,0)*0.475*44/12</f>
        <v>0.29780342724547848</v>
      </c>
      <c r="EX175" s="21">
        <f>EXP(-LN(2)/2)*EX174+(1-EXP(-LN(2)/2))/(LN(2)/2)*ER175*EU175*VLOOKUP('Données projet'!$B$15,Paramètres!$A$1:$I$89,3,0)*0.475*44/12</f>
        <v>9.2916732107623419E-21</v>
      </c>
      <c r="EY175" s="22">
        <f t="shared" si="181"/>
        <v>0.45006093132352143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497</v>
      </c>
      <c r="FF175" s="17">
        <f>FE175*VLOOKUP('Données projet'!$B$16,Paramètres!$A$1:$I$89,3,0)*VLOOKUP('Données projet'!$B$16,Paramètres!$A$1:$I$89,5,0)</f>
        <v>297.20600000000002</v>
      </c>
      <c r="FG175" s="13">
        <f t="shared" si="182"/>
        <v>70.590415164571112</v>
      </c>
      <c r="FH175" s="20">
        <f t="shared" si="183"/>
        <v>640.57875641162809</v>
      </c>
      <c r="FI175" s="59">
        <f t="shared" si="131"/>
        <v>933.91208974496135</v>
      </c>
      <c r="FJ175" s="59">
        <f ca="1">AVERAGE(OFFSET($FI$3,0,0,'Données projet'!$E$16+1,1))-AVERAGE(OFFSET($H$3,0,0,'Données projet'!$E$16+1,1))</f>
        <v>270.30888762640245</v>
      </c>
      <c r="FK175" s="59">
        <f t="shared" si="156"/>
        <v>202.23783851977691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>
        <f>EXP(-LN(2)/35)*FQ174+(1-EXP(-LN(2)/35))/(LN(2)/35)*FM175*FN175*VLOOKUP('Données projet'!$B$16,Paramètres!$A$1:$I$89,3,0)*0.475*44/12</f>
        <v>0.12866831330538825</v>
      </c>
      <c r="FR175" s="21">
        <f>EXP(-LN(2)/25)*FR174+(1-EXP(-LN(2)/25))/(LN(2)/25)*Calculateur!FM175*Calculateur!FO175*VLOOKUP('Données projet'!$B$16,Paramètres!$A$1:$I$89,3,0)*0.475*44/12</f>
        <v>0.23982006197676373</v>
      </c>
      <c r="FS175" s="21">
        <f>EXP(-LN(2)/2)*FS174+(1-EXP(-LN(2)/2))/(LN(2)/2)*FM175*FP175*VLOOKUP('Données projet'!$B$16,Paramètres!$A$1:$I$89,3,0)*0.475*44/12</f>
        <v>7.8319243767057917E-21</v>
      </c>
      <c r="FT175" s="22">
        <f t="shared" si="184"/>
        <v>0.36848837528215195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-5.1159076974727213E-13</v>
      </c>
      <c r="GA175" s="17">
        <f>FZ175*VLOOKUP('Données projet'!$B$17,Paramètres!$A$1:$I$89,3,0)*VLOOKUP('Données projet'!$B$17,Paramètres!$A$1:$I$89,5,0)</f>
        <v>-4.0702161641092972E-13</v>
      </c>
      <c r="GB175" s="13" t="e">
        <f t="shared" si="185"/>
        <v>#NUM!</v>
      </c>
      <c r="GC175" s="20" t="e">
        <f t="shared" si="186"/>
        <v>#NUM!</v>
      </c>
      <c r="GD175" s="59" t="e">
        <f t="shared" si="134"/>
        <v>#NUM!</v>
      </c>
      <c r="GE175" s="59">
        <f ca="1">AVERAGE(OFFSET($GD$3,0,0,'Données projet'!$E$17+1,1))-AVERAGE(OFFSET($H$3,0,0,'Données projet'!$E$17+1,1))</f>
        <v>260.20517190557814</v>
      </c>
      <c r="GF175" s="59">
        <f t="shared" si="158"/>
        <v>307.22009971147133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>
        <f>EXP(-LN(2)/35)*GL174+(1-EXP(-LN(2)/35))/(LN(2)/35)*GH175*GI175*VLOOKUP('Données projet'!$B$17,Paramètres!$A$1:$I$89,3,0)*0.475*44/12</f>
        <v>0.19601716232296729</v>
      </c>
      <c r="GM175" s="21">
        <f>EXP(-LN(2)/25)*GM174+(1-EXP(-LN(2)/25))/(LN(2)/25)*Calculateur!GH175*Calculateur!GJ175*VLOOKUP('Données projet'!$B$17,Paramètres!$A$1:$I$89,3,0)*0.475*44/12</f>
        <v>0.4002382333232633</v>
      </c>
      <c r="GN175" s="21">
        <f>EXP(-LN(2)/2)*GN174+(1-EXP(-LN(2)/2))/(LN(2)/2)*GH175*GK175*VLOOKUP('Données projet'!$B$17,Paramètres!$A$1:$I$89,3,0)*0.475*44/12</f>
        <v>1.0180927016130041E-20</v>
      </c>
      <c r="GO175" s="21">
        <f t="shared" si="187"/>
        <v>0.59625539564623065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5.6843418860808015E-14</v>
      </c>
      <c r="GV175" s="17">
        <f>GU175*VLOOKUP('Données projet'!$B$18,Paramètres!$A$1:$I$89,3,0)*VLOOKUP('Données projet'!$B$18,Paramètres!$A$1:$I$89,5,0)</f>
        <v>4.5224624045658861E-14</v>
      </c>
      <c r="GW175" s="13">
        <f t="shared" si="188"/>
        <v>7.4514601661523691E-13</v>
      </c>
      <c r="GX175" s="20">
        <f t="shared" si="189"/>
        <v>1.3765621991510601E-12</v>
      </c>
      <c r="GY175" s="59">
        <f t="shared" si="137"/>
        <v>293.33333333333468</v>
      </c>
      <c r="GZ175" s="59">
        <f ca="1">AVERAGE(OFFSET($GY$3,0,0,'Données projet'!$E$18+1,1))-AVERAGE(OFFSET($H$3,0,0,'Données projet'!$E$18+1,1))</f>
        <v>199.58763537752952</v>
      </c>
      <c r="HA175" s="59">
        <f t="shared" si="160"/>
        <v>242.62852778451929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>
        <f>EXP(-LN(2)/35)*HG174+(1-EXP(-LN(2)/35))/(LN(2)/35)*HC175*HD175*VLOOKUP('Données projet'!$B$18,Paramètres!$A$1:$I$89,3,0)*0.475*44/12</f>
        <v>0</v>
      </c>
      <c r="HH175" s="21">
        <f>EXP(-LN(2)/25)*HH174+(1-EXP(-LN(2)/25))/(LN(2)/25)*Calculateur!HC175*Calculateur!HE175*VLOOKUP('Données projet'!$B$18,Paramètres!$A$1:$I$89,3,0)*0.475*44/12</f>
        <v>0.20057115094380037</v>
      </c>
      <c r="HI175" s="21">
        <f>EXP(-LN(2)/2)*HI174+(1-EXP(-LN(2)/2))/(LN(2)/2)*HC175*HF175*VLOOKUP('Données projet'!$B$18,Paramètres!$A$1:$I$89,3,0)*0.475*44/12</f>
        <v>4.5576972614292878E-21</v>
      </c>
      <c r="HJ175" s="22">
        <f t="shared" si="190"/>
        <v>0.20057115094380037</v>
      </c>
    </row>
    <row r="176" spans="1:218" x14ac:dyDescent="0.2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153.8315999999999</v>
      </c>
      <c r="D176" s="11">
        <f t="shared" si="140"/>
        <v>39.448048109333072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1491.9832485632724</v>
      </c>
      <c r="H176" s="67">
        <f t="shared" si="110"/>
        <v>629.96205379042158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-2.2737367544323206E-13</v>
      </c>
      <c r="O176" s="13">
        <f>N176*VLOOKUP('Données projet'!$B$9,Paramètres!$A$1:$I$89,3,0)*VLOOKUP('Données projet'!$B$9,Paramètres!$A$1:$I$89,5,0)</f>
        <v>-1.2710188457276673E-13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255.5374979188561</v>
      </c>
      <c r="T176" s="59">
        <f t="shared" si="142"/>
        <v>343.10418468620901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0.1819875450670759</v>
      </c>
      <c r="AA176" s="21">
        <f>EXP(-LN(2)/25)*AA175+(1-EXP(-LN(2)/25))/(LN(2)/25)*Calculateur!V176*Calculateur!X176*VLOOKUP('Données projet'!$B$9,Paramètres!$A$1:$I$89,3,0)*0.475*44/12</f>
        <v>0.30279476546235629</v>
      </c>
      <c r="AB176" s="21">
        <f>EXP(-LN(2)/2)*AB175+(1-EXP(-LN(2)/2))/(LN(2)/2)*V176*Y176*VLOOKUP('Données projet'!$B$9,Paramètres!$A$1:$I$89,3,0)*0.475*44/12</f>
        <v>5.0690083792233259E-22</v>
      </c>
      <c r="AC176" s="22">
        <f t="shared" si="163"/>
        <v>0.48478231052943221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1.1368683772161603E-13</v>
      </c>
      <c r="AJ176" s="13">
        <f>AI176*VLOOKUP('Données projet'!$B$10,Paramètres!$A$1:$I$89,3,0)*VLOOKUP('Données projet'!$B$10,Paramètres!$A$1:$I$89,5,0)</f>
        <v>6.3550942286383367E-14</v>
      </c>
      <c r="AK176" s="13">
        <f t="shared" si="164"/>
        <v>1.0064464192543978E-12</v>
      </c>
      <c r="AL176" s="20">
        <f t="shared" si="165"/>
        <v>1.8635787380168604E-12</v>
      </c>
      <c r="AM176" s="59">
        <f t="shared" si="113"/>
        <v>293.33333333333519</v>
      </c>
      <c r="AN176" s="59">
        <f ca="1">AVERAGE(OFFSET($AM$3,0,0,'Données projet'!$E$10+1,1))-AVERAGE(OFFSET($H$3,0,0,'Données projet'!$E$10+1,1))</f>
        <v>224.7049802939942</v>
      </c>
      <c r="AO176" s="59">
        <f t="shared" si="144"/>
        <v>203.48513862195352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0.13140390182489387</v>
      </c>
      <c r="AV176" s="21">
        <f>EXP(-LN(2)/25)*AV175+(1-EXP(-LN(2)/25))/(LN(2)/25)*Calculateur!AQ176*Calculateur!AS176*VLOOKUP('Données projet'!$B$10,Paramètres!$A$1:$I$89,3,0)*0.475*44/12</f>
        <v>0.37041533525070158</v>
      </c>
      <c r="AW176" s="21">
        <f>EXP(-LN(2)/2)*AW175+(1-EXP(-LN(2)/2))/(LN(2)/2)*AQ176*AT176*VLOOKUP('Données projet'!$B$10,Paramètres!$A$1:$I$89,3,0)*0.475*44/12</f>
        <v>2.6834469326885524E-21</v>
      </c>
      <c r="AX176" s="21">
        <f t="shared" si="166"/>
        <v>0.50181923707559539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>
        <f>BD176*VLOOKUP('Données projet'!$B$11,Paramètres!$A$1:$I$89,3,0)*VLOOKUP('Données projet'!$B$11,Paramètres!$A$1:$I$89,5,0)</f>
        <v>0</v>
      </c>
      <c r="BF176" s="13" t="e">
        <f t="shared" si="167"/>
        <v>#NUM!</v>
      </c>
      <c r="BG176" s="20" t="e">
        <f t="shared" si="168"/>
        <v>#NUM!</v>
      </c>
      <c r="BH176" s="59" t="e">
        <f t="shared" si="116"/>
        <v>#NUM!</v>
      </c>
      <c r="BI176" s="59">
        <f ca="1">AVERAGE(OFFSET($BH$3,0,0,'Données projet'!$E$11+1,1))-AVERAGE(OFFSET($H$3,0,0,'Données projet'!$E$11+1,1))</f>
        <v>210.04871822652808</v>
      </c>
      <c r="BJ176" s="59">
        <f t="shared" si="146"/>
        <v>250.17540614049324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0.42999061578491671</v>
      </c>
      <c r="BQ176" s="21">
        <f>EXP(-LN(2)/25)*BQ175+(1-EXP(-LN(2)/25))/(LN(2)/25)*Calculateur!BL176*Calculateur!BN176*VLOOKUP('Données projet'!$B$11,Paramètres!$A$1:$I$89,3,0)*0.475*44/12</f>
        <v>0.52799859473355748</v>
      </c>
      <c r="BR176" s="21">
        <f>EXP(-LN(2)/2)*BR175+(1-EXP(-LN(2)/2))/(LN(2)/2)*BL176*BO176*VLOOKUP('Données projet'!$B$11,Paramètres!$A$1:$I$89,3,0)*0.475*44/12</f>
        <v>6.4547725986147046E-21</v>
      </c>
      <c r="BS176" s="22">
        <f t="shared" si="169"/>
        <v>0.95798921051847419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2.2737367544323206E-13</v>
      </c>
      <c r="BZ176" s="13">
        <f>BY176*VLOOKUP('Données projet'!$B$12,Paramètres!$A$1:$I$89,3,0)*VLOOKUP('Données projet'!$B$12,Paramètres!$A$1:$I$89,5,0)</f>
        <v>1.2414602679200471E-13</v>
      </c>
      <c r="CA176" s="13">
        <f t="shared" si="170"/>
        <v>1.8186582995804361E-12</v>
      </c>
      <c r="CB176" s="20">
        <f t="shared" si="171"/>
        <v>3.3837175350986671E-12</v>
      </c>
      <c r="CC176" s="59">
        <f t="shared" si="119"/>
        <v>293.33333333333672</v>
      </c>
      <c r="CD176" s="59">
        <f ca="1">AVERAGE(OFFSET($CC$3,0,0,'Données projet'!$E$12+1,1))-AVERAGE(OFFSET($H$3,0,0,'Données projet'!$E$12+1,1))</f>
        <v>168.72306536277267</v>
      </c>
      <c r="CE176" s="59">
        <f t="shared" si="148"/>
        <v>203.35476578922339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0.17916275657704867</v>
      </c>
      <c r="CL176" s="21">
        <f>EXP(-LN(2)/25)*CL175+(1-EXP(-LN(2)/25))/(LN(2)/25)*Calculateur!CG176*Calculateur!CI176*VLOOKUP('Données projet'!$B$12,Paramètres!$A$1:$I$89,3,0)*0.475*44/12</f>
        <v>0.43606711842709794</v>
      </c>
      <c r="CM176" s="21">
        <f>EXP(-LN(2)/2)*CM175+(1-EXP(-LN(2)/2))/(LN(2)/2)*CG176*CJ176*VLOOKUP('Données projet'!$B$12,Paramètres!$A$1:$I$89,3,0)*0.475*44/12</f>
        <v>5.9965687895170098E-21</v>
      </c>
      <c r="CN176" s="22">
        <f t="shared" si="172"/>
        <v>0.61522987500414661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1277.6923076923067</v>
      </c>
      <c r="CU176" s="17">
        <f>CT176*VLOOKUP('Données projet'!$B$13,Paramètres!$A$1:$I$89,3,0)*VLOOKUP('Données projet'!$B$13,Paramètres!$A$1:$I$89,5,0)</f>
        <v>614.5699999999996</v>
      </c>
      <c r="CV176" s="13">
        <f t="shared" si="173"/>
        <v>134.13240620831178</v>
      </c>
      <c r="CW176" s="20">
        <f t="shared" si="174"/>
        <v>1303.9900241461421</v>
      </c>
      <c r="CX176" s="59">
        <f t="shared" si="122"/>
        <v>1597.3233574794754</v>
      </c>
      <c r="CY176" s="59">
        <f ca="1">AVERAGE(OFFSET($CX$3,0,0,'Données projet'!$E$13+1,1))-AVERAGE(OFFSET($H$3,0,0,'Données projet'!$E$13+1,1))</f>
        <v>304.15237106473313</v>
      </c>
      <c r="CZ176" s="59">
        <f t="shared" si="150"/>
        <v>120.85458928724336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>
        <f>EXP(-LN(2)/35)*DF175+(1-EXP(-LN(2)/35))/(LN(2)/35)*DB176*DC176*VLOOKUP('Données projet'!$B$13,Paramètres!$A$1:$I$89,3,0)*0.475*44/12</f>
        <v>0</v>
      </c>
      <c r="DG176" s="21">
        <f>EXP(-LN(2)/25)*DG175+(1-EXP(-LN(2)/25))/(LN(2)/25)*Calculateur!DB176*Calculateur!DD176*VLOOKUP('Données projet'!$B$13,Paramètres!$A$1:$I$89,3,0)*0.475*44/12</f>
        <v>0</v>
      </c>
      <c r="DH176" s="21">
        <f>EXP(-LN(2)/2)*DH175+(1-EXP(-LN(2)/2))/(LN(2)/2)*DB176*DE176*VLOOKUP('Données projet'!$B$13,Paramètres!$A$1:$I$89,3,0)*0.475*44/12</f>
        <v>0</v>
      </c>
      <c r="DI176" s="22">
        <f t="shared" si="175"/>
        <v>0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425.38461538461536</v>
      </c>
      <c r="DP176" s="17">
        <f>DO176*VLOOKUP('Données projet'!$B$14,Paramètres!$A$1:$I$89,3,0)*VLOOKUP('Données projet'!$B$14,Paramètres!$A$1:$I$89,5,0)</f>
        <v>204.60999999999999</v>
      </c>
      <c r="DQ176" s="13">
        <f t="shared" si="176"/>
        <v>50.755958577224398</v>
      </c>
      <c r="DR176" s="20">
        <f t="shared" si="177"/>
        <v>444.76237785533249</v>
      </c>
      <c r="DS176" s="59">
        <f t="shared" si="125"/>
        <v>738.09571118866575</v>
      </c>
      <c r="DT176" s="59">
        <f ca="1">AVERAGE(OFFSET($DS$3,0,0,'Données projet'!$E$14+1,1))-AVERAGE(OFFSET($H$3,0,0,'Données projet'!$E$14+1,1))</f>
        <v>91.053246648097399</v>
      </c>
      <c r="DU176" s="59">
        <f t="shared" si="152"/>
        <v>64.716270355703955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>
        <f>EXP(-LN(2)/35)*EA175+(1-EXP(-LN(2)/35))/(LN(2)/35)*DW176*DX176*VLOOKUP('Données projet'!$B$14,Paramètres!$A$1:$I$89,3,0)*0.475*44/12</f>
        <v>0</v>
      </c>
      <c r="EB176" s="21">
        <f>EXP(-LN(2)/25)*EB175+(1-EXP(-LN(2)/25))/(LN(2)/25)*Calculateur!DW176*Calculateur!DY176*VLOOKUP('Données projet'!$B$14,Paramètres!$A$1:$I$89,3,0)*0.475*44/12</f>
        <v>0</v>
      </c>
      <c r="EC176" s="21">
        <f>EXP(-LN(2)/2)*EC175+(1-EXP(-LN(2)/2))/(LN(2)/2)*DW176*DZ176*VLOOKUP('Données projet'!$B$14,Paramètres!$A$1:$I$89,3,0)*0.475*44/12</f>
        <v>0</v>
      </c>
      <c r="ED176" s="22">
        <f t="shared" si="178"/>
        <v>0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553.99999999999955</v>
      </c>
      <c r="EK176" s="17">
        <f>EJ176*VLOOKUP('Données projet'!$B$15,Paramètres!$A$1:$I$89,3,0)*VLOOKUP('Données projet'!$B$15,Paramètres!$A$1:$I$89,5,0)</f>
        <v>331.29199999999975</v>
      </c>
      <c r="EL176" s="13">
        <f t="shared" si="179"/>
        <v>77.698110787752</v>
      </c>
      <c r="EM176" s="20">
        <f t="shared" si="180"/>
        <v>712.32444295533423</v>
      </c>
      <c r="EN176" s="59">
        <f t="shared" si="128"/>
        <v>1005.6577762886675</v>
      </c>
      <c r="EO176" s="59">
        <f ca="1">AVERAGE(OFFSET($EN$3,0,0,'Données projet'!$E$15+1,1))-AVERAGE(OFFSET($H$3,0,0,'Données projet'!$E$15+1,1))</f>
        <v>316.58509520829671</v>
      </c>
      <c r="EP176" s="59">
        <f t="shared" si="154"/>
        <v>240.71332110643596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>
        <f>EXP(-LN(2)/35)*EV175+(1-EXP(-LN(2)/35))/(LN(2)/35)*ER176*ES176*VLOOKUP('Données projet'!$B$15,Paramètres!$A$1:$I$89,3,0)*0.475*44/12</f>
        <v>0.14927182729098004</v>
      </c>
      <c r="EW176" s="21">
        <f>EXP(-LN(2)/25)*EW175+(1-EXP(-LN(2)/25))/(LN(2)/25)*Calculateur!ER176*Calculateur!ET176*VLOOKUP('Données projet'!$B$15,Paramètres!$A$1:$I$89,3,0)*0.475*44/12</f>
        <v>0.28965997686664929</v>
      </c>
      <c r="EX176" s="21">
        <f>EXP(-LN(2)/2)*EX175+(1-EXP(-LN(2)/2))/(LN(2)/2)*ER176*EU176*VLOOKUP('Données projet'!$B$15,Paramètres!$A$1:$I$89,3,0)*0.475*44/12</f>
        <v>6.5702051358994329E-21</v>
      </c>
      <c r="EY176" s="22">
        <f t="shared" si="181"/>
        <v>0.43893180415762933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497</v>
      </c>
      <c r="FF176" s="17">
        <f>FE176*VLOOKUP('Données projet'!$B$16,Paramètres!$A$1:$I$89,3,0)*VLOOKUP('Données projet'!$B$16,Paramètres!$A$1:$I$89,5,0)</f>
        <v>297.20600000000002</v>
      </c>
      <c r="FG176" s="13">
        <f t="shared" si="182"/>
        <v>70.590415164571112</v>
      </c>
      <c r="FH176" s="20">
        <f t="shared" si="183"/>
        <v>640.57875641162809</v>
      </c>
      <c r="FI176" s="59">
        <f t="shared" si="131"/>
        <v>933.91208974496135</v>
      </c>
      <c r="FJ176" s="59">
        <f ca="1">AVERAGE(OFFSET($FI$3,0,0,'Données projet'!$E$16+1,1))-AVERAGE(OFFSET($H$3,0,0,'Données projet'!$E$16+1,1))</f>
        <v>270.30888762640245</v>
      </c>
      <c r="FK176" s="59">
        <f t="shared" si="156"/>
        <v>202.23783851977691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>
        <f>EXP(-LN(2)/35)*FQ175+(1-EXP(-LN(2)/35))/(LN(2)/35)*FM176*FN176*VLOOKUP('Données projet'!$B$16,Paramètres!$A$1:$I$89,3,0)*0.475*44/12</f>
        <v>0.12614520616139147</v>
      </c>
      <c r="FR176" s="21">
        <f>EXP(-LN(2)/25)*FR175+(1-EXP(-LN(2)/25))/(LN(2)/25)*Calculateur!FM176*Calculateur!FO176*VLOOKUP('Données projet'!$B$16,Paramètres!$A$1:$I$89,3,0)*0.475*44/12</f>
        <v>0.23326216977042019</v>
      </c>
      <c r="FS176" s="21">
        <f>EXP(-LN(2)/2)*FS175+(1-EXP(-LN(2)/2))/(LN(2)/2)*FM176*FP176*VLOOKUP('Données projet'!$B$16,Paramètres!$A$1:$I$89,3,0)*0.475*44/12</f>
        <v>5.5380068365088899E-21</v>
      </c>
      <c r="FT176" s="22">
        <f t="shared" si="184"/>
        <v>0.35940737593181166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-5.1159076974727213E-13</v>
      </c>
      <c r="GA176" s="17">
        <f>FZ176*VLOOKUP('Données projet'!$B$17,Paramètres!$A$1:$I$89,3,0)*VLOOKUP('Données projet'!$B$17,Paramètres!$A$1:$I$89,5,0)</f>
        <v>-4.0702161641092972E-13</v>
      </c>
      <c r="GB176" s="13" t="e">
        <f t="shared" si="185"/>
        <v>#NUM!</v>
      </c>
      <c r="GC176" s="20" t="e">
        <f t="shared" si="186"/>
        <v>#NUM!</v>
      </c>
      <c r="GD176" s="59" t="e">
        <f t="shared" si="134"/>
        <v>#NUM!</v>
      </c>
      <c r="GE176" s="59">
        <f ca="1">AVERAGE(OFFSET($GD$3,0,0,'Données projet'!$E$17+1,1))-AVERAGE(OFFSET($H$3,0,0,'Données projet'!$E$17+1,1))</f>
        <v>260.20517190557814</v>
      </c>
      <c r="GF176" s="59">
        <f t="shared" si="158"/>
        <v>307.22009971147133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>
        <f>EXP(-LN(2)/35)*GL175+(1-EXP(-LN(2)/35))/(LN(2)/35)*GH176*GI176*VLOOKUP('Données projet'!$B$17,Paramètres!$A$1:$I$89,3,0)*0.475*44/12</f>
        <v>0.19217338532847747</v>
      </c>
      <c r="GM176" s="21">
        <f>EXP(-LN(2)/25)*GM175+(1-EXP(-LN(2)/25))/(LN(2)/25)*Calculateur!GH176*Calculateur!GJ176*VLOOKUP('Données projet'!$B$17,Paramètres!$A$1:$I$89,3,0)*0.475*44/12</f>
        <v>0.38929369778542472</v>
      </c>
      <c r="GN176" s="21">
        <f>EXP(-LN(2)/2)*GN175+(1-EXP(-LN(2)/2))/(LN(2)/2)*GH176*GK176*VLOOKUP('Données projet'!$B$17,Paramètres!$A$1:$I$89,3,0)*0.475*44/12</f>
        <v>7.1990025318708749E-21</v>
      </c>
      <c r="GO176" s="21">
        <f t="shared" si="187"/>
        <v>0.58146708311390216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5.6843418860808015E-14</v>
      </c>
      <c r="GV176" s="17">
        <f>GU176*VLOOKUP('Données projet'!$B$18,Paramètres!$A$1:$I$89,3,0)*VLOOKUP('Données projet'!$B$18,Paramètres!$A$1:$I$89,5,0)</f>
        <v>4.5224624045658861E-14</v>
      </c>
      <c r="GW176" s="13">
        <f t="shared" si="188"/>
        <v>7.4514601661523691E-13</v>
      </c>
      <c r="GX176" s="20">
        <f t="shared" si="189"/>
        <v>1.3765621991510601E-12</v>
      </c>
      <c r="GY176" s="59">
        <f t="shared" si="137"/>
        <v>293.33333333333468</v>
      </c>
      <c r="GZ176" s="59">
        <f ca="1">AVERAGE(OFFSET($GY$3,0,0,'Données projet'!$E$18+1,1))-AVERAGE(OFFSET($H$3,0,0,'Données projet'!$E$18+1,1))</f>
        <v>199.58763537752952</v>
      </c>
      <c r="HA176" s="59">
        <f t="shared" si="160"/>
        <v>242.62852778451929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>
        <f>EXP(-LN(2)/35)*HG175+(1-EXP(-LN(2)/35))/(LN(2)/35)*HC176*HD176*VLOOKUP('Données projet'!$B$18,Paramètres!$A$1:$I$89,3,0)*0.475*44/12</f>
        <v>0</v>
      </c>
      <c r="HH176" s="21">
        <f>EXP(-LN(2)/25)*HH175+(1-EXP(-LN(2)/25))/(LN(2)/25)*Calculateur!HC176*Calculateur!HE176*VLOOKUP('Données projet'!$B$18,Paramètres!$A$1:$I$89,3,0)*0.475*44/12</f>
        <v>0.19508652227366374</v>
      </c>
      <c r="HI176" s="21">
        <f>EXP(-LN(2)/2)*HI175+(1-EXP(-LN(2)/2))/(LN(2)/2)*HC176*HF176*VLOOKUP('Données projet'!$B$18,Paramètres!$A$1:$I$89,3,0)*0.475*44/12</f>
        <v>3.2227786401520063E-21</v>
      </c>
      <c r="HJ176" s="22">
        <f t="shared" si="190"/>
        <v>0.19508652227366374</v>
      </c>
    </row>
    <row r="177" spans="1:218" x14ac:dyDescent="0.2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154.72079999999988</v>
      </c>
      <c r="D177" s="11">
        <f t="shared" si="140"/>
        <v>39.649461948838557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1500.4020220612092</v>
      </c>
      <c r="H177" s="67">
        <f t="shared" si="110"/>
        <v>631.86153956089356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-2.2737367544323206E-13</v>
      </c>
      <c r="O177" s="13">
        <f>N177*VLOOKUP('Données projet'!$B$9,Paramètres!$A$1:$I$89,3,0)*VLOOKUP('Données projet'!$B$9,Paramètres!$A$1:$I$89,5,0)</f>
        <v>-1.2710188457276673E-13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255.5374979188561</v>
      </c>
      <c r="T177" s="59">
        <f t="shared" si="142"/>
        <v>343.10418468620901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0.17841888030975256</v>
      </c>
      <c r="AA177" s="21">
        <f>EXP(-LN(2)/25)*AA176+(1-EXP(-LN(2)/25))/(LN(2)/25)*Calculateur!V177*Calculateur!X177*VLOOKUP('Données projet'!$B$9,Paramètres!$A$1:$I$89,3,0)*0.475*44/12</f>
        <v>0.29451482667750351</v>
      </c>
      <c r="AB177" s="21">
        <f>EXP(-LN(2)/2)*AB176+(1-EXP(-LN(2)/2))/(LN(2)/2)*V177*Y177*VLOOKUP('Données projet'!$B$9,Paramètres!$A$1:$I$89,3,0)*0.475*44/12</f>
        <v>3.5843301988402443E-22</v>
      </c>
      <c r="AC177" s="22">
        <f t="shared" si="163"/>
        <v>0.47293370698725606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1.1368683772161603E-13</v>
      </c>
      <c r="AJ177" s="13">
        <f>AI177*VLOOKUP('Données projet'!$B$10,Paramètres!$A$1:$I$89,3,0)*VLOOKUP('Données projet'!$B$10,Paramètres!$A$1:$I$89,5,0)</f>
        <v>6.3550942286383367E-14</v>
      </c>
      <c r="AK177" s="13">
        <f t="shared" si="164"/>
        <v>1.0064464192543978E-12</v>
      </c>
      <c r="AL177" s="20">
        <f t="shared" si="165"/>
        <v>1.8635787380168604E-12</v>
      </c>
      <c r="AM177" s="59">
        <f t="shared" si="113"/>
        <v>293.33333333333519</v>
      </c>
      <c r="AN177" s="59">
        <f ca="1">AVERAGE(OFFSET($AM$3,0,0,'Données projet'!$E$10+1,1))-AVERAGE(OFFSET($H$3,0,0,'Données projet'!$E$10+1,1))</f>
        <v>224.7049802939942</v>
      </c>
      <c r="AO177" s="59">
        <f t="shared" si="144"/>
        <v>203.48513862195352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0.12882715145857382</v>
      </c>
      <c r="AV177" s="21">
        <f>EXP(-LN(2)/25)*AV176+(1-EXP(-LN(2)/25))/(LN(2)/25)*Calculateur!AQ177*Calculateur!AS177*VLOOKUP('Données projet'!$B$10,Paramètres!$A$1:$I$89,3,0)*0.475*44/12</f>
        <v>0.36028630842897524</v>
      </c>
      <c r="AW177" s="21">
        <f>EXP(-LN(2)/2)*AW176+(1-EXP(-LN(2)/2))/(LN(2)/2)*AQ177*AT177*VLOOKUP('Données projet'!$B$10,Paramètres!$A$1:$I$89,3,0)*0.475*44/12</f>
        <v>1.8974835230583163E-21</v>
      </c>
      <c r="AX177" s="21">
        <f t="shared" si="166"/>
        <v>0.48911345988754906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>
        <f>BD177*VLOOKUP('Données projet'!$B$11,Paramètres!$A$1:$I$89,3,0)*VLOOKUP('Données projet'!$B$11,Paramètres!$A$1:$I$89,5,0)</f>
        <v>0</v>
      </c>
      <c r="BF177" s="13" t="e">
        <f t="shared" si="167"/>
        <v>#NUM!</v>
      </c>
      <c r="BG177" s="20" t="e">
        <f t="shared" si="168"/>
        <v>#NUM!</v>
      </c>
      <c r="BH177" s="59" t="e">
        <f t="shared" si="116"/>
        <v>#NUM!</v>
      </c>
      <c r="BI177" s="59">
        <f ca="1">AVERAGE(OFFSET($BH$3,0,0,'Données projet'!$E$11+1,1))-AVERAGE(OFFSET($H$3,0,0,'Données projet'!$E$11+1,1))</f>
        <v>210.04871822652808</v>
      </c>
      <c r="BJ177" s="59">
        <f t="shared" si="146"/>
        <v>250.17540614049324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0.42155876207775328</v>
      </c>
      <c r="BQ177" s="21">
        <f>EXP(-LN(2)/25)*BQ176+(1-EXP(-LN(2)/25))/(LN(2)/25)*Calculateur!BL177*Calculateur!BN177*VLOOKUP('Données projet'!$B$11,Paramètres!$A$1:$I$89,3,0)*0.475*44/12</f>
        <v>0.51356044539432899</v>
      </c>
      <c r="BR177" s="21">
        <f>EXP(-LN(2)/2)*BR176+(1-EXP(-LN(2)/2))/(LN(2)/2)*BL177*BO177*VLOOKUP('Données projet'!$B$11,Paramètres!$A$1:$I$89,3,0)*0.475*44/12</f>
        <v>4.5642134754975706E-21</v>
      </c>
      <c r="BS177" s="22">
        <f t="shared" si="169"/>
        <v>0.93511920747208221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2.2737367544323206E-13</v>
      </c>
      <c r="BZ177" s="13">
        <f>BY177*VLOOKUP('Données projet'!$B$12,Paramètres!$A$1:$I$89,3,0)*VLOOKUP('Données projet'!$B$12,Paramètres!$A$1:$I$89,5,0)</f>
        <v>1.2414602679200471E-13</v>
      </c>
      <c r="CA177" s="13">
        <f t="shared" si="170"/>
        <v>1.8186582995804361E-12</v>
      </c>
      <c r="CB177" s="20">
        <f t="shared" si="171"/>
        <v>3.3837175350986671E-12</v>
      </c>
      <c r="CC177" s="59">
        <f t="shared" si="119"/>
        <v>293.33333333333672</v>
      </c>
      <c r="CD177" s="59">
        <f ca="1">AVERAGE(OFFSET($CC$3,0,0,'Données projet'!$E$12+1,1))-AVERAGE(OFFSET($H$3,0,0,'Données projet'!$E$12+1,1))</f>
        <v>168.72306536277267</v>
      </c>
      <c r="CE177" s="59">
        <f t="shared" si="148"/>
        <v>203.35476578922339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0.1756494841990639</v>
      </c>
      <c r="CL177" s="21">
        <f>EXP(-LN(2)/25)*CL176+(1-EXP(-LN(2)/25))/(LN(2)/25)*Calculateur!CG177*Calculateur!CI177*VLOOKUP('Données projet'!$B$12,Paramètres!$A$1:$I$89,3,0)*0.475*44/12</f>
        <v>0.42414284014193582</v>
      </c>
      <c r="CM177" s="21">
        <f>EXP(-LN(2)/2)*CM176+(1-EXP(-LN(2)/2))/(LN(2)/2)*CG177*CJ177*VLOOKUP('Données projet'!$B$12,Paramètres!$A$1:$I$89,3,0)*0.475*44/12</f>
        <v>4.2402144549190843E-21</v>
      </c>
      <c r="CN177" s="22">
        <f t="shared" si="172"/>
        <v>0.59979232434099972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1277.6923076923067</v>
      </c>
      <c r="CU177" s="17">
        <f>CT177*VLOOKUP('Données projet'!$B$13,Paramètres!$A$1:$I$89,3,0)*VLOOKUP('Données projet'!$B$13,Paramètres!$A$1:$I$89,5,0)</f>
        <v>614.5699999999996</v>
      </c>
      <c r="CV177" s="13">
        <f t="shared" si="173"/>
        <v>134.13240620831178</v>
      </c>
      <c r="CW177" s="20">
        <f t="shared" si="174"/>
        <v>1303.9900241461421</v>
      </c>
      <c r="CX177" s="59">
        <f t="shared" si="122"/>
        <v>1597.3233574794754</v>
      </c>
      <c r="CY177" s="59">
        <f ca="1">AVERAGE(OFFSET($CX$3,0,0,'Données projet'!$E$13+1,1))-AVERAGE(OFFSET($H$3,0,0,'Données projet'!$E$13+1,1))</f>
        <v>304.15237106473313</v>
      </c>
      <c r="CZ177" s="59">
        <f t="shared" si="150"/>
        <v>120.85458928724336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>
        <f>EXP(-LN(2)/35)*DF176+(1-EXP(-LN(2)/35))/(LN(2)/35)*DB177*DC177*VLOOKUP('Données projet'!$B$13,Paramètres!$A$1:$I$89,3,0)*0.475*44/12</f>
        <v>0</v>
      </c>
      <c r="DG177" s="21">
        <f>EXP(-LN(2)/25)*DG176+(1-EXP(-LN(2)/25))/(LN(2)/25)*Calculateur!DB177*Calculateur!DD177*VLOOKUP('Données projet'!$B$13,Paramètres!$A$1:$I$89,3,0)*0.475*44/12</f>
        <v>0</v>
      </c>
      <c r="DH177" s="21">
        <f>EXP(-LN(2)/2)*DH176+(1-EXP(-LN(2)/2))/(LN(2)/2)*DB177*DE177*VLOOKUP('Données projet'!$B$13,Paramètres!$A$1:$I$89,3,0)*0.475*44/12</f>
        <v>0</v>
      </c>
      <c r="DI177" s="22">
        <f t="shared" si="175"/>
        <v>0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425.38461538461536</v>
      </c>
      <c r="DP177" s="17">
        <f>DO177*VLOOKUP('Données projet'!$B$14,Paramètres!$A$1:$I$89,3,0)*VLOOKUP('Données projet'!$B$14,Paramètres!$A$1:$I$89,5,0)</f>
        <v>204.60999999999999</v>
      </c>
      <c r="DQ177" s="13">
        <f t="shared" si="176"/>
        <v>50.755958577224398</v>
      </c>
      <c r="DR177" s="20">
        <f t="shared" si="177"/>
        <v>444.76237785533249</v>
      </c>
      <c r="DS177" s="59">
        <f t="shared" si="125"/>
        <v>738.09571118866575</v>
      </c>
      <c r="DT177" s="59">
        <f ca="1">AVERAGE(OFFSET($DS$3,0,0,'Données projet'!$E$14+1,1))-AVERAGE(OFFSET($H$3,0,0,'Données projet'!$E$14+1,1))</f>
        <v>91.053246648097399</v>
      </c>
      <c r="DU177" s="59">
        <f t="shared" si="152"/>
        <v>64.716270355703955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>
        <f>EXP(-LN(2)/35)*EA176+(1-EXP(-LN(2)/35))/(LN(2)/35)*DW177*DX177*VLOOKUP('Données projet'!$B$14,Paramètres!$A$1:$I$89,3,0)*0.475*44/12</f>
        <v>0</v>
      </c>
      <c r="EB177" s="21">
        <f>EXP(-LN(2)/25)*EB176+(1-EXP(-LN(2)/25))/(LN(2)/25)*Calculateur!DW177*Calculateur!DY177*VLOOKUP('Données projet'!$B$14,Paramètres!$A$1:$I$89,3,0)*0.475*44/12</f>
        <v>0</v>
      </c>
      <c r="EC177" s="21">
        <f>EXP(-LN(2)/2)*EC176+(1-EXP(-LN(2)/2))/(LN(2)/2)*DW177*DZ177*VLOOKUP('Données projet'!$B$14,Paramètres!$A$1:$I$89,3,0)*0.475*44/12</f>
        <v>0</v>
      </c>
      <c r="ED177" s="22">
        <f t="shared" si="178"/>
        <v>0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553.99999999999955</v>
      </c>
      <c r="EK177" s="17">
        <f>EJ177*VLOOKUP('Données projet'!$B$15,Paramètres!$A$1:$I$89,3,0)*VLOOKUP('Données projet'!$B$15,Paramètres!$A$1:$I$89,5,0)</f>
        <v>331.29199999999975</v>
      </c>
      <c r="EL177" s="13">
        <f t="shared" si="179"/>
        <v>77.698110787752</v>
      </c>
      <c r="EM177" s="20">
        <f t="shared" si="180"/>
        <v>712.32444295533423</v>
      </c>
      <c r="EN177" s="59">
        <f t="shared" si="128"/>
        <v>1005.6577762886675</v>
      </c>
      <c r="EO177" s="59">
        <f ca="1">AVERAGE(OFFSET($EN$3,0,0,'Données projet'!$E$15+1,1))-AVERAGE(OFFSET($H$3,0,0,'Données projet'!$E$15+1,1))</f>
        <v>316.58509520829671</v>
      </c>
      <c r="EP177" s="59">
        <f t="shared" si="154"/>
        <v>240.71332110643596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>
        <f>EXP(-LN(2)/35)*EV176+(1-EXP(-LN(2)/35))/(LN(2)/35)*ER177*ES177*VLOOKUP('Données projet'!$B$15,Paramètres!$A$1:$I$89,3,0)*0.475*44/12</f>
        <v>0.14634469780462844</v>
      </c>
      <c r="EW177" s="21">
        <f>EXP(-LN(2)/25)*EW176+(1-EXP(-LN(2)/25))/(LN(2)/25)*Calculateur!ER177*Calculateur!ET177*VLOOKUP('Données projet'!$B$15,Paramètres!$A$1:$I$89,3,0)*0.475*44/12</f>
        <v>0.28173920956667459</v>
      </c>
      <c r="EX177" s="21">
        <f>EXP(-LN(2)/2)*EX176+(1-EXP(-LN(2)/2))/(LN(2)/2)*ER177*EU177*VLOOKUP('Données projet'!$B$15,Paramètres!$A$1:$I$89,3,0)*0.475*44/12</f>
        <v>4.645836605381171E-21</v>
      </c>
      <c r="EY177" s="22">
        <f t="shared" si="181"/>
        <v>0.42808390737130303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497</v>
      </c>
      <c r="FF177" s="17">
        <f>FE177*VLOOKUP('Données projet'!$B$16,Paramètres!$A$1:$I$89,3,0)*VLOOKUP('Données projet'!$B$16,Paramètres!$A$1:$I$89,5,0)</f>
        <v>297.20600000000002</v>
      </c>
      <c r="FG177" s="13">
        <f t="shared" si="182"/>
        <v>70.590415164571112</v>
      </c>
      <c r="FH177" s="20">
        <f t="shared" si="183"/>
        <v>640.57875641162809</v>
      </c>
      <c r="FI177" s="59">
        <f t="shared" si="131"/>
        <v>933.91208974496135</v>
      </c>
      <c r="FJ177" s="59">
        <f ca="1">AVERAGE(OFFSET($FI$3,0,0,'Données projet'!$E$16+1,1))-AVERAGE(OFFSET($H$3,0,0,'Données projet'!$E$16+1,1))</f>
        <v>270.30888762640245</v>
      </c>
      <c r="FK177" s="59">
        <f t="shared" si="156"/>
        <v>202.23783851977691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>
        <f>EXP(-LN(2)/35)*FQ176+(1-EXP(-LN(2)/35))/(LN(2)/35)*FM177*FN177*VLOOKUP('Données projet'!$B$16,Paramètres!$A$1:$I$89,3,0)*0.475*44/12</f>
        <v>0.12367157560954505</v>
      </c>
      <c r="FR177" s="21">
        <f>EXP(-LN(2)/25)*FR176+(1-EXP(-LN(2)/25))/(LN(2)/25)*Calculateur!FM177*Calculateur!FO177*VLOOKUP('Données projet'!$B$16,Paramètres!$A$1:$I$89,3,0)*0.475*44/12</f>
        <v>0.22688360347132366</v>
      </c>
      <c r="FS177" s="21">
        <f>EXP(-LN(2)/2)*FS176+(1-EXP(-LN(2)/2))/(LN(2)/2)*FM177*FP177*VLOOKUP('Données projet'!$B$16,Paramètres!$A$1:$I$89,3,0)*0.475*44/12</f>
        <v>3.9159621883528959E-21</v>
      </c>
      <c r="FT177" s="22">
        <f t="shared" si="184"/>
        <v>0.3505551790808687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-5.1159076974727213E-13</v>
      </c>
      <c r="GA177" s="17">
        <f>FZ177*VLOOKUP('Données projet'!$B$17,Paramètres!$A$1:$I$89,3,0)*VLOOKUP('Données projet'!$B$17,Paramètres!$A$1:$I$89,5,0)</f>
        <v>-4.0702161641092972E-13</v>
      </c>
      <c r="GB177" s="13" t="e">
        <f t="shared" si="185"/>
        <v>#NUM!</v>
      </c>
      <c r="GC177" s="20" t="e">
        <f t="shared" si="186"/>
        <v>#NUM!</v>
      </c>
      <c r="GD177" s="59" t="e">
        <f t="shared" si="134"/>
        <v>#NUM!</v>
      </c>
      <c r="GE177" s="59">
        <f ca="1">AVERAGE(OFFSET($GD$3,0,0,'Données projet'!$E$17+1,1))-AVERAGE(OFFSET($H$3,0,0,'Données projet'!$E$17+1,1))</f>
        <v>260.20517190557814</v>
      </c>
      <c r="GF177" s="59">
        <f t="shared" si="158"/>
        <v>307.22009971147133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>
        <f>EXP(-LN(2)/35)*GL176+(1-EXP(-LN(2)/35))/(LN(2)/35)*GH177*GI177*VLOOKUP('Données projet'!$B$17,Paramètres!$A$1:$I$89,3,0)*0.475*44/12</f>
        <v>0.18840498245637713</v>
      </c>
      <c r="GM177" s="21">
        <f>EXP(-LN(2)/25)*GM176+(1-EXP(-LN(2)/25))/(LN(2)/25)*Calculateur!GH177*Calculateur!GJ177*VLOOKUP('Données projet'!$B$17,Paramètres!$A$1:$I$89,3,0)*0.475*44/12</f>
        <v>0.37864844114741647</v>
      </c>
      <c r="GN177" s="21">
        <f>EXP(-LN(2)/2)*GN176+(1-EXP(-LN(2)/2))/(LN(2)/2)*GH177*GK177*VLOOKUP('Données projet'!$B$17,Paramètres!$A$1:$I$89,3,0)*0.475*44/12</f>
        <v>5.0904635080650204E-21</v>
      </c>
      <c r="GO177" s="21">
        <f t="shared" si="187"/>
        <v>0.56705342360379363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5.6843418860808015E-14</v>
      </c>
      <c r="GV177" s="17">
        <f>GU177*VLOOKUP('Données projet'!$B$18,Paramètres!$A$1:$I$89,3,0)*VLOOKUP('Données projet'!$B$18,Paramètres!$A$1:$I$89,5,0)</f>
        <v>4.5224624045658861E-14</v>
      </c>
      <c r="GW177" s="13">
        <f t="shared" si="188"/>
        <v>7.4514601661523691E-13</v>
      </c>
      <c r="GX177" s="20">
        <f t="shared" si="189"/>
        <v>1.3765621991510601E-12</v>
      </c>
      <c r="GY177" s="59">
        <f t="shared" si="137"/>
        <v>293.33333333333468</v>
      </c>
      <c r="GZ177" s="59">
        <f ca="1">AVERAGE(OFFSET($GY$3,0,0,'Données projet'!$E$18+1,1))-AVERAGE(OFFSET($H$3,0,0,'Données projet'!$E$18+1,1))</f>
        <v>199.58763537752952</v>
      </c>
      <c r="HA177" s="59">
        <f t="shared" si="160"/>
        <v>242.62852778451929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>
        <f>EXP(-LN(2)/35)*HG176+(1-EXP(-LN(2)/35))/(LN(2)/35)*HC177*HD177*VLOOKUP('Données projet'!$B$18,Paramètres!$A$1:$I$89,3,0)*0.475*44/12</f>
        <v>0</v>
      </c>
      <c r="HH177" s="21">
        <f>EXP(-LN(2)/25)*HH176+(1-EXP(-LN(2)/25))/(LN(2)/25)*Calculateur!HC177*Calculateur!HE177*VLOOKUP('Données projet'!$B$18,Paramètres!$A$1:$I$89,3,0)*0.475*44/12</f>
        <v>0.18975187106293609</v>
      </c>
      <c r="HI177" s="21">
        <f>EXP(-LN(2)/2)*HI176+(1-EXP(-LN(2)/2))/(LN(2)/2)*HC177*HF177*VLOOKUP('Données projet'!$B$18,Paramètres!$A$1:$I$89,3,0)*0.475*44/12</f>
        <v>2.2788486307146439E-21</v>
      </c>
      <c r="HJ177" s="22">
        <f t="shared" si="190"/>
        <v>0.18975187106293609</v>
      </c>
    </row>
    <row r="178" spans="1:218" x14ac:dyDescent="0.2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155.60999999999987</v>
      </c>
      <c r="D178" s="11">
        <f t="shared" si="140"/>
        <v>39.850741093704151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1508.8197558110487</v>
      </c>
      <c r="H178" s="67">
        <f t="shared" si="110"/>
        <v>633.76079073820119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-2.2737367544323206E-13</v>
      </c>
      <c r="O178" s="13">
        <f>N178*VLOOKUP('Données projet'!$B$9,Paramètres!$A$1:$I$89,3,0)*VLOOKUP('Données projet'!$B$9,Paramètres!$A$1:$I$89,5,0)</f>
        <v>-1.2710188457276673E-13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255.5374979188561</v>
      </c>
      <c r="T178" s="59">
        <f t="shared" si="142"/>
        <v>343.10418468620901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0.17492019489164976</v>
      </c>
      <c r="AA178" s="21">
        <f>EXP(-LN(2)/25)*AA177+(1-EXP(-LN(2)/25))/(LN(2)/25)*Calculateur!V178*Calculateur!X178*VLOOKUP('Données projet'!$B$9,Paramètres!$A$1:$I$89,3,0)*0.475*44/12</f>
        <v>0.28646130325414554</v>
      </c>
      <c r="AB178" s="21">
        <f>EXP(-LN(2)/2)*AB177+(1-EXP(-LN(2)/2))/(LN(2)/2)*V178*Y178*VLOOKUP('Données projet'!$B$9,Paramètres!$A$1:$I$89,3,0)*0.475*44/12</f>
        <v>2.5345041896116629E-22</v>
      </c>
      <c r="AC178" s="22">
        <f t="shared" si="163"/>
        <v>0.46138149814579532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1.1368683772161603E-13</v>
      </c>
      <c r="AJ178" s="13">
        <f>AI178*VLOOKUP('Données projet'!$B$10,Paramètres!$A$1:$I$89,3,0)*VLOOKUP('Données projet'!$B$10,Paramètres!$A$1:$I$89,5,0)</f>
        <v>6.3550942286383367E-14</v>
      </c>
      <c r="AK178" s="13">
        <f t="shared" si="164"/>
        <v>1.0064464192543978E-12</v>
      </c>
      <c r="AL178" s="20">
        <f t="shared" si="165"/>
        <v>1.8635787380168604E-12</v>
      </c>
      <c r="AM178" s="59">
        <f t="shared" si="113"/>
        <v>293.33333333333519</v>
      </c>
      <c r="AN178" s="59">
        <f ca="1">AVERAGE(OFFSET($AM$3,0,0,'Données projet'!$E$10+1,1))-AVERAGE(OFFSET($H$3,0,0,'Données projet'!$E$10+1,1))</f>
        <v>224.7049802939942</v>
      </c>
      <c r="AO178" s="59">
        <f t="shared" si="144"/>
        <v>203.48513862195352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0.12630092959527475</v>
      </c>
      <c r="AV178" s="21">
        <f>EXP(-LN(2)/25)*AV177+(1-EXP(-LN(2)/25))/(LN(2)/25)*Calculateur!AQ178*Calculateur!AS178*VLOOKUP('Données projet'!$B$10,Paramètres!$A$1:$I$89,3,0)*0.475*44/12</f>
        <v>0.3504342603783514</v>
      </c>
      <c r="AW178" s="21">
        <f>EXP(-LN(2)/2)*AW177+(1-EXP(-LN(2)/2))/(LN(2)/2)*AQ178*AT178*VLOOKUP('Données projet'!$B$10,Paramètres!$A$1:$I$89,3,0)*0.475*44/12</f>
        <v>1.3417234663442762E-21</v>
      </c>
      <c r="AX178" s="21">
        <f t="shared" si="166"/>
        <v>0.47673518997362618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>
        <f>BD178*VLOOKUP('Données projet'!$B$11,Paramètres!$A$1:$I$89,3,0)*VLOOKUP('Données projet'!$B$11,Paramètres!$A$1:$I$89,5,0)</f>
        <v>0</v>
      </c>
      <c r="BF178" s="13" t="e">
        <f t="shared" si="167"/>
        <v>#NUM!</v>
      </c>
      <c r="BG178" s="20" t="e">
        <f t="shared" si="168"/>
        <v>#NUM!</v>
      </c>
      <c r="BH178" s="59" t="e">
        <f t="shared" si="116"/>
        <v>#NUM!</v>
      </c>
      <c r="BI178" s="59">
        <f ca="1">AVERAGE(OFFSET($BH$3,0,0,'Données projet'!$E$11+1,1))-AVERAGE(OFFSET($H$3,0,0,'Données projet'!$E$11+1,1))</f>
        <v>210.04871822652808</v>
      </c>
      <c r="BJ178" s="59">
        <f t="shared" si="146"/>
        <v>250.17540614049324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0.41329225187886437</v>
      </c>
      <c r="BQ178" s="21">
        <f>EXP(-LN(2)/25)*BQ177+(1-EXP(-LN(2)/25))/(LN(2)/25)*Calculateur!BL178*Calculateur!BN178*VLOOKUP('Données projet'!$B$11,Paramètres!$A$1:$I$89,3,0)*0.475*44/12</f>
        <v>0.49951710800805099</v>
      </c>
      <c r="BR178" s="21">
        <f>EXP(-LN(2)/2)*BR177+(1-EXP(-LN(2)/2))/(LN(2)/2)*BL178*BO178*VLOOKUP('Données projet'!$B$11,Paramètres!$A$1:$I$89,3,0)*0.475*44/12</f>
        <v>3.2273862993073523E-21</v>
      </c>
      <c r="BS178" s="22">
        <f t="shared" si="169"/>
        <v>0.91280935988691536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2.2737367544323206E-13</v>
      </c>
      <c r="BZ178" s="13">
        <f>BY178*VLOOKUP('Données projet'!$B$12,Paramètres!$A$1:$I$89,3,0)*VLOOKUP('Données projet'!$B$12,Paramètres!$A$1:$I$89,5,0)</f>
        <v>1.2414602679200471E-13</v>
      </c>
      <c r="CA178" s="13">
        <f t="shared" si="170"/>
        <v>1.8186582995804361E-12</v>
      </c>
      <c r="CB178" s="20">
        <f t="shared" si="171"/>
        <v>3.3837175350986671E-12</v>
      </c>
      <c r="CC178" s="59">
        <f t="shared" si="119"/>
        <v>293.33333333333672</v>
      </c>
      <c r="CD178" s="59">
        <f ca="1">AVERAGE(OFFSET($CC$3,0,0,'Données projet'!$E$12+1,1))-AVERAGE(OFFSET($H$3,0,0,'Données projet'!$E$12+1,1))</f>
        <v>168.72306536277267</v>
      </c>
      <c r="CE178" s="59">
        <f t="shared" si="148"/>
        <v>203.35476578922339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0.17220510494952684</v>
      </c>
      <c r="CL178" s="21">
        <f>EXP(-LN(2)/25)*CL177+(1-EXP(-LN(2)/25))/(LN(2)/25)*Calculateur!CG178*Calculateur!CI178*VLOOKUP('Données projet'!$B$12,Paramètres!$A$1:$I$89,3,0)*0.475*44/12</f>
        <v>0.412544631873552</v>
      </c>
      <c r="CM178" s="21">
        <f>EXP(-LN(2)/2)*CM177+(1-EXP(-LN(2)/2))/(LN(2)/2)*CG178*CJ178*VLOOKUP('Données projet'!$B$12,Paramètres!$A$1:$I$89,3,0)*0.475*44/12</f>
        <v>2.9982843947585049E-21</v>
      </c>
      <c r="CN178" s="22">
        <f t="shared" si="172"/>
        <v>0.58474973682307885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1277.6923076923067</v>
      </c>
      <c r="CU178" s="17">
        <f>CT178*VLOOKUP('Données projet'!$B$13,Paramètres!$A$1:$I$89,3,0)*VLOOKUP('Données projet'!$B$13,Paramètres!$A$1:$I$89,5,0)</f>
        <v>614.5699999999996</v>
      </c>
      <c r="CV178" s="13">
        <f t="shared" si="173"/>
        <v>134.13240620831178</v>
      </c>
      <c r="CW178" s="20">
        <f t="shared" si="174"/>
        <v>1303.9900241461421</v>
      </c>
      <c r="CX178" s="59">
        <f t="shared" si="122"/>
        <v>1597.3233574794754</v>
      </c>
      <c r="CY178" s="59">
        <f ca="1">AVERAGE(OFFSET($CX$3,0,0,'Données projet'!$E$13+1,1))-AVERAGE(OFFSET($H$3,0,0,'Données projet'!$E$13+1,1))</f>
        <v>304.15237106473313</v>
      </c>
      <c r="CZ178" s="59">
        <f t="shared" si="150"/>
        <v>120.85458928724336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>
        <f>EXP(-LN(2)/35)*DF177+(1-EXP(-LN(2)/35))/(LN(2)/35)*DB178*DC178*VLOOKUP('Données projet'!$B$13,Paramètres!$A$1:$I$89,3,0)*0.475*44/12</f>
        <v>0</v>
      </c>
      <c r="DG178" s="21">
        <f>EXP(-LN(2)/25)*DG177+(1-EXP(-LN(2)/25))/(LN(2)/25)*Calculateur!DB178*Calculateur!DD178*VLOOKUP('Données projet'!$B$13,Paramètres!$A$1:$I$89,3,0)*0.475*44/12</f>
        <v>0</v>
      </c>
      <c r="DH178" s="21">
        <f>EXP(-LN(2)/2)*DH177+(1-EXP(-LN(2)/2))/(LN(2)/2)*DB178*DE178*VLOOKUP('Données projet'!$B$13,Paramètres!$A$1:$I$89,3,0)*0.475*44/12</f>
        <v>0</v>
      </c>
      <c r="DI178" s="22">
        <f t="shared" si="175"/>
        <v>0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425.38461538461536</v>
      </c>
      <c r="DP178" s="17">
        <f>DO178*VLOOKUP('Données projet'!$B$14,Paramètres!$A$1:$I$89,3,0)*VLOOKUP('Données projet'!$B$14,Paramètres!$A$1:$I$89,5,0)</f>
        <v>204.60999999999999</v>
      </c>
      <c r="DQ178" s="13">
        <f t="shared" si="176"/>
        <v>50.755958577224398</v>
      </c>
      <c r="DR178" s="20">
        <f t="shared" si="177"/>
        <v>444.76237785533249</v>
      </c>
      <c r="DS178" s="59">
        <f t="shared" si="125"/>
        <v>738.09571118866575</v>
      </c>
      <c r="DT178" s="59">
        <f ca="1">AVERAGE(OFFSET($DS$3,0,0,'Données projet'!$E$14+1,1))-AVERAGE(OFFSET($H$3,0,0,'Données projet'!$E$14+1,1))</f>
        <v>91.053246648097399</v>
      </c>
      <c r="DU178" s="59">
        <f t="shared" si="152"/>
        <v>64.716270355703955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>
        <f>EXP(-LN(2)/35)*EA177+(1-EXP(-LN(2)/35))/(LN(2)/35)*DW178*DX178*VLOOKUP('Données projet'!$B$14,Paramètres!$A$1:$I$89,3,0)*0.475*44/12</f>
        <v>0</v>
      </c>
      <c r="EB178" s="21">
        <f>EXP(-LN(2)/25)*EB177+(1-EXP(-LN(2)/25))/(LN(2)/25)*Calculateur!DW178*Calculateur!DY178*VLOOKUP('Données projet'!$B$14,Paramètres!$A$1:$I$89,3,0)*0.475*44/12</f>
        <v>0</v>
      </c>
      <c r="EC178" s="21">
        <f>EXP(-LN(2)/2)*EC177+(1-EXP(-LN(2)/2))/(LN(2)/2)*DW178*DZ178*VLOOKUP('Données projet'!$B$14,Paramètres!$A$1:$I$89,3,0)*0.475*44/12</f>
        <v>0</v>
      </c>
      <c r="ED178" s="22">
        <f t="shared" si="178"/>
        <v>0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553.99999999999955</v>
      </c>
      <c r="EK178" s="17">
        <f>EJ178*VLOOKUP('Données projet'!$B$15,Paramètres!$A$1:$I$89,3,0)*VLOOKUP('Données projet'!$B$15,Paramètres!$A$1:$I$89,5,0)</f>
        <v>331.29199999999975</v>
      </c>
      <c r="EL178" s="13">
        <f t="shared" si="179"/>
        <v>77.698110787752</v>
      </c>
      <c r="EM178" s="20">
        <f t="shared" si="180"/>
        <v>712.32444295533423</v>
      </c>
      <c r="EN178" s="59">
        <f t="shared" si="128"/>
        <v>1005.6577762886675</v>
      </c>
      <c r="EO178" s="59">
        <f ca="1">AVERAGE(OFFSET($EN$3,0,0,'Données projet'!$E$15+1,1))-AVERAGE(OFFSET($H$3,0,0,'Données projet'!$E$15+1,1))</f>
        <v>316.58509520829671</v>
      </c>
      <c r="EP178" s="59">
        <f t="shared" si="154"/>
        <v>240.71332110643596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>
        <f>EXP(-LN(2)/35)*EV177+(1-EXP(-LN(2)/35))/(LN(2)/35)*ER178*ES178*VLOOKUP('Données projet'!$B$15,Paramètres!$A$1:$I$89,3,0)*0.475*44/12</f>
        <v>0.14347496754213152</v>
      </c>
      <c r="EW178" s="21">
        <f>EXP(-LN(2)/25)*EW177+(1-EXP(-LN(2)/25))/(LN(2)/25)*Calculateur!ER178*Calculateur!ET178*VLOOKUP('Données projet'!$B$15,Paramètres!$A$1:$I$89,3,0)*0.475*44/12</f>
        <v>0.27403503606505275</v>
      </c>
      <c r="EX178" s="21">
        <f>EXP(-LN(2)/2)*EX177+(1-EXP(-LN(2)/2))/(LN(2)/2)*ER178*EU178*VLOOKUP('Données projet'!$B$15,Paramètres!$A$1:$I$89,3,0)*0.475*44/12</f>
        <v>3.2851025679497164E-21</v>
      </c>
      <c r="EY178" s="22">
        <f t="shared" si="181"/>
        <v>0.41751000360718427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497</v>
      </c>
      <c r="FF178" s="17">
        <f>FE178*VLOOKUP('Données projet'!$B$16,Paramètres!$A$1:$I$89,3,0)*VLOOKUP('Données projet'!$B$16,Paramètres!$A$1:$I$89,5,0)</f>
        <v>297.20600000000002</v>
      </c>
      <c r="FG178" s="13">
        <f t="shared" si="182"/>
        <v>70.590415164571112</v>
      </c>
      <c r="FH178" s="20">
        <f t="shared" si="183"/>
        <v>640.57875641162809</v>
      </c>
      <c r="FI178" s="59">
        <f t="shared" si="131"/>
        <v>933.91208974496135</v>
      </c>
      <c r="FJ178" s="59">
        <f ca="1">AVERAGE(OFFSET($FI$3,0,0,'Données projet'!$E$16+1,1))-AVERAGE(OFFSET($H$3,0,0,'Données projet'!$E$16+1,1))</f>
        <v>270.30888762640245</v>
      </c>
      <c r="FK178" s="59">
        <f t="shared" si="156"/>
        <v>202.23783851977691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>
        <f>EXP(-LN(2)/35)*FQ177+(1-EXP(-LN(2)/35))/(LN(2)/35)*FM178*FN178*VLOOKUP('Données projet'!$B$16,Paramètres!$A$1:$I$89,3,0)*0.475*44/12</f>
        <v>0.12124645144405467</v>
      </c>
      <c r="FR178" s="21">
        <f>EXP(-LN(2)/25)*FR177+(1-EXP(-LN(2)/25))/(LN(2)/25)*Calculateur!FM178*Calculateur!FO178*VLOOKUP('Données projet'!$B$16,Paramètres!$A$1:$I$89,3,0)*0.475*44/12</f>
        <v>0.22067945940311015</v>
      </c>
      <c r="FS178" s="21">
        <f>EXP(-LN(2)/2)*FS177+(1-EXP(-LN(2)/2))/(LN(2)/2)*FM178*FP178*VLOOKUP('Données projet'!$B$16,Paramètres!$A$1:$I$89,3,0)*0.475*44/12</f>
        <v>2.769003418254445E-21</v>
      </c>
      <c r="FT178" s="22">
        <f t="shared" si="184"/>
        <v>0.34192591084716484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-5.1159076974727213E-13</v>
      </c>
      <c r="GA178" s="17">
        <f>FZ178*VLOOKUP('Données projet'!$B$17,Paramètres!$A$1:$I$89,3,0)*VLOOKUP('Données projet'!$B$17,Paramètres!$A$1:$I$89,5,0)</f>
        <v>-4.0702161641092972E-13</v>
      </c>
      <c r="GB178" s="13" t="e">
        <f t="shared" si="185"/>
        <v>#NUM!</v>
      </c>
      <c r="GC178" s="20" t="e">
        <f t="shared" si="186"/>
        <v>#NUM!</v>
      </c>
      <c r="GD178" s="59" t="e">
        <f t="shared" si="134"/>
        <v>#NUM!</v>
      </c>
      <c r="GE178" s="59">
        <f ca="1">AVERAGE(OFFSET($GD$3,0,0,'Données projet'!$E$17+1,1))-AVERAGE(OFFSET($H$3,0,0,'Données projet'!$E$17+1,1))</f>
        <v>260.20517190557814</v>
      </c>
      <c r="GF178" s="59">
        <f t="shared" si="158"/>
        <v>307.22009971147133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>
        <f>EXP(-LN(2)/35)*GL177+(1-EXP(-LN(2)/35))/(LN(2)/35)*GH178*GI178*VLOOKUP('Données projet'!$B$17,Paramètres!$A$1:$I$89,3,0)*0.475*44/12</f>
        <v>0.18471047566609988</v>
      </c>
      <c r="GM178" s="21">
        <f>EXP(-LN(2)/25)*GM177+(1-EXP(-LN(2)/25))/(LN(2)/25)*Calculateur!GH178*Calculateur!GJ178*VLOOKUP('Données projet'!$B$17,Paramètres!$A$1:$I$89,3,0)*0.475*44/12</f>
        <v>0.36829427961198424</v>
      </c>
      <c r="GN178" s="21">
        <f>EXP(-LN(2)/2)*GN177+(1-EXP(-LN(2)/2))/(LN(2)/2)*GH178*GK178*VLOOKUP('Données projet'!$B$17,Paramètres!$A$1:$I$89,3,0)*0.475*44/12</f>
        <v>3.5995012659354375E-21</v>
      </c>
      <c r="GO178" s="21">
        <f t="shared" si="187"/>
        <v>0.55300475527808413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5.6843418860808015E-14</v>
      </c>
      <c r="GV178" s="17">
        <f>GU178*VLOOKUP('Données projet'!$B$18,Paramètres!$A$1:$I$89,3,0)*VLOOKUP('Données projet'!$B$18,Paramètres!$A$1:$I$89,5,0)</f>
        <v>4.5224624045658861E-14</v>
      </c>
      <c r="GW178" s="13">
        <f t="shared" si="188"/>
        <v>7.4514601661523691E-13</v>
      </c>
      <c r="GX178" s="20">
        <f t="shared" si="189"/>
        <v>1.3765621991510601E-12</v>
      </c>
      <c r="GY178" s="59">
        <f t="shared" si="137"/>
        <v>293.33333333333468</v>
      </c>
      <c r="GZ178" s="59">
        <f ca="1">AVERAGE(OFFSET($GY$3,0,0,'Données projet'!$E$18+1,1))-AVERAGE(OFFSET($H$3,0,0,'Données projet'!$E$18+1,1))</f>
        <v>199.58763537752952</v>
      </c>
      <c r="HA178" s="59">
        <f t="shared" si="160"/>
        <v>242.62852778451929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>
        <f>EXP(-LN(2)/35)*HG177+(1-EXP(-LN(2)/35))/(LN(2)/35)*HC178*HD178*VLOOKUP('Données projet'!$B$18,Paramètres!$A$1:$I$89,3,0)*0.475*44/12</f>
        <v>0</v>
      </c>
      <c r="HH178" s="21">
        <f>EXP(-LN(2)/25)*HH177+(1-EXP(-LN(2)/25))/(LN(2)/25)*Calculateur!HC178*Calculateur!HE178*VLOOKUP('Données projet'!$B$18,Paramètres!$A$1:$I$89,3,0)*0.475*44/12</f>
        <v>0.18456309617010289</v>
      </c>
      <c r="HI178" s="21">
        <f>EXP(-LN(2)/2)*HI177+(1-EXP(-LN(2)/2))/(LN(2)/2)*HC178*HF178*VLOOKUP('Données projet'!$B$18,Paramètres!$A$1:$I$89,3,0)*0.475*44/12</f>
        <v>1.6113893200760032E-21</v>
      </c>
      <c r="HJ178" s="22">
        <f t="shared" si="190"/>
        <v>0.18456309617010289</v>
      </c>
    </row>
    <row r="179" spans="1:218" x14ac:dyDescent="0.2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156.49919999999986</v>
      </c>
      <c r="D179" s="11">
        <f t="shared" si="140"/>
        <v>40.051886402928353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1517.2364564436564</v>
      </c>
      <c r="H179" s="67">
        <f t="shared" si="110"/>
        <v>635.65980881843325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-2.2737367544323206E-13</v>
      </c>
      <c r="O179" s="13">
        <f>N179*VLOOKUP('Données projet'!$B$9,Paramètres!$A$1:$I$89,3,0)*VLOOKUP('Données projet'!$B$9,Paramètres!$A$1:$I$89,5,0)</f>
        <v>-1.2710188457276673E-13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255.5374979188561</v>
      </c>
      <c r="T179" s="59">
        <f t="shared" si="142"/>
        <v>343.10418468620901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0.17149011656060856</v>
      </c>
      <c r="AA179" s="21">
        <f>EXP(-LN(2)/25)*AA178+(1-EXP(-LN(2)/25))/(LN(2)/25)*Calculateur!V179*Calculateur!X179*VLOOKUP('Données projet'!$B$9,Paramètres!$A$1:$I$89,3,0)*0.475*44/12</f>
        <v>0.27862800385231573</v>
      </c>
      <c r="AB179" s="21">
        <f>EXP(-LN(2)/2)*AB178+(1-EXP(-LN(2)/2))/(LN(2)/2)*V179*Y179*VLOOKUP('Données projet'!$B$9,Paramètres!$A$1:$I$89,3,0)*0.475*44/12</f>
        <v>1.7921650994201221E-22</v>
      </c>
      <c r="AC179" s="22">
        <f t="shared" si="163"/>
        <v>0.45011812041292432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1.1368683772161603E-13</v>
      </c>
      <c r="AJ179" s="13">
        <f>AI179*VLOOKUP('Données projet'!$B$10,Paramètres!$A$1:$I$89,3,0)*VLOOKUP('Données projet'!$B$10,Paramètres!$A$1:$I$89,5,0)</f>
        <v>6.3550942286383367E-14</v>
      </c>
      <c r="AK179" s="13">
        <f t="shared" si="164"/>
        <v>1.0064464192543978E-12</v>
      </c>
      <c r="AL179" s="20">
        <f t="shared" si="165"/>
        <v>1.8635787380168604E-12</v>
      </c>
      <c r="AM179" s="59">
        <f t="shared" si="113"/>
        <v>293.33333333333519</v>
      </c>
      <c r="AN179" s="59">
        <f ca="1">AVERAGE(OFFSET($AM$3,0,0,'Données projet'!$E$10+1,1))-AVERAGE(OFFSET($H$3,0,0,'Données projet'!$E$10+1,1))</f>
        <v>224.7049802939942</v>
      </c>
      <c r="AO179" s="59">
        <f t="shared" si="144"/>
        <v>203.48513862195352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0.1238242454018718</v>
      </c>
      <c r="AV179" s="21">
        <f>EXP(-LN(2)/25)*AV178+(1-EXP(-LN(2)/25))/(LN(2)/25)*Calculateur!AQ179*Calculateur!AS179*VLOOKUP('Données projet'!$B$10,Paramètres!$A$1:$I$89,3,0)*0.475*44/12</f>
        <v>0.34085161709976858</v>
      </c>
      <c r="AW179" s="21">
        <f>EXP(-LN(2)/2)*AW178+(1-EXP(-LN(2)/2))/(LN(2)/2)*AQ179*AT179*VLOOKUP('Données projet'!$B$10,Paramètres!$A$1:$I$89,3,0)*0.475*44/12</f>
        <v>9.4874176152915816E-22</v>
      </c>
      <c r="AX179" s="21">
        <f t="shared" si="166"/>
        <v>0.46467586250164039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>
        <f>BD179*VLOOKUP('Données projet'!$B$11,Paramètres!$A$1:$I$89,3,0)*VLOOKUP('Données projet'!$B$11,Paramètres!$A$1:$I$89,5,0)</f>
        <v>0</v>
      </c>
      <c r="BF179" s="13" t="e">
        <f t="shared" si="167"/>
        <v>#NUM!</v>
      </c>
      <c r="BG179" s="20" t="e">
        <f t="shared" si="168"/>
        <v>#NUM!</v>
      </c>
      <c r="BH179" s="59" t="e">
        <f t="shared" si="116"/>
        <v>#NUM!</v>
      </c>
      <c r="BI179" s="59">
        <f ca="1">AVERAGE(OFFSET($BH$3,0,0,'Données projet'!$E$11+1,1))-AVERAGE(OFFSET($H$3,0,0,'Données projet'!$E$11+1,1))</f>
        <v>210.04871822652808</v>
      </c>
      <c r="BJ179" s="59">
        <f t="shared" si="146"/>
        <v>250.17540614049324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0.40518784290290233</v>
      </c>
      <c r="BQ179" s="21">
        <f>EXP(-LN(2)/25)*BQ178+(1-EXP(-LN(2)/25))/(LN(2)/25)*Calculateur!BL179*Calculateur!BN179*VLOOKUP('Données projet'!$B$11,Paramètres!$A$1:$I$89,3,0)*0.475*44/12</f>
        <v>0.48585778642110777</v>
      </c>
      <c r="BR179" s="21">
        <f>EXP(-LN(2)/2)*BR178+(1-EXP(-LN(2)/2))/(LN(2)/2)*BL179*BO179*VLOOKUP('Données projet'!$B$11,Paramètres!$A$1:$I$89,3,0)*0.475*44/12</f>
        <v>2.2821067377487853E-21</v>
      </c>
      <c r="BS179" s="22">
        <f t="shared" si="169"/>
        <v>0.8910456293240101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2.2737367544323206E-13</v>
      </c>
      <c r="BZ179" s="13">
        <f>BY179*VLOOKUP('Données projet'!$B$12,Paramètres!$A$1:$I$89,3,0)*VLOOKUP('Données projet'!$B$12,Paramètres!$A$1:$I$89,5,0)</f>
        <v>1.2414602679200471E-13</v>
      </c>
      <c r="CA179" s="13">
        <f t="shared" si="170"/>
        <v>1.8186582995804361E-12</v>
      </c>
      <c r="CB179" s="20">
        <f t="shared" si="171"/>
        <v>3.3837175350986671E-12</v>
      </c>
      <c r="CC179" s="59">
        <f t="shared" si="119"/>
        <v>293.33333333333672</v>
      </c>
      <c r="CD179" s="59">
        <f ca="1">AVERAGE(OFFSET($CC$3,0,0,'Données projet'!$E$12+1,1))-AVERAGE(OFFSET($H$3,0,0,'Données projet'!$E$12+1,1))</f>
        <v>168.72306536277267</v>
      </c>
      <c r="CE179" s="59">
        <f t="shared" si="148"/>
        <v>203.35476578922339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0.16882826787620933</v>
      </c>
      <c r="CL179" s="21">
        <f>EXP(-LN(2)/25)*CL178+(1-EXP(-LN(2)/25))/(LN(2)/25)*Calculateur!CG179*Calculateur!CI179*VLOOKUP('Données projet'!$B$12,Paramètres!$A$1:$I$89,3,0)*0.475*44/12</f>
        <v>0.4012635772201904</v>
      </c>
      <c r="CM179" s="21">
        <f>EXP(-LN(2)/2)*CM178+(1-EXP(-LN(2)/2))/(LN(2)/2)*CG179*CJ179*VLOOKUP('Données projet'!$B$12,Paramètres!$A$1:$I$89,3,0)*0.475*44/12</f>
        <v>2.1201072274595422E-21</v>
      </c>
      <c r="CN179" s="22">
        <f t="shared" si="172"/>
        <v>0.57009184509639976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1277.6923076923067</v>
      </c>
      <c r="CU179" s="17">
        <f>CT179*VLOOKUP('Données projet'!$B$13,Paramètres!$A$1:$I$89,3,0)*VLOOKUP('Données projet'!$B$13,Paramètres!$A$1:$I$89,5,0)</f>
        <v>614.5699999999996</v>
      </c>
      <c r="CV179" s="13">
        <f t="shared" si="173"/>
        <v>134.13240620831178</v>
      </c>
      <c r="CW179" s="20">
        <f t="shared" si="174"/>
        <v>1303.9900241461421</v>
      </c>
      <c r="CX179" s="59">
        <f t="shared" si="122"/>
        <v>1597.3233574794754</v>
      </c>
      <c r="CY179" s="59">
        <f ca="1">AVERAGE(OFFSET($CX$3,0,0,'Données projet'!$E$13+1,1))-AVERAGE(OFFSET($H$3,0,0,'Données projet'!$E$13+1,1))</f>
        <v>304.15237106473313</v>
      </c>
      <c r="CZ179" s="59">
        <f t="shared" si="150"/>
        <v>120.85458928724336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>
        <f>EXP(-LN(2)/35)*DF178+(1-EXP(-LN(2)/35))/(LN(2)/35)*DB179*DC179*VLOOKUP('Données projet'!$B$13,Paramètres!$A$1:$I$89,3,0)*0.475*44/12</f>
        <v>0</v>
      </c>
      <c r="DG179" s="21">
        <f>EXP(-LN(2)/25)*DG178+(1-EXP(-LN(2)/25))/(LN(2)/25)*Calculateur!DB179*Calculateur!DD179*VLOOKUP('Données projet'!$B$13,Paramètres!$A$1:$I$89,3,0)*0.475*44/12</f>
        <v>0</v>
      </c>
      <c r="DH179" s="21">
        <f>EXP(-LN(2)/2)*DH178+(1-EXP(-LN(2)/2))/(LN(2)/2)*DB179*DE179*VLOOKUP('Données projet'!$B$13,Paramètres!$A$1:$I$89,3,0)*0.475*44/12</f>
        <v>0</v>
      </c>
      <c r="DI179" s="22">
        <f t="shared" si="175"/>
        <v>0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425.38461538461536</v>
      </c>
      <c r="DP179" s="17">
        <f>DO179*VLOOKUP('Données projet'!$B$14,Paramètres!$A$1:$I$89,3,0)*VLOOKUP('Données projet'!$B$14,Paramètres!$A$1:$I$89,5,0)</f>
        <v>204.60999999999999</v>
      </c>
      <c r="DQ179" s="13">
        <f t="shared" si="176"/>
        <v>50.755958577224398</v>
      </c>
      <c r="DR179" s="20">
        <f t="shared" si="177"/>
        <v>444.76237785533249</v>
      </c>
      <c r="DS179" s="59">
        <f t="shared" si="125"/>
        <v>738.09571118866575</v>
      </c>
      <c r="DT179" s="59">
        <f ca="1">AVERAGE(OFFSET($DS$3,0,0,'Données projet'!$E$14+1,1))-AVERAGE(OFFSET($H$3,0,0,'Données projet'!$E$14+1,1))</f>
        <v>91.053246648097399</v>
      </c>
      <c r="DU179" s="59">
        <f t="shared" si="152"/>
        <v>64.716270355703955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>
        <f>EXP(-LN(2)/35)*EA178+(1-EXP(-LN(2)/35))/(LN(2)/35)*DW179*DX179*VLOOKUP('Données projet'!$B$14,Paramètres!$A$1:$I$89,3,0)*0.475*44/12</f>
        <v>0</v>
      </c>
      <c r="EB179" s="21">
        <f>EXP(-LN(2)/25)*EB178+(1-EXP(-LN(2)/25))/(LN(2)/25)*Calculateur!DW179*Calculateur!DY179*VLOOKUP('Données projet'!$B$14,Paramètres!$A$1:$I$89,3,0)*0.475*44/12</f>
        <v>0</v>
      </c>
      <c r="EC179" s="21">
        <f>EXP(-LN(2)/2)*EC178+(1-EXP(-LN(2)/2))/(LN(2)/2)*DW179*DZ179*VLOOKUP('Données projet'!$B$14,Paramètres!$A$1:$I$89,3,0)*0.475*44/12</f>
        <v>0</v>
      </c>
      <c r="ED179" s="22">
        <f t="shared" si="178"/>
        <v>0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553.99999999999955</v>
      </c>
      <c r="EK179" s="17">
        <f>EJ179*VLOOKUP('Données projet'!$B$15,Paramètres!$A$1:$I$89,3,0)*VLOOKUP('Données projet'!$B$15,Paramètres!$A$1:$I$89,5,0)</f>
        <v>331.29199999999975</v>
      </c>
      <c r="EL179" s="13">
        <f t="shared" si="179"/>
        <v>77.698110787752</v>
      </c>
      <c r="EM179" s="20">
        <f t="shared" si="180"/>
        <v>712.32444295533423</v>
      </c>
      <c r="EN179" s="59">
        <f t="shared" si="128"/>
        <v>1005.6577762886675</v>
      </c>
      <c r="EO179" s="59">
        <f ca="1">AVERAGE(OFFSET($EN$3,0,0,'Données projet'!$E$15+1,1))-AVERAGE(OFFSET($H$3,0,0,'Données projet'!$E$15+1,1))</f>
        <v>316.58509520829671</v>
      </c>
      <c r="EP179" s="59">
        <f t="shared" si="154"/>
        <v>240.71332110643596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>
        <f>EXP(-LN(2)/35)*EV178+(1-EXP(-LN(2)/35))/(LN(2)/35)*ER179*ES179*VLOOKUP('Données projet'!$B$15,Paramètres!$A$1:$I$89,3,0)*0.475*44/12</f>
        <v>0.14066151093971951</v>
      </c>
      <c r="EW179" s="21">
        <f>EXP(-LN(2)/25)*EW178+(1-EXP(-LN(2)/25))/(LN(2)/25)*Calculateur!ER179*Calculateur!ET179*VLOOKUP('Données projet'!$B$15,Paramètres!$A$1:$I$89,3,0)*0.475*44/12</f>
        <v>0.26654153359297766</v>
      </c>
      <c r="EX179" s="21">
        <f>EXP(-LN(2)/2)*EX178+(1-EXP(-LN(2)/2))/(LN(2)/2)*ER179*EU179*VLOOKUP('Données projet'!$B$15,Paramètres!$A$1:$I$89,3,0)*0.475*44/12</f>
        <v>2.3229183026905855E-21</v>
      </c>
      <c r="EY179" s="22">
        <f t="shared" si="181"/>
        <v>0.40720304453269718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497</v>
      </c>
      <c r="FF179" s="17">
        <f>FE179*VLOOKUP('Données projet'!$B$16,Paramètres!$A$1:$I$89,3,0)*VLOOKUP('Données projet'!$B$16,Paramètres!$A$1:$I$89,5,0)</f>
        <v>297.20600000000002</v>
      </c>
      <c r="FG179" s="13">
        <f t="shared" si="182"/>
        <v>70.590415164571112</v>
      </c>
      <c r="FH179" s="20">
        <f t="shared" si="183"/>
        <v>640.57875641162809</v>
      </c>
      <c r="FI179" s="59">
        <f t="shared" si="131"/>
        <v>933.91208974496135</v>
      </c>
      <c r="FJ179" s="59">
        <f ca="1">AVERAGE(OFFSET($FI$3,0,0,'Données projet'!$E$16+1,1))-AVERAGE(OFFSET($H$3,0,0,'Données projet'!$E$16+1,1))</f>
        <v>270.30888762640245</v>
      </c>
      <c r="FK179" s="59">
        <f t="shared" si="156"/>
        <v>202.23783851977691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>
        <f>EXP(-LN(2)/35)*FQ178+(1-EXP(-LN(2)/35))/(LN(2)/35)*FM179*FN179*VLOOKUP('Données projet'!$B$16,Paramètres!$A$1:$I$89,3,0)*0.475*44/12</f>
        <v>0.11886888248426988</v>
      </c>
      <c r="FR179" s="21">
        <f>EXP(-LN(2)/25)*FR178+(1-EXP(-LN(2)/25))/(LN(2)/25)*Calculateur!FM179*Calculateur!FO179*VLOOKUP('Données projet'!$B$16,Paramètres!$A$1:$I$89,3,0)*0.475*44/12</f>
        <v>0.2146449679807037</v>
      </c>
      <c r="FS179" s="21">
        <f>EXP(-LN(2)/2)*FS178+(1-EXP(-LN(2)/2))/(LN(2)/2)*FM179*FP179*VLOOKUP('Données projet'!$B$16,Paramètres!$A$1:$I$89,3,0)*0.475*44/12</f>
        <v>1.9579810941764479E-21</v>
      </c>
      <c r="FT179" s="22">
        <f t="shared" si="184"/>
        <v>0.33351385046497362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-5.1159076974727213E-13</v>
      </c>
      <c r="GA179" s="17">
        <f>FZ179*VLOOKUP('Données projet'!$B$17,Paramètres!$A$1:$I$89,3,0)*VLOOKUP('Données projet'!$B$17,Paramètres!$A$1:$I$89,5,0)</f>
        <v>-4.0702161641092972E-13</v>
      </c>
      <c r="GB179" s="13" t="e">
        <f t="shared" si="185"/>
        <v>#NUM!</v>
      </c>
      <c r="GC179" s="20" t="e">
        <f t="shared" si="186"/>
        <v>#NUM!</v>
      </c>
      <c r="GD179" s="59" t="e">
        <f t="shared" si="134"/>
        <v>#NUM!</v>
      </c>
      <c r="GE179" s="59">
        <f ca="1">AVERAGE(OFFSET($GD$3,0,0,'Données projet'!$E$17+1,1))-AVERAGE(OFFSET($H$3,0,0,'Données projet'!$E$17+1,1))</f>
        <v>260.20517190557814</v>
      </c>
      <c r="GF179" s="59">
        <f t="shared" si="158"/>
        <v>307.22009971147133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>
        <f>EXP(-LN(2)/35)*GL178+(1-EXP(-LN(2)/35))/(LN(2)/35)*GH179*GI179*VLOOKUP('Données projet'!$B$17,Paramètres!$A$1:$I$89,3,0)*0.475*44/12</f>
        <v>0.18108841590055336</v>
      </c>
      <c r="GM179" s="21">
        <f>EXP(-LN(2)/25)*GM178+(1-EXP(-LN(2)/25))/(LN(2)/25)*Calculateur!GH179*Calculateur!GJ179*VLOOKUP('Données projet'!$B$17,Paramètres!$A$1:$I$89,3,0)*0.475*44/12</f>
        <v>0.35822325316824011</v>
      </c>
      <c r="GN179" s="21">
        <f>EXP(-LN(2)/2)*GN178+(1-EXP(-LN(2)/2))/(LN(2)/2)*GH179*GK179*VLOOKUP('Données projet'!$B$17,Paramètres!$A$1:$I$89,3,0)*0.475*44/12</f>
        <v>2.5452317540325102E-21</v>
      </c>
      <c r="GO179" s="21">
        <f t="shared" si="187"/>
        <v>0.53931166906879346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5.6843418860808015E-14</v>
      </c>
      <c r="GV179" s="17">
        <f>GU179*VLOOKUP('Données projet'!$B$18,Paramètres!$A$1:$I$89,3,0)*VLOOKUP('Données projet'!$B$18,Paramètres!$A$1:$I$89,5,0)</f>
        <v>4.5224624045658861E-14</v>
      </c>
      <c r="GW179" s="13">
        <f t="shared" si="188"/>
        <v>7.4514601661523691E-13</v>
      </c>
      <c r="GX179" s="20">
        <f t="shared" si="189"/>
        <v>1.3765621991510601E-12</v>
      </c>
      <c r="GY179" s="59">
        <f t="shared" si="137"/>
        <v>293.33333333333468</v>
      </c>
      <c r="GZ179" s="59">
        <f ca="1">AVERAGE(OFFSET($GY$3,0,0,'Données projet'!$E$18+1,1))-AVERAGE(OFFSET($H$3,0,0,'Données projet'!$E$18+1,1))</f>
        <v>199.58763537752952</v>
      </c>
      <c r="HA179" s="59">
        <f t="shared" si="160"/>
        <v>242.62852778451929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>
        <f>EXP(-LN(2)/35)*HG178+(1-EXP(-LN(2)/35))/(LN(2)/35)*HC179*HD179*VLOOKUP('Données projet'!$B$18,Paramètres!$A$1:$I$89,3,0)*0.475*44/12</f>
        <v>0</v>
      </c>
      <c r="HH179" s="21">
        <f>EXP(-LN(2)/25)*HH178+(1-EXP(-LN(2)/25))/(LN(2)/25)*Calculateur!HC179*Calculateur!HE179*VLOOKUP('Données projet'!$B$18,Paramètres!$A$1:$I$89,3,0)*0.475*44/12</f>
        <v>0.17951620859958001</v>
      </c>
      <c r="HI179" s="21">
        <f>EXP(-LN(2)/2)*HI178+(1-EXP(-LN(2)/2))/(LN(2)/2)*HC179*HF179*VLOOKUP('Données projet'!$B$18,Paramètres!$A$1:$I$89,3,0)*0.475*44/12</f>
        <v>1.139424315357322E-21</v>
      </c>
      <c r="HJ179" s="22">
        <f t="shared" si="190"/>
        <v>0.17951620859958001</v>
      </c>
    </row>
    <row r="180" spans="1:218" x14ac:dyDescent="0.2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157.38839999999985</v>
      </c>
      <c r="D180" s="11">
        <f t="shared" si="140"/>
        <v>40.252898725183421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1525.6521305101869</v>
      </c>
      <c r="H180" s="67">
        <f t="shared" si="110"/>
        <v>637.55859527969415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-2.2737367544323206E-13</v>
      </c>
      <c r="O180" s="13">
        <f>N180*VLOOKUP('Données projet'!$B$9,Paramètres!$A$1:$I$89,3,0)*VLOOKUP('Données projet'!$B$9,Paramètres!$A$1:$I$89,5,0)</f>
        <v>-1.2710188457276673E-13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255.5374979188561</v>
      </c>
      <c r="T180" s="59">
        <f t="shared" si="142"/>
        <v>343.10418468620901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0.16812729997349787</v>
      </c>
      <c r="AA180" s="21">
        <f>EXP(-LN(2)/25)*AA179+(1-EXP(-LN(2)/25))/(LN(2)/25)*Calculateur!V180*Calculateur!X180*VLOOKUP('Données projet'!$B$9,Paramètres!$A$1:$I$89,3,0)*0.475*44/12</f>
        <v>0.27100890643456427</v>
      </c>
      <c r="AB180" s="21">
        <f>EXP(-LN(2)/2)*AB179+(1-EXP(-LN(2)/2))/(LN(2)/2)*V180*Y180*VLOOKUP('Données projet'!$B$9,Paramètres!$A$1:$I$89,3,0)*0.475*44/12</f>
        <v>1.2672520948058315E-22</v>
      </c>
      <c r="AC180" s="22">
        <f t="shared" si="163"/>
        <v>0.43913620640806217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1.1368683772161603E-13</v>
      </c>
      <c r="AJ180" s="13">
        <f>AI180*VLOOKUP('Données projet'!$B$10,Paramètres!$A$1:$I$89,3,0)*VLOOKUP('Données projet'!$B$10,Paramètres!$A$1:$I$89,5,0)</f>
        <v>6.3550942286383367E-14</v>
      </c>
      <c r="AK180" s="13">
        <f t="shared" si="164"/>
        <v>1.0064464192543978E-12</v>
      </c>
      <c r="AL180" s="20">
        <f t="shared" si="165"/>
        <v>1.8635787380168604E-12</v>
      </c>
      <c r="AM180" s="59">
        <f t="shared" si="113"/>
        <v>293.33333333333519</v>
      </c>
      <c r="AN180" s="59">
        <f ca="1">AVERAGE(OFFSET($AM$3,0,0,'Données projet'!$E$10+1,1))-AVERAGE(OFFSET($H$3,0,0,'Données projet'!$E$10+1,1))</f>
        <v>224.7049802939942</v>
      </c>
      <c r="AO180" s="59">
        <f t="shared" si="144"/>
        <v>203.48513862195352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0.12139612747487329</v>
      </c>
      <c r="AV180" s="21">
        <f>EXP(-LN(2)/25)*AV179+(1-EXP(-LN(2)/25))/(LN(2)/25)*Calculateur!AQ180*Calculateur!AS180*VLOOKUP('Données projet'!$B$10,Paramètres!$A$1:$I$89,3,0)*0.475*44/12</f>
        <v>0.33153101170556787</v>
      </c>
      <c r="AW180" s="21">
        <f>EXP(-LN(2)/2)*AW179+(1-EXP(-LN(2)/2))/(LN(2)/2)*AQ180*AT180*VLOOKUP('Données projet'!$B$10,Paramètres!$A$1:$I$89,3,0)*0.475*44/12</f>
        <v>6.7086173317213809E-22</v>
      </c>
      <c r="AX180" s="21">
        <f t="shared" si="166"/>
        <v>0.45292713918044114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>
        <f>BD180*VLOOKUP('Données projet'!$B$11,Paramètres!$A$1:$I$89,3,0)*VLOOKUP('Données projet'!$B$11,Paramètres!$A$1:$I$89,5,0)</f>
        <v>0</v>
      </c>
      <c r="BF180" s="13" t="e">
        <f t="shared" si="167"/>
        <v>#NUM!</v>
      </c>
      <c r="BG180" s="20" t="e">
        <f t="shared" si="168"/>
        <v>#NUM!</v>
      </c>
      <c r="BH180" s="59" t="e">
        <f t="shared" si="116"/>
        <v>#NUM!</v>
      </c>
      <c r="BI180" s="59">
        <f ca="1">AVERAGE(OFFSET($BH$3,0,0,'Données projet'!$E$11+1,1))-AVERAGE(OFFSET($H$3,0,0,'Données projet'!$E$11+1,1))</f>
        <v>210.04871822652808</v>
      </c>
      <c r="BJ180" s="59">
        <f t="shared" si="146"/>
        <v>250.17540614049324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0.39724235644375749</v>
      </c>
      <c r="BQ180" s="21">
        <f>EXP(-LN(2)/25)*BQ179+(1-EXP(-LN(2)/25))/(LN(2)/25)*Calculateur!BL180*Calculateur!BN180*VLOOKUP('Données projet'!$B$11,Paramètres!$A$1:$I$89,3,0)*0.475*44/12</f>
        <v>0.47257197970127202</v>
      </c>
      <c r="BR180" s="21">
        <f>EXP(-LN(2)/2)*BR179+(1-EXP(-LN(2)/2))/(LN(2)/2)*BL180*BO180*VLOOKUP('Données projet'!$B$11,Paramètres!$A$1:$I$89,3,0)*0.475*44/12</f>
        <v>1.6136931496536761E-21</v>
      </c>
      <c r="BS180" s="22">
        <f t="shared" si="169"/>
        <v>0.86981433614502945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2.2737367544323206E-13</v>
      </c>
      <c r="BZ180" s="13">
        <f>BY180*VLOOKUP('Données projet'!$B$12,Paramètres!$A$1:$I$89,3,0)*VLOOKUP('Données projet'!$B$12,Paramètres!$A$1:$I$89,5,0)</f>
        <v>1.2414602679200471E-13</v>
      </c>
      <c r="CA180" s="13">
        <f t="shared" si="170"/>
        <v>1.8186582995804361E-12</v>
      </c>
      <c r="CB180" s="20">
        <f t="shared" si="171"/>
        <v>3.3837175350986671E-12</v>
      </c>
      <c r="CC180" s="59">
        <f t="shared" si="119"/>
        <v>293.33333333333672</v>
      </c>
      <c r="CD180" s="59">
        <f ca="1">AVERAGE(OFFSET($CC$3,0,0,'Données projet'!$E$12+1,1))-AVERAGE(OFFSET($H$3,0,0,'Données projet'!$E$12+1,1))</f>
        <v>168.72306536277267</v>
      </c>
      <c r="CE180" s="59">
        <f t="shared" si="148"/>
        <v>203.35476578922339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0.16551764851823234</v>
      </c>
      <c r="CL180" s="21">
        <f>EXP(-LN(2)/25)*CL179+(1-EXP(-LN(2)/25))/(LN(2)/25)*Calculateur!CG180*Calculateur!CI180*VLOOKUP('Données projet'!$B$12,Paramètres!$A$1:$I$89,3,0)*0.475*44/12</f>
        <v>0.39029100359956986</v>
      </c>
      <c r="CM180" s="21">
        <f>EXP(-LN(2)/2)*CM179+(1-EXP(-LN(2)/2))/(LN(2)/2)*CG180*CJ180*VLOOKUP('Données projet'!$B$12,Paramètres!$A$1:$I$89,3,0)*0.475*44/12</f>
        <v>1.4991421973792525E-21</v>
      </c>
      <c r="CN180" s="22">
        <f t="shared" si="172"/>
        <v>0.55580865211780217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1277.6923076923067</v>
      </c>
      <c r="CU180" s="17">
        <f>CT180*VLOOKUP('Données projet'!$B$13,Paramètres!$A$1:$I$89,3,0)*VLOOKUP('Données projet'!$B$13,Paramètres!$A$1:$I$89,5,0)</f>
        <v>614.5699999999996</v>
      </c>
      <c r="CV180" s="13">
        <f t="shared" si="173"/>
        <v>134.13240620831178</v>
      </c>
      <c r="CW180" s="20">
        <f t="shared" si="174"/>
        <v>1303.9900241461421</v>
      </c>
      <c r="CX180" s="59">
        <f t="shared" si="122"/>
        <v>1597.3233574794754</v>
      </c>
      <c r="CY180" s="59">
        <f ca="1">AVERAGE(OFFSET($CX$3,0,0,'Données projet'!$E$13+1,1))-AVERAGE(OFFSET($H$3,0,0,'Données projet'!$E$13+1,1))</f>
        <v>304.15237106473313</v>
      </c>
      <c r="CZ180" s="59">
        <f t="shared" si="150"/>
        <v>120.85458928724336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>
        <f>EXP(-LN(2)/35)*DF179+(1-EXP(-LN(2)/35))/(LN(2)/35)*DB180*DC180*VLOOKUP('Données projet'!$B$13,Paramètres!$A$1:$I$89,3,0)*0.475*44/12</f>
        <v>0</v>
      </c>
      <c r="DG180" s="21">
        <f>EXP(-LN(2)/25)*DG179+(1-EXP(-LN(2)/25))/(LN(2)/25)*Calculateur!DB180*Calculateur!DD180*VLOOKUP('Données projet'!$B$13,Paramètres!$A$1:$I$89,3,0)*0.475*44/12</f>
        <v>0</v>
      </c>
      <c r="DH180" s="21">
        <f>EXP(-LN(2)/2)*DH179+(1-EXP(-LN(2)/2))/(LN(2)/2)*DB180*DE180*VLOOKUP('Données projet'!$B$13,Paramètres!$A$1:$I$89,3,0)*0.475*44/12</f>
        <v>0</v>
      </c>
      <c r="DI180" s="22">
        <f t="shared" si="175"/>
        <v>0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425.38461538461536</v>
      </c>
      <c r="DP180" s="17">
        <f>DO180*VLOOKUP('Données projet'!$B$14,Paramètres!$A$1:$I$89,3,0)*VLOOKUP('Données projet'!$B$14,Paramètres!$A$1:$I$89,5,0)</f>
        <v>204.60999999999999</v>
      </c>
      <c r="DQ180" s="13">
        <f t="shared" si="176"/>
        <v>50.755958577224398</v>
      </c>
      <c r="DR180" s="20">
        <f t="shared" si="177"/>
        <v>444.76237785533249</v>
      </c>
      <c r="DS180" s="59">
        <f t="shared" si="125"/>
        <v>738.09571118866575</v>
      </c>
      <c r="DT180" s="59">
        <f ca="1">AVERAGE(OFFSET($DS$3,0,0,'Données projet'!$E$14+1,1))-AVERAGE(OFFSET($H$3,0,0,'Données projet'!$E$14+1,1))</f>
        <v>91.053246648097399</v>
      </c>
      <c r="DU180" s="59">
        <f t="shared" si="152"/>
        <v>64.716270355703955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>
        <f>EXP(-LN(2)/35)*EA179+(1-EXP(-LN(2)/35))/(LN(2)/35)*DW180*DX180*VLOOKUP('Données projet'!$B$14,Paramètres!$A$1:$I$89,3,0)*0.475*44/12</f>
        <v>0</v>
      </c>
      <c r="EB180" s="21">
        <f>EXP(-LN(2)/25)*EB179+(1-EXP(-LN(2)/25))/(LN(2)/25)*Calculateur!DW180*Calculateur!DY180*VLOOKUP('Données projet'!$B$14,Paramètres!$A$1:$I$89,3,0)*0.475*44/12</f>
        <v>0</v>
      </c>
      <c r="EC180" s="21">
        <f>EXP(-LN(2)/2)*EC179+(1-EXP(-LN(2)/2))/(LN(2)/2)*DW180*DZ180*VLOOKUP('Données projet'!$B$14,Paramètres!$A$1:$I$89,3,0)*0.475*44/12</f>
        <v>0</v>
      </c>
      <c r="ED180" s="22">
        <f t="shared" si="178"/>
        <v>0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553.99999999999955</v>
      </c>
      <c r="EK180" s="17">
        <f>EJ180*VLOOKUP('Données projet'!$B$15,Paramètres!$A$1:$I$89,3,0)*VLOOKUP('Données projet'!$B$15,Paramètres!$A$1:$I$89,5,0)</f>
        <v>331.29199999999975</v>
      </c>
      <c r="EL180" s="13">
        <f t="shared" si="179"/>
        <v>77.698110787752</v>
      </c>
      <c r="EM180" s="20">
        <f t="shared" si="180"/>
        <v>712.32444295533423</v>
      </c>
      <c r="EN180" s="59">
        <f t="shared" si="128"/>
        <v>1005.6577762886675</v>
      </c>
      <c r="EO180" s="59">
        <f ca="1">AVERAGE(OFFSET($EN$3,0,0,'Données projet'!$E$15+1,1))-AVERAGE(OFFSET($H$3,0,0,'Données projet'!$E$15+1,1))</f>
        <v>316.58509520829671</v>
      </c>
      <c r="EP180" s="59">
        <f t="shared" si="154"/>
        <v>240.71332110643596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>
        <f>EXP(-LN(2)/35)*EV179+(1-EXP(-LN(2)/35))/(LN(2)/35)*ER180*ES180*VLOOKUP('Données projet'!$B$15,Paramètres!$A$1:$I$89,3,0)*0.475*44/12</f>
        <v>0.13790322450524173</v>
      </c>
      <c r="EW180" s="21">
        <f>EXP(-LN(2)/25)*EW179+(1-EXP(-LN(2)/25))/(LN(2)/25)*Calculateur!ER180*Calculateur!ET180*VLOOKUP('Données projet'!$B$15,Paramètres!$A$1:$I$89,3,0)*0.475*44/12</f>
        <v>0.2592529413400676</v>
      </c>
      <c r="EX180" s="21">
        <f>EXP(-LN(2)/2)*EX179+(1-EXP(-LN(2)/2))/(LN(2)/2)*ER180*EU180*VLOOKUP('Données projet'!$B$15,Paramètres!$A$1:$I$89,3,0)*0.475*44/12</f>
        <v>1.6425512839748582E-21</v>
      </c>
      <c r="EY180" s="22">
        <f t="shared" si="181"/>
        <v>0.39715616584530933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497</v>
      </c>
      <c r="FF180" s="17">
        <f>FE180*VLOOKUP('Données projet'!$B$16,Paramètres!$A$1:$I$89,3,0)*VLOOKUP('Données projet'!$B$16,Paramètres!$A$1:$I$89,5,0)</f>
        <v>297.20600000000002</v>
      </c>
      <c r="FG180" s="13">
        <f t="shared" si="182"/>
        <v>70.590415164571112</v>
      </c>
      <c r="FH180" s="20">
        <f t="shared" si="183"/>
        <v>640.57875641162809</v>
      </c>
      <c r="FI180" s="59">
        <f t="shared" si="131"/>
        <v>933.91208974496135</v>
      </c>
      <c r="FJ180" s="59">
        <f ca="1">AVERAGE(OFFSET($FI$3,0,0,'Données projet'!$E$16+1,1))-AVERAGE(OFFSET($H$3,0,0,'Données projet'!$E$16+1,1))</f>
        <v>270.30888762640245</v>
      </c>
      <c r="FK180" s="59">
        <f t="shared" si="156"/>
        <v>202.23783851977691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>
        <f>EXP(-LN(2)/35)*FQ179+(1-EXP(-LN(2)/35))/(LN(2)/35)*FM180*FN180*VLOOKUP('Données projet'!$B$16,Paramètres!$A$1:$I$89,3,0)*0.475*44/12</f>
        <v>0.11653793620161261</v>
      </c>
      <c r="FR180" s="21">
        <f>EXP(-LN(2)/25)*FR179+(1-EXP(-LN(2)/25))/(LN(2)/25)*Calculateur!FM180*Calculateur!FO180*VLOOKUP('Données projet'!$B$16,Paramètres!$A$1:$I$89,3,0)*0.475*44/12</f>
        <v>0.20877549004358306</v>
      </c>
      <c r="FS180" s="21">
        <f>EXP(-LN(2)/2)*FS179+(1-EXP(-LN(2)/2))/(LN(2)/2)*FM180*FP180*VLOOKUP('Données projet'!$B$16,Paramètres!$A$1:$I$89,3,0)*0.475*44/12</f>
        <v>1.3845017091272225E-21</v>
      </c>
      <c r="FT180" s="22">
        <f t="shared" si="184"/>
        <v>0.32531342624519566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-5.1159076974727213E-13</v>
      </c>
      <c r="GA180" s="17">
        <f>FZ180*VLOOKUP('Données projet'!$B$17,Paramètres!$A$1:$I$89,3,0)*VLOOKUP('Données projet'!$B$17,Paramètres!$A$1:$I$89,5,0)</f>
        <v>-4.0702161641092972E-13</v>
      </c>
      <c r="GB180" s="13" t="e">
        <f t="shared" si="185"/>
        <v>#NUM!</v>
      </c>
      <c r="GC180" s="20" t="e">
        <f t="shared" si="186"/>
        <v>#NUM!</v>
      </c>
      <c r="GD180" s="59" t="e">
        <f t="shared" si="134"/>
        <v>#NUM!</v>
      </c>
      <c r="GE180" s="59">
        <f ca="1">AVERAGE(OFFSET($GD$3,0,0,'Données projet'!$E$17+1,1))-AVERAGE(OFFSET($H$3,0,0,'Données projet'!$E$17+1,1))</f>
        <v>260.20517190557814</v>
      </c>
      <c r="GF180" s="59">
        <f t="shared" si="158"/>
        <v>307.22009971147133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>
        <f>EXP(-LN(2)/35)*GL179+(1-EXP(-LN(2)/35))/(LN(2)/35)*GH180*GI180*VLOOKUP('Données projet'!$B$17,Paramètres!$A$1:$I$89,3,0)*0.475*44/12</f>
        <v>0.17753738251777088</v>
      </c>
      <c r="GM180" s="21">
        <f>EXP(-LN(2)/25)*GM179+(1-EXP(-LN(2)/25))/(LN(2)/25)*Calculateur!GH180*Calculateur!GJ180*VLOOKUP('Données projet'!$B$17,Paramètres!$A$1:$I$89,3,0)*0.475*44/12</f>
        <v>0.3484276194722124</v>
      </c>
      <c r="GN180" s="21">
        <f>EXP(-LN(2)/2)*GN179+(1-EXP(-LN(2)/2))/(LN(2)/2)*GH180*GK180*VLOOKUP('Données projet'!$B$17,Paramètres!$A$1:$I$89,3,0)*0.475*44/12</f>
        <v>1.7997506329677187E-21</v>
      </c>
      <c r="GO180" s="21">
        <f t="shared" si="187"/>
        <v>0.52596500198998331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5.6843418860808015E-14</v>
      </c>
      <c r="GV180" s="17">
        <f>GU180*VLOOKUP('Données projet'!$B$18,Paramètres!$A$1:$I$89,3,0)*VLOOKUP('Données projet'!$B$18,Paramètres!$A$1:$I$89,5,0)</f>
        <v>4.5224624045658861E-14</v>
      </c>
      <c r="GW180" s="13">
        <f t="shared" si="188"/>
        <v>7.4514601661523691E-13</v>
      </c>
      <c r="GX180" s="20">
        <f t="shared" si="189"/>
        <v>1.3765621991510601E-12</v>
      </c>
      <c r="GY180" s="59">
        <f t="shared" si="137"/>
        <v>293.33333333333468</v>
      </c>
      <c r="GZ180" s="59">
        <f ca="1">AVERAGE(OFFSET($GY$3,0,0,'Données projet'!$E$18+1,1))-AVERAGE(OFFSET($H$3,0,0,'Données projet'!$E$18+1,1))</f>
        <v>199.58763537752952</v>
      </c>
      <c r="HA180" s="59">
        <f t="shared" si="160"/>
        <v>242.62852778451929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>
        <f>EXP(-LN(2)/35)*HG179+(1-EXP(-LN(2)/35))/(LN(2)/35)*HC180*HD180*VLOOKUP('Données projet'!$B$18,Paramètres!$A$1:$I$89,3,0)*0.475*44/12</f>
        <v>0</v>
      </c>
      <c r="HH180" s="21">
        <f>EXP(-LN(2)/25)*HH179+(1-EXP(-LN(2)/25))/(LN(2)/25)*Calculateur!HC180*Calculateur!HE180*VLOOKUP('Données projet'!$B$18,Paramètres!$A$1:$I$89,3,0)*0.475*44/12</f>
        <v>0.17460732843507737</v>
      </c>
      <c r="HI180" s="21">
        <f>EXP(-LN(2)/2)*HI179+(1-EXP(-LN(2)/2))/(LN(2)/2)*HC180*HF180*VLOOKUP('Données projet'!$B$18,Paramètres!$A$1:$I$89,3,0)*0.475*44/12</f>
        <v>8.0569466003800159E-22</v>
      </c>
      <c r="HJ180" s="22">
        <f t="shared" si="190"/>
        <v>0.17460732843507737</v>
      </c>
    </row>
    <row r="181" spans="1:218" x14ac:dyDescent="0.2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158.27759999999984</v>
      </c>
      <c r="D181" s="11">
        <f t="shared" si="140"/>
        <v>40.45377889899725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1534.0667844834863</v>
      </c>
      <c r="H181" s="67">
        <f t="shared" si="110"/>
        <v>639.4571515824199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-2.2737367544323206E-13</v>
      </c>
      <c r="O181" s="13">
        <f>N181*VLOOKUP('Données projet'!$B$9,Paramètres!$A$1:$I$89,3,0)*VLOOKUP('Données projet'!$B$9,Paramètres!$A$1:$I$89,5,0)</f>
        <v>-1.2710188457276673E-13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255.5374979188561</v>
      </c>
      <c r="T181" s="59">
        <f t="shared" si="142"/>
        <v>343.10418468620901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0.16483042616854485</v>
      </c>
      <c r="AA181" s="21">
        <f>EXP(-LN(2)/25)*AA180+(1-EXP(-LN(2)/25))/(LN(2)/25)*Calculateur!V181*Calculateur!X181*VLOOKUP('Données projet'!$B$9,Paramètres!$A$1:$I$89,3,0)*0.475*44/12</f>
        <v>0.26359815363637212</v>
      </c>
      <c r="AB181" s="21">
        <f>EXP(-LN(2)/2)*AB180+(1-EXP(-LN(2)/2))/(LN(2)/2)*V181*Y181*VLOOKUP('Données projet'!$B$9,Paramètres!$A$1:$I$89,3,0)*0.475*44/12</f>
        <v>8.9608254971006107E-23</v>
      </c>
      <c r="AC181" s="22">
        <f t="shared" si="163"/>
        <v>0.428428579804917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1.1368683772161603E-13</v>
      </c>
      <c r="AJ181" s="13">
        <f>AI181*VLOOKUP('Données projet'!$B$10,Paramètres!$A$1:$I$89,3,0)*VLOOKUP('Données projet'!$B$10,Paramètres!$A$1:$I$89,5,0)</f>
        <v>6.3550942286383367E-14</v>
      </c>
      <c r="AK181" s="13">
        <f t="shared" si="164"/>
        <v>1.0064464192543978E-12</v>
      </c>
      <c r="AL181" s="20">
        <f t="shared" si="165"/>
        <v>1.8635787380168604E-12</v>
      </c>
      <c r="AM181" s="59">
        <f t="shared" si="113"/>
        <v>293.33333333333519</v>
      </c>
      <c r="AN181" s="59">
        <f ca="1">AVERAGE(OFFSET($AM$3,0,0,'Données projet'!$E$10+1,1))-AVERAGE(OFFSET($H$3,0,0,'Données projet'!$E$10+1,1))</f>
        <v>224.7049802939942</v>
      </c>
      <c r="AO181" s="59">
        <f t="shared" si="144"/>
        <v>203.48513862195352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0.1190156234594175</v>
      </c>
      <c r="AV181" s="21">
        <f>EXP(-LN(2)/25)*AV180+(1-EXP(-LN(2)/25))/(LN(2)/25)*Calculateur!AQ181*Calculateur!AS181*VLOOKUP('Données projet'!$B$10,Paramètres!$A$1:$I$89,3,0)*0.475*44/12</f>
        <v>0.32246527875602093</v>
      </c>
      <c r="AW181" s="21">
        <f>EXP(-LN(2)/2)*AW180+(1-EXP(-LN(2)/2))/(LN(2)/2)*AQ181*AT181*VLOOKUP('Données projet'!$B$10,Paramètres!$A$1:$I$89,3,0)*0.475*44/12</f>
        <v>4.7437088076457908E-22</v>
      </c>
      <c r="AX181" s="21">
        <f t="shared" si="166"/>
        <v>0.44148090221543845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>
        <f>BD181*VLOOKUP('Données projet'!$B$11,Paramètres!$A$1:$I$89,3,0)*VLOOKUP('Données projet'!$B$11,Paramètres!$A$1:$I$89,5,0)</f>
        <v>0</v>
      </c>
      <c r="BF181" s="13" t="e">
        <f t="shared" si="167"/>
        <v>#NUM!</v>
      </c>
      <c r="BG181" s="20" t="e">
        <f t="shared" si="168"/>
        <v>#NUM!</v>
      </c>
      <c r="BH181" s="59" t="e">
        <f t="shared" si="116"/>
        <v>#NUM!</v>
      </c>
      <c r="BI181" s="59">
        <f ca="1">AVERAGE(OFFSET($BH$3,0,0,'Données projet'!$E$11+1,1))-AVERAGE(OFFSET($H$3,0,0,'Données projet'!$E$11+1,1))</f>
        <v>210.04871822652808</v>
      </c>
      <c r="BJ181" s="59">
        <f t="shared" si="146"/>
        <v>250.17540614049324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0.38945267612780832</v>
      </c>
      <c r="BQ181" s="21">
        <f>EXP(-LN(2)/25)*BQ180+(1-EXP(-LN(2)/25))/(LN(2)/25)*Calculateur!BL181*Calculateur!BN181*VLOOKUP('Données projet'!$B$11,Paramètres!$A$1:$I$89,3,0)*0.475*44/12</f>
        <v>0.4596494740648604</v>
      </c>
      <c r="BR181" s="21">
        <f>EXP(-LN(2)/2)*BR180+(1-EXP(-LN(2)/2))/(LN(2)/2)*BL181*BO181*VLOOKUP('Données projet'!$B$11,Paramètres!$A$1:$I$89,3,0)*0.475*44/12</f>
        <v>1.1410533688743926E-21</v>
      </c>
      <c r="BS181" s="22">
        <f t="shared" si="169"/>
        <v>0.84910215019266877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2.2737367544323206E-13</v>
      </c>
      <c r="BZ181" s="13">
        <f>BY181*VLOOKUP('Données projet'!$B$12,Paramètres!$A$1:$I$89,3,0)*VLOOKUP('Données projet'!$B$12,Paramètres!$A$1:$I$89,5,0)</f>
        <v>1.2414602679200471E-13</v>
      </c>
      <c r="CA181" s="13">
        <f t="shared" si="170"/>
        <v>1.8186582995804361E-12</v>
      </c>
      <c r="CB181" s="20">
        <f t="shared" si="171"/>
        <v>3.3837175350986671E-12</v>
      </c>
      <c r="CC181" s="59">
        <f t="shared" si="119"/>
        <v>293.33333333333672</v>
      </c>
      <c r="CD181" s="59">
        <f ca="1">AVERAGE(OFFSET($CC$3,0,0,'Données projet'!$E$12+1,1))-AVERAGE(OFFSET($H$3,0,0,'Données projet'!$E$12+1,1))</f>
        <v>168.72306536277267</v>
      </c>
      <c r="CE181" s="59">
        <f t="shared" si="148"/>
        <v>203.35476578922339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0.16227194838658685</v>
      </c>
      <c r="CL181" s="21">
        <f>EXP(-LN(2)/25)*CL180+(1-EXP(-LN(2)/25))/(LN(2)/25)*Calculateur!CG181*Calculateur!CI181*VLOOKUP('Données projet'!$B$12,Paramètres!$A$1:$I$89,3,0)*0.475*44/12</f>
        <v>0.37961847558162776</v>
      </c>
      <c r="CM181" s="21">
        <f>EXP(-LN(2)/2)*CM180+(1-EXP(-LN(2)/2))/(LN(2)/2)*CG181*CJ181*VLOOKUP('Données projet'!$B$12,Paramètres!$A$1:$I$89,3,0)*0.475*44/12</f>
        <v>1.0600536137297711E-21</v>
      </c>
      <c r="CN181" s="22">
        <f t="shared" si="172"/>
        <v>0.54189042396821463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1277.6923076923067</v>
      </c>
      <c r="CU181" s="17">
        <f>CT181*VLOOKUP('Données projet'!$B$13,Paramètres!$A$1:$I$89,3,0)*VLOOKUP('Données projet'!$B$13,Paramètres!$A$1:$I$89,5,0)</f>
        <v>614.5699999999996</v>
      </c>
      <c r="CV181" s="13">
        <f t="shared" si="173"/>
        <v>134.13240620831178</v>
      </c>
      <c r="CW181" s="20">
        <f t="shared" si="174"/>
        <v>1303.9900241461421</v>
      </c>
      <c r="CX181" s="59">
        <f t="shared" si="122"/>
        <v>1597.3233574794754</v>
      </c>
      <c r="CY181" s="59">
        <f ca="1">AVERAGE(OFFSET($CX$3,0,0,'Données projet'!$E$13+1,1))-AVERAGE(OFFSET($H$3,0,0,'Données projet'!$E$13+1,1))</f>
        <v>304.15237106473313</v>
      </c>
      <c r="CZ181" s="59">
        <f t="shared" si="150"/>
        <v>120.85458928724336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>
        <f>EXP(-LN(2)/35)*DF180+(1-EXP(-LN(2)/35))/(LN(2)/35)*DB181*DC181*VLOOKUP('Données projet'!$B$13,Paramètres!$A$1:$I$89,3,0)*0.475*44/12</f>
        <v>0</v>
      </c>
      <c r="DG181" s="21">
        <f>EXP(-LN(2)/25)*DG180+(1-EXP(-LN(2)/25))/(LN(2)/25)*Calculateur!DB181*Calculateur!DD181*VLOOKUP('Données projet'!$B$13,Paramètres!$A$1:$I$89,3,0)*0.475*44/12</f>
        <v>0</v>
      </c>
      <c r="DH181" s="21">
        <f>EXP(-LN(2)/2)*DH180+(1-EXP(-LN(2)/2))/(LN(2)/2)*DB181*DE181*VLOOKUP('Données projet'!$B$13,Paramètres!$A$1:$I$89,3,0)*0.475*44/12</f>
        <v>0</v>
      </c>
      <c r="DI181" s="22">
        <f t="shared" si="175"/>
        <v>0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425.38461538461536</v>
      </c>
      <c r="DP181" s="17">
        <f>DO181*VLOOKUP('Données projet'!$B$14,Paramètres!$A$1:$I$89,3,0)*VLOOKUP('Données projet'!$B$14,Paramètres!$A$1:$I$89,5,0)</f>
        <v>204.60999999999999</v>
      </c>
      <c r="DQ181" s="13">
        <f t="shared" si="176"/>
        <v>50.755958577224398</v>
      </c>
      <c r="DR181" s="20">
        <f t="shared" si="177"/>
        <v>444.76237785533249</v>
      </c>
      <c r="DS181" s="59">
        <f t="shared" si="125"/>
        <v>738.09571118866575</v>
      </c>
      <c r="DT181" s="59">
        <f ca="1">AVERAGE(OFFSET($DS$3,0,0,'Données projet'!$E$14+1,1))-AVERAGE(OFFSET($H$3,0,0,'Données projet'!$E$14+1,1))</f>
        <v>91.053246648097399</v>
      </c>
      <c r="DU181" s="59">
        <f t="shared" si="152"/>
        <v>64.716270355703955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>
        <f>EXP(-LN(2)/35)*EA180+(1-EXP(-LN(2)/35))/(LN(2)/35)*DW181*DX181*VLOOKUP('Données projet'!$B$14,Paramètres!$A$1:$I$89,3,0)*0.475*44/12</f>
        <v>0</v>
      </c>
      <c r="EB181" s="21">
        <f>EXP(-LN(2)/25)*EB180+(1-EXP(-LN(2)/25))/(LN(2)/25)*Calculateur!DW181*Calculateur!DY181*VLOOKUP('Données projet'!$B$14,Paramètres!$A$1:$I$89,3,0)*0.475*44/12</f>
        <v>0</v>
      </c>
      <c r="EC181" s="21">
        <f>EXP(-LN(2)/2)*EC180+(1-EXP(-LN(2)/2))/(LN(2)/2)*DW181*DZ181*VLOOKUP('Données projet'!$B$14,Paramètres!$A$1:$I$89,3,0)*0.475*44/12</f>
        <v>0</v>
      </c>
      <c r="ED181" s="22">
        <f t="shared" si="178"/>
        <v>0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553.99999999999955</v>
      </c>
      <c r="EK181" s="17">
        <f>EJ181*VLOOKUP('Données projet'!$B$15,Paramètres!$A$1:$I$89,3,0)*VLOOKUP('Données projet'!$B$15,Paramètres!$A$1:$I$89,5,0)</f>
        <v>331.29199999999975</v>
      </c>
      <c r="EL181" s="13">
        <f t="shared" si="179"/>
        <v>77.698110787752</v>
      </c>
      <c r="EM181" s="20">
        <f t="shared" si="180"/>
        <v>712.32444295533423</v>
      </c>
      <c r="EN181" s="59">
        <f t="shared" si="128"/>
        <v>1005.6577762886675</v>
      </c>
      <c r="EO181" s="59">
        <f ca="1">AVERAGE(OFFSET($EN$3,0,0,'Données projet'!$E$15+1,1))-AVERAGE(OFFSET($H$3,0,0,'Données projet'!$E$15+1,1))</f>
        <v>316.58509520829671</v>
      </c>
      <c r="EP181" s="59">
        <f t="shared" si="154"/>
        <v>240.71332110643596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>
        <f>EXP(-LN(2)/35)*EV180+(1-EXP(-LN(2)/35))/(LN(2)/35)*ER181*ES181*VLOOKUP('Données projet'!$B$15,Paramètres!$A$1:$I$89,3,0)*0.475*44/12</f>
        <v>0.13519902638535544</v>
      </c>
      <c r="EW181" s="21">
        <f>EXP(-LN(2)/25)*EW180+(1-EXP(-LN(2)/25))/(LN(2)/25)*Calculateur!ER181*Calculateur!ET181*VLOOKUP('Données projet'!$B$15,Paramètres!$A$1:$I$89,3,0)*0.475*44/12</f>
        <v>0.25216365602560381</v>
      </c>
      <c r="EX181" s="21">
        <f>EXP(-LN(2)/2)*EX180+(1-EXP(-LN(2)/2))/(LN(2)/2)*ER181*EU181*VLOOKUP('Données projet'!$B$15,Paramètres!$A$1:$I$89,3,0)*0.475*44/12</f>
        <v>1.1614591513452927E-21</v>
      </c>
      <c r="EY181" s="22">
        <f t="shared" si="181"/>
        <v>0.38736268241095928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497</v>
      </c>
      <c r="FF181" s="17">
        <f>FE181*VLOOKUP('Données projet'!$B$16,Paramètres!$A$1:$I$89,3,0)*VLOOKUP('Données projet'!$B$16,Paramètres!$A$1:$I$89,5,0)</f>
        <v>297.20600000000002</v>
      </c>
      <c r="FG181" s="13">
        <f t="shared" si="182"/>
        <v>70.590415164571112</v>
      </c>
      <c r="FH181" s="20">
        <f t="shared" si="183"/>
        <v>640.57875641162809</v>
      </c>
      <c r="FI181" s="59">
        <f t="shared" si="131"/>
        <v>933.91208974496135</v>
      </c>
      <c r="FJ181" s="59">
        <f ca="1">AVERAGE(OFFSET($FI$3,0,0,'Données projet'!$E$16+1,1))-AVERAGE(OFFSET($H$3,0,0,'Données projet'!$E$16+1,1))</f>
        <v>270.30888762640245</v>
      </c>
      <c r="FK181" s="59">
        <f t="shared" si="156"/>
        <v>202.23783851977691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>
        <f>EXP(-LN(2)/35)*FQ180+(1-EXP(-LN(2)/35))/(LN(2)/35)*FM181*FN181*VLOOKUP('Données projet'!$B$16,Paramètres!$A$1:$I$89,3,0)*0.475*44/12</f>
        <v>0.11425269835382139</v>
      </c>
      <c r="FR181" s="21">
        <f>EXP(-LN(2)/25)*FR180+(1-EXP(-LN(2)/25))/(LN(2)/25)*Calculateur!FM181*Calculateur!FO181*VLOOKUP('Données projet'!$B$16,Paramètres!$A$1:$I$89,3,0)*0.475*44/12</f>
        <v>0.20306651328931544</v>
      </c>
      <c r="FS181" s="21">
        <f>EXP(-LN(2)/2)*FS180+(1-EXP(-LN(2)/2))/(LN(2)/2)*FM181*FP181*VLOOKUP('Données projet'!$B$16,Paramètres!$A$1:$I$89,3,0)*0.475*44/12</f>
        <v>9.7899054708822397E-22</v>
      </c>
      <c r="FT181" s="22">
        <f t="shared" si="184"/>
        <v>0.31731921164313681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-5.1159076974727213E-13</v>
      </c>
      <c r="GA181" s="17">
        <f>FZ181*VLOOKUP('Données projet'!$B$17,Paramètres!$A$1:$I$89,3,0)*VLOOKUP('Données projet'!$B$17,Paramètres!$A$1:$I$89,5,0)</f>
        <v>-4.0702161641092972E-13</v>
      </c>
      <c r="GB181" s="13" t="e">
        <f t="shared" si="185"/>
        <v>#NUM!</v>
      </c>
      <c r="GC181" s="20" t="e">
        <f t="shared" si="186"/>
        <v>#NUM!</v>
      </c>
      <c r="GD181" s="59" t="e">
        <f t="shared" si="134"/>
        <v>#NUM!</v>
      </c>
      <c r="GE181" s="59">
        <f ca="1">AVERAGE(OFFSET($GD$3,0,0,'Données projet'!$E$17+1,1))-AVERAGE(OFFSET($H$3,0,0,'Données projet'!$E$17+1,1))</f>
        <v>260.20517190557814</v>
      </c>
      <c r="GF181" s="59">
        <f t="shared" si="158"/>
        <v>307.22009971147133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>
        <f>EXP(-LN(2)/35)*GL180+(1-EXP(-LN(2)/35))/(LN(2)/35)*GH181*GI181*VLOOKUP('Données projet'!$B$17,Paramètres!$A$1:$I$89,3,0)*0.475*44/12</f>
        <v>0.17405598273370826</v>
      </c>
      <c r="GM181" s="21">
        <f>EXP(-LN(2)/25)*GM180+(1-EXP(-LN(2)/25))/(LN(2)/25)*Calculateur!GH181*Calculateur!GJ181*VLOOKUP('Données projet'!$B$17,Paramètres!$A$1:$I$89,3,0)*0.475*44/12</f>
        <v>0.3388998478947326</v>
      </c>
      <c r="GN181" s="21">
        <f>EXP(-LN(2)/2)*GN180+(1-EXP(-LN(2)/2))/(LN(2)/2)*GH181*GK181*VLOOKUP('Données projet'!$B$17,Paramètres!$A$1:$I$89,3,0)*0.475*44/12</f>
        <v>1.2726158770162551E-21</v>
      </c>
      <c r="GO181" s="21">
        <f t="shared" si="187"/>
        <v>0.51295583062844086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5.6843418860808015E-14</v>
      </c>
      <c r="GV181" s="17">
        <f>GU181*VLOOKUP('Données projet'!$B$18,Paramètres!$A$1:$I$89,3,0)*VLOOKUP('Données projet'!$B$18,Paramètres!$A$1:$I$89,5,0)</f>
        <v>4.5224624045658861E-14</v>
      </c>
      <c r="GW181" s="13">
        <f t="shared" si="188"/>
        <v>7.4514601661523691E-13</v>
      </c>
      <c r="GX181" s="20">
        <f t="shared" si="189"/>
        <v>1.3765621991510601E-12</v>
      </c>
      <c r="GY181" s="59">
        <f t="shared" si="137"/>
        <v>293.33333333333468</v>
      </c>
      <c r="GZ181" s="59">
        <f ca="1">AVERAGE(OFFSET($GY$3,0,0,'Données projet'!$E$18+1,1))-AVERAGE(OFFSET($H$3,0,0,'Données projet'!$E$18+1,1))</f>
        <v>199.58763537752952</v>
      </c>
      <c r="HA181" s="59">
        <f t="shared" si="160"/>
        <v>242.62852778451929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>
        <f>EXP(-LN(2)/35)*HG180+(1-EXP(-LN(2)/35))/(LN(2)/35)*HC181*HD181*VLOOKUP('Données projet'!$B$18,Paramètres!$A$1:$I$89,3,0)*0.475*44/12</f>
        <v>0</v>
      </c>
      <c r="HH181" s="21">
        <f>EXP(-LN(2)/25)*HH180+(1-EXP(-LN(2)/25))/(LN(2)/25)*Calculateur!HC181*Calculateur!HE181*VLOOKUP('Données projet'!$B$18,Paramètres!$A$1:$I$89,3,0)*0.475*44/12</f>
        <v>0.16983268185681985</v>
      </c>
      <c r="HI181" s="21">
        <f>EXP(-LN(2)/2)*HI180+(1-EXP(-LN(2)/2))/(LN(2)/2)*HC181*HF181*VLOOKUP('Données projet'!$B$18,Paramètres!$A$1:$I$89,3,0)*0.475*44/12</f>
        <v>5.6971215767866098E-22</v>
      </c>
      <c r="HJ181" s="22">
        <f t="shared" si="190"/>
        <v>0.16983268185681985</v>
      </c>
    </row>
    <row r="182" spans="1:218" x14ac:dyDescent="0.2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159.16679999999982</v>
      </c>
      <c r="D182" s="11">
        <f t="shared" si="140"/>
        <v>40.654527752930711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1542.4804247594639</v>
      </c>
      <c r="H182" s="67">
        <f t="shared" si="110"/>
        <v>641.35547916968733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-2.2737367544323206E-13</v>
      </c>
      <c r="O182" s="13">
        <f>N182*VLOOKUP('Données projet'!$B$9,Paramètres!$A$1:$I$89,3,0)*VLOOKUP('Données projet'!$B$9,Paramètres!$A$1:$I$89,5,0)</f>
        <v>-1.2710188457276673E-13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255.5374979188561</v>
      </c>
      <c r="T182" s="59">
        <f t="shared" si="142"/>
        <v>343.10418468620901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0.16159820204801248</v>
      </c>
      <c r="AA182" s="21">
        <f>EXP(-LN(2)/25)*AA181+(1-EXP(-LN(2)/25))/(LN(2)/25)*Calculateur!V182*Calculateur!X182*VLOOKUP('Données projet'!$B$9,Paramètres!$A$1:$I$89,3,0)*0.475*44/12</f>
        <v>0.25639004826316109</v>
      </c>
      <c r="AB182" s="21">
        <f>EXP(-LN(2)/2)*AB181+(1-EXP(-LN(2)/2))/(LN(2)/2)*V182*Y182*VLOOKUP('Données projet'!$B$9,Paramètres!$A$1:$I$89,3,0)*0.475*44/12</f>
        <v>6.3362604740291573E-23</v>
      </c>
      <c r="AC182" s="22">
        <f t="shared" si="163"/>
        <v>0.41798825031117359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1.1368683772161603E-13</v>
      </c>
      <c r="AJ182" s="13">
        <f>AI182*VLOOKUP('Données projet'!$B$10,Paramètres!$A$1:$I$89,3,0)*VLOOKUP('Données projet'!$B$10,Paramètres!$A$1:$I$89,5,0)</f>
        <v>6.3550942286383367E-14</v>
      </c>
      <c r="AK182" s="13">
        <f t="shared" si="164"/>
        <v>1.0064464192543978E-12</v>
      </c>
      <c r="AL182" s="20">
        <f t="shared" si="165"/>
        <v>1.8635787380168604E-12</v>
      </c>
      <c r="AM182" s="59">
        <f t="shared" si="113"/>
        <v>293.33333333333519</v>
      </c>
      <c r="AN182" s="59">
        <f ca="1">AVERAGE(OFFSET($AM$3,0,0,'Données projet'!$E$10+1,1))-AVERAGE(OFFSET($H$3,0,0,'Données projet'!$E$10+1,1))</f>
        <v>224.7049802939942</v>
      </c>
      <c r="AO182" s="59">
        <f t="shared" si="144"/>
        <v>203.48513862195352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0.11668179967574074</v>
      </c>
      <c r="AV182" s="21">
        <f>EXP(-LN(2)/25)*AV181+(1-EXP(-LN(2)/25))/(LN(2)/25)*Calculateur!AQ182*Calculateur!AS182*VLOOKUP('Données projet'!$B$10,Paramètres!$A$1:$I$89,3,0)*0.475*44/12</f>
        <v>0.31364744875072553</v>
      </c>
      <c r="AW182" s="21">
        <f>EXP(-LN(2)/2)*AW181+(1-EXP(-LN(2)/2))/(LN(2)/2)*AQ182*AT182*VLOOKUP('Données projet'!$B$10,Paramètres!$A$1:$I$89,3,0)*0.475*44/12</f>
        <v>3.3543086658606904E-22</v>
      </c>
      <c r="AX182" s="21">
        <f t="shared" si="166"/>
        <v>0.43032924842646625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>
        <f>BD182*VLOOKUP('Données projet'!$B$11,Paramètres!$A$1:$I$89,3,0)*VLOOKUP('Données projet'!$B$11,Paramètres!$A$1:$I$89,5,0)</f>
        <v>0</v>
      </c>
      <c r="BF182" s="13" t="e">
        <f t="shared" si="167"/>
        <v>#NUM!</v>
      </c>
      <c r="BG182" s="20" t="e">
        <f t="shared" si="168"/>
        <v>#NUM!</v>
      </c>
      <c r="BH182" s="59" t="e">
        <f t="shared" si="116"/>
        <v>#NUM!</v>
      </c>
      <c r="BI182" s="59">
        <f ca="1">AVERAGE(OFFSET($BH$3,0,0,'Données projet'!$E$11+1,1))-AVERAGE(OFFSET($H$3,0,0,'Données projet'!$E$11+1,1))</f>
        <v>210.04871822652808</v>
      </c>
      <c r="BJ182" s="59">
        <f t="shared" si="146"/>
        <v>250.17540614049324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0.38181574669161905</v>
      </c>
      <c r="BQ182" s="21">
        <f>EXP(-LN(2)/25)*BQ181+(1-EXP(-LN(2)/25))/(LN(2)/25)*Calculateur!BL182*Calculateur!BN182*VLOOKUP('Données projet'!$B$11,Paramètres!$A$1:$I$89,3,0)*0.475*44/12</f>
        <v>0.44708033502464151</v>
      </c>
      <c r="BR182" s="21">
        <f>EXP(-LN(2)/2)*BR181+(1-EXP(-LN(2)/2))/(LN(2)/2)*BL182*BO182*VLOOKUP('Données projet'!$B$11,Paramètres!$A$1:$I$89,3,0)*0.475*44/12</f>
        <v>8.0684657482683807E-22</v>
      </c>
      <c r="BS182" s="22">
        <f t="shared" si="169"/>
        <v>0.8288960817162605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2.2737367544323206E-13</v>
      </c>
      <c r="BZ182" s="13">
        <f>BY182*VLOOKUP('Données projet'!$B$12,Paramètres!$A$1:$I$89,3,0)*VLOOKUP('Données projet'!$B$12,Paramètres!$A$1:$I$89,5,0)</f>
        <v>1.2414602679200471E-13</v>
      </c>
      <c r="CA182" s="13">
        <f t="shared" si="170"/>
        <v>1.8186582995804361E-12</v>
      </c>
      <c r="CB182" s="20">
        <f t="shared" si="171"/>
        <v>3.3837175350986671E-12</v>
      </c>
      <c r="CC182" s="59">
        <f t="shared" si="119"/>
        <v>293.33333333333672</v>
      </c>
      <c r="CD182" s="59">
        <f ca="1">AVERAGE(OFFSET($CC$3,0,0,'Données projet'!$E$12+1,1))-AVERAGE(OFFSET($H$3,0,0,'Données projet'!$E$12+1,1))</f>
        <v>168.72306536277267</v>
      </c>
      <c r="CE182" s="59">
        <f t="shared" si="148"/>
        <v>203.35476578922339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0.15908989445484131</v>
      </c>
      <c r="CL182" s="21">
        <f>EXP(-LN(2)/25)*CL181+(1-EXP(-LN(2)/25))/(LN(2)/25)*Calculateur!CG182*Calculateur!CI182*VLOOKUP('Données projet'!$B$12,Paramètres!$A$1:$I$89,3,0)*0.475*44/12</f>
        <v>0.36923778840358012</v>
      </c>
      <c r="CM182" s="21">
        <f>EXP(-LN(2)/2)*CM181+(1-EXP(-LN(2)/2))/(LN(2)/2)*CG182*CJ182*VLOOKUP('Données projet'!$B$12,Paramètres!$A$1:$I$89,3,0)*0.475*44/12</f>
        <v>7.4957109868962623E-22</v>
      </c>
      <c r="CN182" s="22">
        <f t="shared" si="172"/>
        <v>0.52832768285842147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1277.6923076923067</v>
      </c>
      <c r="CU182" s="17">
        <f>CT182*VLOOKUP('Données projet'!$B$13,Paramètres!$A$1:$I$89,3,0)*VLOOKUP('Données projet'!$B$13,Paramètres!$A$1:$I$89,5,0)</f>
        <v>614.5699999999996</v>
      </c>
      <c r="CV182" s="13">
        <f t="shared" si="173"/>
        <v>134.13240620831178</v>
      </c>
      <c r="CW182" s="20">
        <f t="shared" si="174"/>
        <v>1303.9900241461421</v>
      </c>
      <c r="CX182" s="59">
        <f t="shared" si="122"/>
        <v>1597.3233574794754</v>
      </c>
      <c r="CY182" s="59">
        <f ca="1">AVERAGE(OFFSET($CX$3,0,0,'Données projet'!$E$13+1,1))-AVERAGE(OFFSET($H$3,0,0,'Données projet'!$E$13+1,1))</f>
        <v>304.15237106473313</v>
      </c>
      <c r="CZ182" s="59">
        <f t="shared" si="150"/>
        <v>120.85458928724336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>
        <f>EXP(-LN(2)/35)*DF181+(1-EXP(-LN(2)/35))/(LN(2)/35)*DB182*DC182*VLOOKUP('Données projet'!$B$13,Paramètres!$A$1:$I$89,3,0)*0.475*44/12</f>
        <v>0</v>
      </c>
      <c r="DG182" s="21">
        <f>EXP(-LN(2)/25)*DG181+(1-EXP(-LN(2)/25))/(LN(2)/25)*Calculateur!DB182*Calculateur!DD182*VLOOKUP('Données projet'!$B$13,Paramètres!$A$1:$I$89,3,0)*0.475*44/12</f>
        <v>0</v>
      </c>
      <c r="DH182" s="21">
        <f>EXP(-LN(2)/2)*DH181+(1-EXP(-LN(2)/2))/(LN(2)/2)*DB182*DE182*VLOOKUP('Données projet'!$B$13,Paramètres!$A$1:$I$89,3,0)*0.475*44/12</f>
        <v>0</v>
      </c>
      <c r="DI182" s="22">
        <f t="shared" si="175"/>
        <v>0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425.38461538461536</v>
      </c>
      <c r="DP182" s="17">
        <f>DO182*VLOOKUP('Données projet'!$B$14,Paramètres!$A$1:$I$89,3,0)*VLOOKUP('Données projet'!$B$14,Paramètres!$A$1:$I$89,5,0)</f>
        <v>204.60999999999999</v>
      </c>
      <c r="DQ182" s="13">
        <f t="shared" si="176"/>
        <v>50.755958577224398</v>
      </c>
      <c r="DR182" s="20">
        <f t="shared" si="177"/>
        <v>444.76237785533249</v>
      </c>
      <c r="DS182" s="59">
        <f t="shared" si="125"/>
        <v>738.09571118866575</v>
      </c>
      <c r="DT182" s="59">
        <f ca="1">AVERAGE(OFFSET($DS$3,0,0,'Données projet'!$E$14+1,1))-AVERAGE(OFFSET($H$3,0,0,'Données projet'!$E$14+1,1))</f>
        <v>91.053246648097399</v>
      </c>
      <c r="DU182" s="59">
        <f t="shared" si="152"/>
        <v>64.716270355703955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>
        <f>EXP(-LN(2)/35)*EA181+(1-EXP(-LN(2)/35))/(LN(2)/35)*DW182*DX182*VLOOKUP('Données projet'!$B$14,Paramètres!$A$1:$I$89,3,0)*0.475*44/12</f>
        <v>0</v>
      </c>
      <c r="EB182" s="21">
        <f>EXP(-LN(2)/25)*EB181+(1-EXP(-LN(2)/25))/(LN(2)/25)*Calculateur!DW182*Calculateur!DY182*VLOOKUP('Données projet'!$B$14,Paramètres!$A$1:$I$89,3,0)*0.475*44/12</f>
        <v>0</v>
      </c>
      <c r="EC182" s="21">
        <f>EXP(-LN(2)/2)*EC181+(1-EXP(-LN(2)/2))/(LN(2)/2)*DW182*DZ182*VLOOKUP('Données projet'!$B$14,Paramètres!$A$1:$I$89,3,0)*0.475*44/12</f>
        <v>0</v>
      </c>
      <c r="ED182" s="22">
        <f t="shared" si="178"/>
        <v>0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553.99999999999955</v>
      </c>
      <c r="EK182" s="17">
        <f>EJ182*VLOOKUP('Données projet'!$B$15,Paramètres!$A$1:$I$89,3,0)*VLOOKUP('Données projet'!$B$15,Paramètres!$A$1:$I$89,5,0)</f>
        <v>331.29199999999975</v>
      </c>
      <c r="EL182" s="13">
        <f t="shared" si="179"/>
        <v>77.698110787752</v>
      </c>
      <c r="EM182" s="20">
        <f t="shared" si="180"/>
        <v>712.32444295533423</v>
      </c>
      <c r="EN182" s="59">
        <f t="shared" si="128"/>
        <v>1005.6577762886675</v>
      </c>
      <c r="EO182" s="59">
        <f ca="1">AVERAGE(OFFSET($EN$3,0,0,'Données projet'!$E$15+1,1))-AVERAGE(OFFSET($H$3,0,0,'Données projet'!$E$15+1,1))</f>
        <v>316.58509520829671</v>
      </c>
      <c r="EP182" s="59">
        <f t="shared" si="154"/>
        <v>240.71332110643596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>
        <f>EXP(-LN(2)/35)*EV181+(1-EXP(-LN(2)/35))/(LN(2)/35)*ER182*ES182*VLOOKUP('Données projet'!$B$15,Paramètres!$A$1:$I$89,3,0)*0.475*44/12</f>
        <v>0.13254785594120214</v>
      </c>
      <c r="EW182" s="21">
        <f>EXP(-LN(2)/25)*EW181+(1-EXP(-LN(2)/25))/(LN(2)/25)*Calculateur!ER182*Calculateur!ET182*VLOOKUP('Données projet'!$B$15,Paramètres!$A$1:$I$89,3,0)*0.475*44/12</f>
        <v>0.24526822759087333</v>
      </c>
      <c r="EX182" s="21">
        <f>EXP(-LN(2)/2)*EX181+(1-EXP(-LN(2)/2))/(LN(2)/2)*ER182*EU182*VLOOKUP('Données projet'!$B$15,Paramètres!$A$1:$I$89,3,0)*0.475*44/12</f>
        <v>8.2127564198742911E-22</v>
      </c>
      <c r="EY182" s="22">
        <f t="shared" si="181"/>
        <v>0.37781608353207546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497</v>
      </c>
      <c r="FF182" s="17">
        <f>FE182*VLOOKUP('Données projet'!$B$16,Paramètres!$A$1:$I$89,3,0)*VLOOKUP('Données projet'!$B$16,Paramètres!$A$1:$I$89,5,0)</f>
        <v>297.20600000000002</v>
      </c>
      <c r="FG182" s="13">
        <f t="shared" si="182"/>
        <v>70.590415164571112</v>
      </c>
      <c r="FH182" s="20">
        <f t="shared" si="183"/>
        <v>640.57875641162809</v>
      </c>
      <c r="FI182" s="59">
        <f t="shared" si="131"/>
        <v>933.91208974496135</v>
      </c>
      <c r="FJ182" s="59">
        <f ca="1">AVERAGE(OFFSET($FI$3,0,0,'Données projet'!$E$16+1,1))-AVERAGE(OFFSET($H$3,0,0,'Données projet'!$E$16+1,1))</f>
        <v>270.30888762640245</v>
      </c>
      <c r="FK182" s="59">
        <f t="shared" si="156"/>
        <v>202.23783851977691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>
        <f>EXP(-LN(2)/35)*FQ181+(1-EXP(-LN(2)/35))/(LN(2)/35)*FM182*FN182*VLOOKUP('Données projet'!$B$16,Paramètres!$A$1:$I$89,3,0)*0.475*44/12</f>
        <v>0.1120122726263679</v>
      </c>
      <c r="FR182" s="21">
        <f>EXP(-LN(2)/25)*FR181+(1-EXP(-LN(2)/25))/(LN(2)/25)*Calculateur!FM182*Calculateur!FO182*VLOOKUP('Données projet'!$B$16,Paramètres!$A$1:$I$89,3,0)*0.475*44/12</f>
        <v>0.19751364880461528</v>
      </c>
      <c r="FS182" s="21">
        <f>EXP(-LN(2)/2)*FS181+(1-EXP(-LN(2)/2))/(LN(2)/2)*FM182*FP182*VLOOKUP('Données projet'!$B$16,Paramètres!$A$1:$I$89,3,0)*0.475*44/12</f>
        <v>6.9225085456361124E-22</v>
      </c>
      <c r="FT182" s="22">
        <f t="shared" si="184"/>
        <v>0.30952592143098318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-5.1159076974727213E-13</v>
      </c>
      <c r="GA182" s="17">
        <f>FZ182*VLOOKUP('Données projet'!$B$17,Paramètres!$A$1:$I$89,3,0)*VLOOKUP('Données projet'!$B$17,Paramètres!$A$1:$I$89,5,0)</f>
        <v>-4.0702161641092972E-13</v>
      </c>
      <c r="GB182" s="13" t="e">
        <f t="shared" si="185"/>
        <v>#NUM!</v>
      </c>
      <c r="GC182" s="20" t="e">
        <f t="shared" si="186"/>
        <v>#NUM!</v>
      </c>
      <c r="GD182" s="59" t="e">
        <f t="shared" si="134"/>
        <v>#NUM!</v>
      </c>
      <c r="GE182" s="59">
        <f ca="1">AVERAGE(OFFSET($GD$3,0,0,'Données projet'!$E$17+1,1))-AVERAGE(OFFSET($H$3,0,0,'Données projet'!$E$17+1,1))</f>
        <v>260.20517190557814</v>
      </c>
      <c r="GF182" s="59">
        <f t="shared" si="158"/>
        <v>307.22009971147133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>
        <f>EXP(-LN(2)/35)*GL181+(1-EXP(-LN(2)/35))/(LN(2)/35)*GH182*GI182*VLOOKUP('Données projet'!$B$17,Paramètres!$A$1:$I$89,3,0)*0.475*44/12</f>
        <v>0.17064285107596691</v>
      </c>
      <c r="GM182" s="21">
        <f>EXP(-LN(2)/25)*GM181+(1-EXP(-LN(2)/25))/(LN(2)/25)*Calculateur!GH182*Calculateur!GJ182*VLOOKUP('Données projet'!$B$17,Paramètres!$A$1:$I$89,3,0)*0.475*44/12</f>
        <v>0.32963261373208269</v>
      </c>
      <c r="GN182" s="21">
        <f>EXP(-LN(2)/2)*GN181+(1-EXP(-LN(2)/2))/(LN(2)/2)*GH182*GK182*VLOOKUP('Données projet'!$B$17,Paramètres!$A$1:$I$89,3,0)*0.475*44/12</f>
        <v>8.9987531648385936E-22</v>
      </c>
      <c r="GO182" s="21">
        <f t="shared" si="187"/>
        <v>0.50027546480804963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5.6843418860808015E-14</v>
      </c>
      <c r="GV182" s="17">
        <f>GU182*VLOOKUP('Données projet'!$B$18,Paramètres!$A$1:$I$89,3,0)*VLOOKUP('Données projet'!$B$18,Paramètres!$A$1:$I$89,5,0)</f>
        <v>4.5224624045658861E-14</v>
      </c>
      <c r="GW182" s="13">
        <f t="shared" si="188"/>
        <v>7.4514601661523691E-13</v>
      </c>
      <c r="GX182" s="20">
        <f t="shared" si="189"/>
        <v>1.3765621991510601E-12</v>
      </c>
      <c r="GY182" s="59">
        <f t="shared" si="137"/>
        <v>293.33333333333468</v>
      </c>
      <c r="GZ182" s="59">
        <f ca="1">AVERAGE(OFFSET($GY$3,0,0,'Données projet'!$E$18+1,1))-AVERAGE(OFFSET($H$3,0,0,'Données projet'!$E$18+1,1))</f>
        <v>199.58763537752952</v>
      </c>
      <c r="HA182" s="59">
        <f t="shared" si="160"/>
        <v>242.62852778451929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>
        <f>EXP(-LN(2)/35)*HG181+(1-EXP(-LN(2)/35))/(LN(2)/35)*HC182*HD182*VLOOKUP('Données projet'!$B$18,Paramètres!$A$1:$I$89,3,0)*0.475*44/12</f>
        <v>0</v>
      </c>
      <c r="HH182" s="21">
        <f>EXP(-LN(2)/25)*HH181+(1-EXP(-LN(2)/25))/(LN(2)/25)*Calculateur!HC182*Calculateur!HE182*VLOOKUP('Données projet'!$B$18,Paramètres!$A$1:$I$89,3,0)*0.475*44/12</f>
        <v>0.16518859824033252</v>
      </c>
      <c r="HI182" s="21">
        <f>EXP(-LN(2)/2)*HI181+(1-EXP(-LN(2)/2))/(LN(2)/2)*HC182*HF182*VLOOKUP('Données projet'!$B$18,Paramètres!$A$1:$I$89,3,0)*0.475*44/12</f>
        <v>4.0284733001900079E-22</v>
      </c>
      <c r="HJ182" s="22">
        <f t="shared" si="190"/>
        <v>0.16518859824033252</v>
      </c>
    </row>
    <row r="183" spans="1:218" x14ac:dyDescent="0.2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160.05599999999981</v>
      </c>
      <c r="D183" s="11">
        <f t="shared" si="140"/>
        <v>40.855146105751388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1550.8930576584305</v>
      </c>
      <c r="H183" s="67">
        <f t="shared" si="110"/>
        <v>643.2535794675166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-2.2737367544323206E-13</v>
      </c>
      <c r="O183" s="13">
        <f>N183*VLOOKUP('Données projet'!$B$9,Paramètres!$A$1:$I$89,3,0)*VLOOKUP('Données projet'!$B$9,Paramètres!$A$1:$I$89,5,0)</f>
        <v>-1.2710188457276673E-13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255.5374979188561</v>
      </c>
      <c r="T183" s="59">
        <f t="shared" si="142"/>
        <v>343.10418468620901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0.15842935987102169</v>
      </c>
      <c r="AA183" s="21">
        <f>EXP(-LN(2)/25)*AA182+(1-EXP(-LN(2)/25))/(LN(2)/25)*Calculateur!V183*Calculateur!X183*VLOOKUP('Données projet'!$B$9,Paramètres!$A$1:$I$89,3,0)*0.475*44/12</f>
        <v>0.2493790489104383</v>
      </c>
      <c r="AB183" s="21">
        <f>EXP(-LN(2)/2)*AB182+(1-EXP(-LN(2)/2))/(LN(2)/2)*V183*Y183*VLOOKUP('Données projet'!$B$9,Paramètres!$A$1:$I$89,3,0)*0.475*44/12</f>
        <v>4.4804127485503053E-23</v>
      </c>
      <c r="AC183" s="22">
        <f t="shared" si="163"/>
        <v>0.40780840878145996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1.1368683772161603E-13</v>
      </c>
      <c r="AJ183" s="13">
        <f>AI183*VLOOKUP('Données projet'!$B$10,Paramètres!$A$1:$I$89,3,0)*VLOOKUP('Données projet'!$B$10,Paramètres!$A$1:$I$89,5,0)</f>
        <v>6.3550942286383367E-14</v>
      </c>
      <c r="AK183" s="13">
        <f t="shared" si="164"/>
        <v>1.0064464192543978E-12</v>
      </c>
      <c r="AL183" s="20">
        <f t="shared" si="165"/>
        <v>1.8635787380168604E-12</v>
      </c>
      <c r="AM183" s="59">
        <f t="shared" si="113"/>
        <v>293.33333333333519</v>
      </c>
      <c r="AN183" s="59">
        <f ca="1">AVERAGE(OFFSET($AM$3,0,0,'Données projet'!$E$10+1,1))-AVERAGE(OFFSET($H$3,0,0,'Données projet'!$E$10+1,1))</f>
        <v>224.7049802939942</v>
      </c>
      <c r="AO183" s="59">
        <f t="shared" si="144"/>
        <v>203.48513862195352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0.11439374075296993</v>
      </c>
      <c r="AV183" s="21">
        <f>EXP(-LN(2)/25)*AV182+(1-EXP(-LN(2)/25))/(LN(2)/25)*Calculateur!AQ183*Calculateur!AS183*VLOOKUP('Données projet'!$B$10,Paramètres!$A$1:$I$89,3,0)*0.475*44/12</f>
        <v>0.30507074277063445</v>
      </c>
      <c r="AW183" s="21">
        <f>EXP(-LN(2)/2)*AW182+(1-EXP(-LN(2)/2))/(LN(2)/2)*AQ183*AT183*VLOOKUP('Données projet'!$B$10,Paramètres!$A$1:$I$89,3,0)*0.475*44/12</f>
        <v>2.3718544038228954E-22</v>
      </c>
      <c r="AX183" s="21">
        <f t="shared" si="166"/>
        <v>0.41946448352360438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>
        <f>BD183*VLOOKUP('Données projet'!$B$11,Paramètres!$A$1:$I$89,3,0)*VLOOKUP('Données projet'!$B$11,Paramètres!$A$1:$I$89,5,0)</f>
        <v>0</v>
      </c>
      <c r="BF183" s="13" t="e">
        <f t="shared" si="167"/>
        <v>#NUM!</v>
      </c>
      <c r="BG183" s="20" t="e">
        <f t="shared" si="168"/>
        <v>#NUM!</v>
      </c>
      <c r="BH183" s="59" t="e">
        <f t="shared" si="116"/>
        <v>#NUM!</v>
      </c>
      <c r="BI183" s="59">
        <f ca="1">AVERAGE(OFFSET($BH$3,0,0,'Données projet'!$E$11+1,1))-AVERAGE(OFFSET($H$3,0,0,'Données projet'!$E$11+1,1))</f>
        <v>210.04871822652808</v>
      </c>
      <c r="BJ183" s="59">
        <f t="shared" si="146"/>
        <v>250.17540614049324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0.37432857278360643</v>
      </c>
      <c r="BQ183" s="21">
        <f>EXP(-LN(2)/25)*BQ182+(1-EXP(-LN(2)/25))/(LN(2)/25)*Calculateur!BL183*Calculateur!BN183*VLOOKUP('Données projet'!$B$11,Paramètres!$A$1:$I$89,3,0)*0.475*44/12</f>
        <v>0.43485489975245967</v>
      </c>
      <c r="BR183" s="21">
        <f>EXP(-LN(2)/2)*BR182+(1-EXP(-LN(2)/2))/(LN(2)/2)*BL183*BO183*VLOOKUP('Données projet'!$B$11,Paramètres!$A$1:$I$89,3,0)*0.475*44/12</f>
        <v>5.7052668443719632E-22</v>
      </c>
      <c r="BS183" s="22">
        <f t="shared" si="169"/>
        <v>0.80918347253606604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2.2737367544323206E-13</v>
      </c>
      <c r="BZ183" s="13">
        <f>BY183*VLOOKUP('Données projet'!$B$12,Paramètres!$A$1:$I$89,3,0)*VLOOKUP('Données projet'!$B$12,Paramètres!$A$1:$I$89,5,0)</f>
        <v>1.2414602679200471E-13</v>
      </c>
      <c r="CA183" s="13">
        <f t="shared" si="170"/>
        <v>1.8186582995804361E-12</v>
      </c>
      <c r="CB183" s="20">
        <f t="shared" si="171"/>
        <v>3.3837175350986671E-12</v>
      </c>
      <c r="CC183" s="59">
        <f t="shared" si="119"/>
        <v>293.33333333333672</v>
      </c>
      <c r="CD183" s="59">
        <f ca="1">AVERAGE(OFFSET($CC$3,0,0,'Données projet'!$E$12+1,1))-AVERAGE(OFFSET($H$3,0,0,'Données projet'!$E$12+1,1))</f>
        <v>168.72306536277267</v>
      </c>
      <c r="CE183" s="59">
        <f t="shared" si="148"/>
        <v>203.35476578922339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0.15597023865983606</v>
      </c>
      <c r="CL183" s="21">
        <f>EXP(-LN(2)/25)*CL182+(1-EXP(-LN(2)/25))/(LN(2)/25)*Calculateur!CG183*Calculateur!CI183*VLOOKUP('Données projet'!$B$12,Paramètres!$A$1:$I$89,3,0)*0.475*44/12</f>
        <v>0.35914096166231285</v>
      </c>
      <c r="CM183" s="21">
        <f>EXP(-LN(2)/2)*CM182+(1-EXP(-LN(2)/2))/(LN(2)/2)*CG183*CJ183*VLOOKUP('Données projet'!$B$12,Paramètres!$A$1:$I$89,3,0)*0.475*44/12</f>
        <v>5.3002680686488554E-22</v>
      </c>
      <c r="CN183" s="22">
        <f t="shared" si="172"/>
        <v>0.51511120032214897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1277.6923076923067</v>
      </c>
      <c r="CU183" s="17">
        <f>CT183*VLOOKUP('Données projet'!$B$13,Paramètres!$A$1:$I$89,3,0)*VLOOKUP('Données projet'!$B$13,Paramètres!$A$1:$I$89,5,0)</f>
        <v>614.5699999999996</v>
      </c>
      <c r="CV183" s="13">
        <f t="shared" si="173"/>
        <v>134.13240620831178</v>
      </c>
      <c r="CW183" s="20">
        <f t="shared" si="174"/>
        <v>1303.9900241461421</v>
      </c>
      <c r="CX183" s="59">
        <f t="shared" si="122"/>
        <v>1597.3233574794754</v>
      </c>
      <c r="CY183" s="59">
        <f ca="1">AVERAGE(OFFSET($CX$3,0,0,'Données projet'!$E$13+1,1))-AVERAGE(OFFSET($H$3,0,0,'Données projet'!$E$13+1,1))</f>
        <v>304.15237106473313</v>
      </c>
      <c r="CZ183" s="59">
        <f t="shared" si="150"/>
        <v>120.85458928724336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>
        <f>EXP(-LN(2)/35)*DF182+(1-EXP(-LN(2)/35))/(LN(2)/35)*DB183*DC183*VLOOKUP('Données projet'!$B$13,Paramètres!$A$1:$I$89,3,0)*0.475*44/12</f>
        <v>0</v>
      </c>
      <c r="DG183" s="21">
        <f>EXP(-LN(2)/25)*DG182+(1-EXP(-LN(2)/25))/(LN(2)/25)*Calculateur!DB183*Calculateur!DD183*VLOOKUP('Données projet'!$B$13,Paramètres!$A$1:$I$89,3,0)*0.475*44/12</f>
        <v>0</v>
      </c>
      <c r="DH183" s="21">
        <f>EXP(-LN(2)/2)*DH182+(1-EXP(-LN(2)/2))/(LN(2)/2)*DB183*DE183*VLOOKUP('Données projet'!$B$13,Paramètres!$A$1:$I$89,3,0)*0.475*44/12</f>
        <v>0</v>
      </c>
      <c r="DI183" s="22">
        <f t="shared" si="175"/>
        <v>0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425.38461538461536</v>
      </c>
      <c r="DP183" s="17">
        <f>DO183*VLOOKUP('Données projet'!$B$14,Paramètres!$A$1:$I$89,3,0)*VLOOKUP('Données projet'!$B$14,Paramètres!$A$1:$I$89,5,0)</f>
        <v>204.60999999999999</v>
      </c>
      <c r="DQ183" s="13">
        <f t="shared" si="176"/>
        <v>50.755958577224398</v>
      </c>
      <c r="DR183" s="20">
        <f t="shared" si="177"/>
        <v>444.76237785533249</v>
      </c>
      <c r="DS183" s="59">
        <f t="shared" si="125"/>
        <v>738.09571118866575</v>
      </c>
      <c r="DT183" s="59">
        <f ca="1">AVERAGE(OFFSET($DS$3,0,0,'Données projet'!$E$14+1,1))-AVERAGE(OFFSET($H$3,0,0,'Données projet'!$E$14+1,1))</f>
        <v>91.053246648097399</v>
      </c>
      <c r="DU183" s="59">
        <f t="shared" si="152"/>
        <v>64.716270355703955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>
        <f>EXP(-LN(2)/35)*EA182+(1-EXP(-LN(2)/35))/(LN(2)/35)*DW183*DX183*VLOOKUP('Données projet'!$B$14,Paramètres!$A$1:$I$89,3,0)*0.475*44/12</f>
        <v>0</v>
      </c>
      <c r="EB183" s="21">
        <f>EXP(-LN(2)/25)*EB182+(1-EXP(-LN(2)/25))/(LN(2)/25)*Calculateur!DW183*Calculateur!DY183*VLOOKUP('Données projet'!$B$14,Paramètres!$A$1:$I$89,3,0)*0.475*44/12</f>
        <v>0</v>
      </c>
      <c r="EC183" s="21">
        <f>EXP(-LN(2)/2)*EC182+(1-EXP(-LN(2)/2))/(LN(2)/2)*DW183*DZ183*VLOOKUP('Données projet'!$B$14,Paramètres!$A$1:$I$89,3,0)*0.475*44/12</f>
        <v>0</v>
      </c>
      <c r="ED183" s="22">
        <f t="shared" si="178"/>
        <v>0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553.99999999999955</v>
      </c>
      <c r="EK183" s="17">
        <f>EJ183*VLOOKUP('Données projet'!$B$15,Paramètres!$A$1:$I$89,3,0)*VLOOKUP('Données projet'!$B$15,Paramètres!$A$1:$I$89,5,0)</f>
        <v>331.29199999999975</v>
      </c>
      <c r="EL183" s="13">
        <f t="shared" si="179"/>
        <v>77.698110787752</v>
      </c>
      <c r="EM183" s="20">
        <f t="shared" si="180"/>
        <v>712.32444295533423</v>
      </c>
      <c r="EN183" s="59">
        <f t="shared" si="128"/>
        <v>1005.6577762886675</v>
      </c>
      <c r="EO183" s="59">
        <f ca="1">AVERAGE(OFFSET($EN$3,0,0,'Données projet'!$E$15+1,1))-AVERAGE(OFFSET($H$3,0,0,'Données projet'!$E$15+1,1))</f>
        <v>316.58509520829671</v>
      </c>
      <c r="EP183" s="59">
        <f t="shared" si="154"/>
        <v>240.71332110643596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>
        <f>EXP(-LN(2)/35)*EV182+(1-EXP(-LN(2)/35))/(LN(2)/35)*ER183*ES183*VLOOKUP('Données projet'!$B$15,Paramètres!$A$1:$I$89,3,0)*0.475*44/12</f>
        <v>0.1299486733324044</v>
      </c>
      <c r="EW183" s="21">
        <f>EXP(-LN(2)/25)*EW182+(1-EXP(-LN(2)/25))/(LN(2)/25)*Calculateur!ER183*Calculateur!ET183*VLOOKUP('Données projet'!$B$15,Paramètres!$A$1:$I$89,3,0)*0.475*44/12</f>
        <v>0.23856135500930536</v>
      </c>
      <c r="EX183" s="21">
        <f>EXP(-LN(2)/2)*EX182+(1-EXP(-LN(2)/2))/(LN(2)/2)*ER183*EU183*VLOOKUP('Données projet'!$B$15,Paramètres!$A$1:$I$89,3,0)*0.475*44/12</f>
        <v>5.8072957567264637E-22</v>
      </c>
      <c r="EY183" s="22">
        <f t="shared" si="181"/>
        <v>0.36851002834170976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497</v>
      </c>
      <c r="FF183" s="17">
        <f>FE183*VLOOKUP('Données projet'!$B$16,Paramètres!$A$1:$I$89,3,0)*VLOOKUP('Données projet'!$B$16,Paramètres!$A$1:$I$89,5,0)</f>
        <v>297.20600000000002</v>
      </c>
      <c r="FG183" s="13">
        <f t="shared" si="182"/>
        <v>70.590415164571112</v>
      </c>
      <c r="FH183" s="20">
        <f t="shared" si="183"/>
        <v>640.57875641162809</v>
      </c>
      <c r="FI183" s="59">
        <f t="shared" si="131"/>
        <v>933.91208974496135</v>
      </c>
      <c r="FJ183" s="59">
        <f ca="1">AVERAGE(OFFSET($FI$3,0,0,'Données projet'!$E$16+1,1))-AVERAGE(OFFSET($H$3,0,0,'Données projet'!$E$16+1,1))</f>
        <v>270.30888762640245</v>
      </c>
      <c r="FK183" s="59">
        <f t="shared" si="156"/>
        <v>202.23783851977691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>
        <f>EXP(-LN(2)/35)*FQ182+(1-EXP(-LN(2)/35))/(LN(2)/35)*FM183*FN183*VLOOKUP('Données projet'!$B$16,Paramètres!$A$1:$I$89,3,0)*0.475*44/12</f>
        <v>0.10981578028090501</v>
      </c>
      <c r="FR183" s="21">
        <f>EXP(-LN(2)/25)*FR182+(1-EXP(-LN(2)/25))/(LN(2)/25)*Calculateur!FM183*Calculateur!FO183*VLOOKUP('Données projet'!$B$16,Paramètres!$A$1:$I$89,3,0)*0.475*44/12</f>
        <v>0.19211262769126169</v>
      </c>
      <c r="FS183" s="21">
        <f>EXP(-LN(2)/2)*FS182+(1-EXP(-LN(2)/2))/(LN(2)/2)*FM183*FP183*VLOOKUP('Données projet'!$B$16,Paramètres!$A$1:$I$89,3,0)*0.475*44/12</f>
        <v>4.8949527354411198E-22</v>
      </c>
      <c r="FT183" s="22">
        <f t="shared" si="184"/>
        <v>0.30192840797216669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-5.1159076974727213E-13</v>
      </c>
      <c r="GA183" s="17">
        <f>FZ183*VLOOKUP('Données projet'!$B$17,Paramètres!$A$1:$I$89,3,0)*VLOOKUP('Données projet'!$B$17,Paramètres!$A$1:$I$89,5,0)</f>
        <v>-4.0702161641092972E-13</v>
      </c>
      <c r="GB183" s="13" t="e">
        <f t="shared" si="185"/>
        <v>#NUM!</v>
      </c>
      <c r="GC183" s="20" t="e">
        <f t="shared" si="186"/>
        <v>#NUM!</v>
      </c>
      <c r="GD183" s="59" t="e">
        <f t="shared" si="134"/>
        <v>#NUM!</v>
      </c>
      <c r="GE183" s="59">
        <f ca="1">AVERAGE(OFFSET($GD$3,0,0,'Données projet'!$E$17+1,1))-AVERAGE(OFFSET($H$3,0,0,'Données projet'!$E$17+1,1))</f>
        <v>260.20517190557814</v>
      </c>
      <c r="GF183" s="59">
        <f t="shared" si="158"/>
        <v>307.22009971147133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>
        <f>EXP(-LN(2)/35)*GL182+(1-EXP(-LN(2)/35))/(LN(2)/35)*GH183*GI183*VLOOKUP('Données projet'!$B$17,Paramètres!$A$1:$I$89,3,0)*0.475*44/12</f>
        <v>0.16729664884822912</v>
      </c>
      <c r="GM183" s="21">
        <f>EXP(-LN(2)/25)*GM182+(1-EXP(-LN(2)/25))/(LN(2)/25)*Calculateur!GH183*Calculateur!GJ183*VLOOKUP('Données projet'!$B$17,Paramètres!$A$1:$I$89,3,0)*0.475*44/12</f>
        <v>0.32061879257495313</v>
      </c>
      <c r="GN183" s="21">
        <f>EXP(-LN(2)/2)*GN182+(1-EXP(-LN(2)/2))/(LN(2)/2)*GH183*GK183*VLOOKUP('Données projet'!$B$17,Paramètres!$A$1:$I$89,3,0)*0.475*44/12</f>
        <v>6.3630793850812755E-22</v>
      </c>
      <c r="GO183" s="21">
        <f t="shared" si="187"/>
        <v>0.48791544142318222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5.6843418860808015E-14</v>
      </c>
      <c r="GV183" s="17">
        <f>GU183*VLOOKUP('Données projet'!$B$18,Paramètres!$A$1:$I$89,3,0)*VLOOKUP('Données projet'!$B$18,Paramètres!$A$1:$I$89,5,0)</f>
        <v>4.5224624045658861E-14</v>
      </c>
      <c r="GW183" s="13">
        <f t="shared" si="188"/>
        <v>7.4514601661523691E-13</v>
      </c>
      <c r="GX183" s="20">
        <f t="shared" si="189"/>
        <v>1.3765621991510601E-12</v>
      </c>
      <c r="GY183" s="59">
        <f t="shared" si="137"/>
        <v>293.33333333333468</v>
      </c>
      <c r="GZ183" s="59">
        <f ca="1">AVERAGE(OFFSET($GY$3,0,0,'Données projet'!$E$18+1,1))-AVERAGE(OFFSET($H$3,0,0,'Données projet'!$E$18+1,1))</f>
        <v>199.58763537752952</v>
      </c>
      <c r="HA183" s="59">
        <f t="shared" si="160"/>
        <v>242.62852778451929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>
        <f>EXP(-LN(2)/35)*HG182+(1-EXP(-LN(2)/35))/(LN(2)/35)*HC183*HD183*VLOOKUP('Données projet'!$B$18,Paramètres!$A$1:$I$89,3,0)*0.475*44/12</f>
        <v>0</v>
      </c>
      <c r="HH183" s="21">
        <f>EXP(-LN(2)/25)*HH182+(1-EXP(-LN(2)/25))/(LN(2)/25)*Calculateur!HC183*Calculateur!HE183*VLOOKUP('Données projet'!$B$18,Paramètres!$A$1:$I$89,3,0)*0.475*44/12</f>
        <v>0.16067150733455979</v>
      </c>
      <c r="HI183" s="21">
        <f>EXP(-LN(2)/2)*HI182+(1-EXP(-LN(2)/2))/(LN(2)/2)*HC183*HF183*VLOOKUP('Données projet'!$B$18,Paramètres!$A$1:$I$89,3,0)*0.475*44/12</f>
        <v>2.8485607883933049E-22</v>
      </c>
      <c r="HJ183" s="22">
        <f t="shared" si="190"/>
        <v>0.16067150733455979</v>
      </c>
    </row>
    <row r="184" spans="1:218" x14ac:dyDescent="0.2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160.9451999999998</v>
      </c>
      <c r="D184" s="11">
        <f t="shared" si="140"/>
        <v>41.055634766602871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1559.3046894264069</v>
      </c>
      <c r="H184" s="67">
        <f t="shared" si="110"/>
        <v>645.15145388516635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-2.2737367544323206E-13</v>
      </c>
      <c r="O184" s="13">
        <f>N184*VLOOKUP('Données projet'!$B$9,Paramètres!$A$1:$I$89,3,0)*VLOOKUP('Données projet'!$B$9,Paramètres!$A$1:$I$89,5,0)</f>
        <v>-1.2710188457276673E-13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255.5374979188561</v>
      </c>
      <c r="T184" s="59">
        <f t="shared" si="142"/>
        <v>343.10418468620901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0.15532265675631882</v>
      </c>
      <c r="AA184" s="21">
        <f>EXP(-LN(2)/25)*AA183+(1-EXP(-LN(2)/25))/(LN(2)/25)*Calculateur!V184*Calculateur!X184*VLOOKUP('Données projet'!$B$9,Paramètres!$A$1:$I$89,3,0)*0.475*44/12</f>
        <v>0.24255976570370816</v>
      </c>
      <c r="AB184" s="21">
        <f>EXP(-LN(2)/2)*AB183+(1-EXP(-LN(2)/2))/(LN(2)/2)*V184*Y184*VLOOKUP('Données projet'!$B$9,Paramètres!$A$1:$I$89,3,0)*0.475*44/12</f>
        <v>3.1681302370145787E-23</v>
      </c>
      <c r="AC184" s="22">
        <f t="shared" si="163"/>
        <v>0.39788242246002697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1.1368683772161603E-13</v>
      </c>
      <c r="AJ184" s="13">
        <f>AI184*VLOOKUP('Données projet'!$B$10,Paramètres!$A$1:$I$89,3,0)*VLOOKUP('Données projet'!$B$10,Paramètres!$A$1:$I$89,5,0)</f>
        <v>6.3550942286383367E-14</v>
      </c>
      <c r="AK184" s="13">
        <f t="shared" si="164"/>
        <v>1.0064464192543978E-12</v>
      </c>
      <c r="AL184" s="20">
        <f t="shared" si="165"/>
        <v>1.8635787380168604E-12</v>
      </c>
      <c r="AM184" s="59">
        <f t="shared" si="113"/>
        <v>293.33333333333519</v>
      </c>
      <c r="AN184" s="59">
        <f ca="1">AVERAGE(OFFSET($AM$3,0,0,'Données projet'!$E$10+1,1))-AVERAGE(OFFSET($H$3,0,0,'Données projet'!$E$10+1,1))</f>
        <v>224.7049802939942</v>
      </c>
      <c r="AO184" s="59">
        <f t="shared" si="144"/>
        <v>203.48513862195352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0.1121505492700965</v>
      </c>
      <c r="AV184" s="21">
        <f>EXP(-LN(2)/25)*AV183+(1-EXP(-LN(2)/25))/(LN(2)/25)*Calculateur!AQ184*Calculateur!AS184*VLOOKUP('Données projet'!$B$10,Paramètres!$A$1:$I$89,3,0)*0.475*44/12</f>
        <v>0.29672856726659835</v>
      </c>
      <c r="AW184" s="21">
        <f>EXP(-LN(2)/2)*AW183+(1-EXP(-LN(2)/2))/(LN(2)/2)*AQ184*AT184*VLOOKUP('Données projet'!$B$10,Paramètres!$A$1:$I$89,3,0)*0.475*44/12</f>
        <v>1.6771543329303452E-22</v>
      </c>
      <c r="AX184" s="21">
        <f t="shared" si="166"/>
        <v>0.40887911653669484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>
        <f>BD184*VLOOKUP('Données projet'!$B$11,Paramètres!$A$1:$I$89,3,0)*VLOOKUP('Données projet'!$B$11,Paramètres!$A$1:$I$89,5,0)</f>
        <v>0</v>
      </c>
      <c r="BF184" s="13" t="e">
        <f t="shared" si="167"/>
        <v>#NUM!</v>
      </c>
      <c r="BG184" s="20" t="e">
        <f t="shared" si="168"/>
        <v>#NUM!</v>
      </c>
      <c r="BH184" s="59" t="e">
        <f t="shared" si="116"/>
        <v>#NUM!</v>
      </c>
      <c r="BI184" s="59">
        <f ca="1">AVERAGE(OFFSET($BH$3,0,0,'Données projet'!$E$11+1,1))-AVERAGE(OFFSET($H$3,0,0,'Données projet'!$E$11+1,1))</f>
        <v>210.04871822652808</v>
      </c>
      <c r="BJ184" s="59">
        <f t="shared" si="146"/>
        <v>250.17540614049324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0.36698821778920476</v>
      </c>
      <c r="BQ184" s="21">
        <f>EXP(-LN(2)/25)*BQ183+(1-EXP(-LN(2)/25))/(LN(2)/25)*Calculateur!BL184*Calculateur!BN184*VLOOKUP('Données projet'!$B$11,Paramètres!$A$1:$I$89,3,0)*0.475*44/12</f>
        <v>0.42296376965070337</v>
      </c>
      <c r="BR184" s="21">
        <f>EXP(-LN(2)/2)*BR183+(1-EXP(-LN(2)/2))/(LN(2)/2)*BL184*BO184*VLOOKUP('Données projet'!$B$11,Paramètres!$A$1:$I$89,3,0)*0.475*44/12</f>
        <v>4.0342328741341904E-22</v>
      </c>
      <c r="BS184" s="22">
        <f t="shared" si="169"/>
        <v>0.78995198743990813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2.2737367544323206E-13</v>
      </c>
      <c r="BZ184" s="13">
        <f>BY184*VLOOKUP('Données projet'!$B$12,Paramètres!$A$1:$I$89,3,0)*VLOOKUP('Données projet'!$B$12,Paramètres!$A$1:$I$89,5,0)</f>
        <v>1.2414602679200471E-13</v>
      </c>
      <c r="CA184" s="13">
        <f t="shared" si="170"/>
        <v>1.8186582995804361E-12</v>
      </c>
      <c r="CB184" s="20">
        <f t="shared" si="171"/>
        <v>3.3837175350986671E-12</v>
      </c>
      <c r="CC184" s="59">
        <f t="shared" si="119"/>
        <v>293.33333333333672</v>
      </c>
      <c r="CD184" s="59">
        <f ca="1">AVERAGE(OFFSET($CC$3,0,0,'Données projet'!$E$12+1,1))-AVERAGE(OFFSET($H$3,0,0,'Données projet'!$E$12+1,1))</f>
        <v>168.72306536277267</v>
      </c>
      <c r="CE184" s="59">
        <f t="shared" si="148"/>
        <v>203.35476578922339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0.1529117574121687</v>
      </c>
      <c r="CL184" s="21">
        <f>EXP(-LN(2)/25)*CL183+(1-EXP(-LN(2)/25))/(LN(2)/25)*Calculateur!CG184*Calculateur!CI184*VLOOKUP('Données projet'!$B$12,Paramètres!$A$1:$I$89,3,0)*0.475*44/12</f>
        <v>0.34932023317925454</v>
      </c>
      <c r="CM184" s="21">
        <f>EXP(-LN(2)/2)*CM183+(1-EXP(-LN(2)/2))/(LN(2)/2)*CG184*CJ184*VLOOKUP('Données projet'!$B$12,Paramètres!$A$1:$I$89,3,0)*0.475*44/12</f>
        <v>3.7478554934481311E-22</v>
      </c>
      <c r="CN184" s="22">
        <f t="shared" si="172"/>
        <v>0.50223199059142321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1277.6923076923067</v>
      </c>
      <c r="CU184" s="17">
        <f>CT184*VLOOKUP('Données projet'!$B$13,Paramètres!$A$1:$I$89,3,0)*VLOOKUP('Données projet'!$B$13,Paramètres!$A$1:$I$89,5,0)</f>
        <v>614.5699999999996</v>
      </c>
      <c r="CV184" s="13">
        <f t="shared" si="173"/>
        <v>134.13240620831178</v>
      </c>
      <c r="CW184" s="20">
        <f t="shared" si="174"/>
        <v>1303.9900241461421</v>
      </c>
      <c r="CX184" s="59">
        <f t="shared" si="122"/>
        <v>1597.3233574794754</v>
      </c>
      <c r="CY184" s="59">
        <f ca="1">AVERAGE(OFFSET($CX$3,0,0,'Données projet'!$E$13+1,1))-AVERAGE(OFFSET($H$3,0,0,'Données projet'!$E$13+1,1))</f>
        <v>304.15237106473313</v>
      </c>
      <c r="CZ184" s="59">
        <f t="shared" si="150"/>
        <v>120.85458928724336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>
        <f>EXP(-LN(2)/35)*DF183+(1-EXP(-LN(2)/35))/(LN(2)/35)*DB184*DC184*VLOOKUP('Données projet'!$B$13,Paramètres!$A$1:$I$89,3,0)*0.475*44/12</f>
        <v>0</v>
      </c>
      <c r="DG184" s="21">
        <f>EXP(-LN(2)/25)*DG183+(1-EXP(-LN(2)/25))/(LN(2)/25)*Calculateur!DB184*Calculateur!DD184*VLOOKUP('Données projet'!$B$13,Paramètres!$A$1:$I$89,3,0)*0.475*44/12</f>
        <v>0</v>
      </c>
      <c r="DH184" s="21">
        <f>EXP(-LN(2)/2)*DH183+(1-EXP(-LN(2)/2))/(LN(2)/2)*DB184*DE184*VLOOKUP('Données projet'!$B$13,Paramètres!$A$1:$I$89,3,0)*0.475*44/12</f>
        <v>0</v>
      </c>
      <c r="DI184" s="22">
        <f t="shared" si="175"/>
        <v>0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425.38461538461536</v>
      </c>
      <c r="DP184" s="17">
        <f>DO184*VLOOKUP('Données projet'!$B$14,Paramètres!$A$1:$I$89,3,0)*VLOOKUP('Données projet'!$B$14,Paramètres!$A$1:$I$89,5,0)</f>
        <v>204.60999999999999</v>
      </c>
      <c r="DQ184" s="13">
        <f t="shared" si="176"/>
        <v>50.755958577224398</v>
      </c>
      <c r="DR184" s="20">
        <f t="shared" si="177"/>
        <v>444.76237785533249</v>
      </c>
      <c r="DS184" s="59">
        <f t="shared" si="125"/>
        <v>738.09571118866575</v>
      </c>
      <c r="DT184" s="59">
        <f ca="1">AVERAGE(OFFSET($DS$3,0,0,'Données projet'!$E$14+1,1))-AVERAGE(OFFSET($H$3,0,0,'Données projet'!$E$14+1,1))</f>
        <v>91.053246648097399</v>
      </c>
      <c r="DU184" s="59">
        <f t="shared" si="152"/>
        <v>64.716270355703955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>
        <f>EXP(-LN(2)/35)*EA183+(1-EXP(-LN(2)/35))/(LN(2)/35)*DW184*DX184*VLOOKUP('Données projet'!$B$14,Paramètres!$A$1:$I$89,3,0)*0.475*44/12</f>
        <v>0</v>
      </c>
      <c r="EB184" s="21">
        <f>EXP(-LN(2)/25)*EB183+(1-EXP(-LN(2)/25))/(LN(2)/25)*Calculateur!DW184*Calculateur!DY184*VLOOKUP('Données projet'!$B$14,Paramètres!$A$1:$I$89,3,0)*0.475*44/12</f>
        <v>0</v>
      </c>
      <c r="EC184" s="21">
        <f>EXP(-LN(2)/2)*EC183+(1-EXP(-LN(2)/2))/(LN(2)/2)*DW184*DZ184*VLOOKUP('Données projet'!$B$14,Paramètres!$A$1:$I$89,3,0)*0.475*44/12</f>
        <v>0</v>
      </c>
      <c r="ED184" s="22">
        <f t="shared" si="178"/>
        <v>0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553.99999999999955</v>
      </c>
      <c r="EK184" s="17">
        <f>EJ184*VLOOKUP('Données projet'!$B$15,Paramètres!$A$1:$I$89,3,0)*VLOOKUP('Données projet'!$B$15,Paramètres!$A$1:$I$89,5,0)</f>
        <v>331.29199999999975</v>
      </c>
      <c r="EL184" s="13">
        <f t="shared" si="179"/>
        <v>77.698110787752</v>
      </c>
      <c r="EM184" s="20">
        <f t="shared" si="180"/>
        <v>712.32444295533423</v>
      </c>
      <c r="EN184" s="59">
        <f t="shared" si="128"/>
        <v>1005.6577762886675</v>
      </c>
      <c r="EO184" s="59">
        <f ca="1">AVERAGE(OFFSET($EN$3,0,0,'Données projet'!$E$15+1,1))-AVERAGE(OFFSET($H$3,0,0,'Données projet'!$E$15+1,1))</f>
        <v>316.58509520829671</v>
      </c>
      <c r="EP184" s="59">
        <f t="shared" si="154"/>
        <v>240.71332110643596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>
        <f>EXP(-LN(2)/35)*EV183+(1-EXP(-LN(2)/35))/(LN(2)/35)*ER184*ES184*VLOOKUP('Données projet'!$B$15,Paramètres!$A$1:$I$89,3,0)*0.475*44/12</f>
        <v>0.12740045910922032</v>
      </c>
      <c r="EW184" s="21">
        <f>EXP(-LN(2)/25)*EW183+(1-EXP(-LN(2)/25))/(LN(2)/25)*Calculateur!ER184*Calculateur!ET184*VLOOKUP('Données projet'!$B$15,Paramètres!$A$1:$I$89,3,0)*0.475*44/12</f>
        <v>0.23203788221117949</v>
      </c>
      <c r="EX184" s="21">
        <f>EXP(-LN(2)/2)*EX183+(1-EXP(-LN(2)/2))/(LN(2)/2)*ER184*EU184*VLOOKUP('Données projet'!$B$15,Paramètres!$A$1:$I$89,3,0)*0.475*44/12</f>
        <v>4.1063782099371456E-22</v>
      </c>
      <c r="EY184" s="22">
        <f t="shared" si="181"/>
        <v>0.35943834132039981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497</v>
      </c>
      <c r="FF184" s="17">
        <f>FE184*VLOOKUP('Données projet'!$B$16,Paramètres!$A$1:$I$89,3,0)*VLOOKUP('Données projet'!$B$16,Paramètres!$A$1:$I$89,5,0)</f>
        <v>297.20600000000002</v>
      </c>
      <c r="FG184" s="13">
        <f t="shared" si="182"/>
        <v>70.590415164571112</v>
      </c>
      <c r="FH184" s="20">
        <f t="shared" si="183"/>
        <v>640.57875641162809</v>
      </c>
      <c r="FI184" s="59">
        <f t="shared" si="131"/>
        <v>933.91208974496135</v>
      </c>
      <c r="FJ184" s="59">
        <f ca="1">AVERAGE(OFFSET($FI$3,0,0,'Données projet'!$E$16+1,1))-AVERAGE(OFFSET($H$3,0,0,'Données projet'!$E$16+1,1))</f>
        <v>270.30888762640245</v>
      </c>
      <c r="FK184" s="59">
        <f t="shared" si="156"/>
        <v>202.23783851977691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>
        <f>EXP(-LN(2)/35)*FQ183+(1-EXP(-LN(2)/35))/(LN(2)/35)*FM184*FN184*VLOOKUP('Données projet'!$B$16,Paramètres!$A$1:$I$89,3,0)*0.475*44/12</f>
        <v>0.10766235981060861</v>
      </c>
      <c r="FR184" s="21">
        <f>EXP(-LN(2)/25)*FR183+(1-EXP(-LN(2)/25))/(LN(2)/25)*Calculateur!FM184*Calculateur!FO184*VLOOKUP('Données projet'!$B$16,Paramètres!$A$1:$I$89,3,0)*0.475*44/12</f>
        <v>0.18685929778428012</v>
      </c>
      <c r="FS184" s="21">
        <f>EXP(-LN(2)/2)*FS183+(1-EXP(-LN(2)/2))/(LN(2)/2)*FM184*FP184*VLOOKUP('Données projet'!$B$16,Paramètres!$A$1:$I$89,3,0)*0.475*44/12</f>
        <v>3.4612542728180562E-22</v>
      </c>
      <c r="FT184" s="22">
        <f t="shared" si="184"/>
        <v>0.29452165759488874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-5.1159076974727213E-13</v>
      </c>
      <c r="GA184" s="17">
        <f>FZ184*VLOOKUP('Données projet'!$B$17,Paramètres!$A$1:$I$89,3,0)*VLOOKUP('Données projet'!$B$17,Paramètres!$A$1:$I$89,5,0)</f>
        <v>-4.0702161641092972E-13</v>
      </c>
      <c r="GB184" s="13" t="e">
        <f t="shared" si="185"/>
        <v>#NUM!</v>
      </c>
      <c r="GC184" s="20" t="e">
        <f t="shared" si="186"/>
        <v>#NUM!</v>
      </c>
      <c r="GD184" s="59" t="e">
        <f t="shared" si="134"/>
        <v>#NUM!</v>
      </c>
      <c r="GE184" s="59">
        <f ca="1">AVERAGE(OFFSET($GD$3,0,0,'Données projet'!$E$17+1,1))-AVERAGE(OFFSET($H$3,0,0,'Données projet'!$E$17+1,1))</f>
        <v>260.20517190557814</v>
      </c>
      <c r="GF184" s="59">
        <f t="shared" si="158"/>
        <v>307.22009971147133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>
        <f>EXP(-LN(2)/35)*GL183+(1-EXP(-LN(2)/35))/(LN(2)/35)*GH184*GI184*VLOOKUP('Données projet'!$B$17,Paramètres!$A$1:$I$89,3,0)*0.475*44/12</f>
        <v>0.16401606360519544</v>
      </c>
      <c r="GM184" s="21">
        <f>EXP(-LN(2)/25)*GM183+(1-EXP(-LN(2)/25))/(LN(2)/25)*Calculateur!GH184*Calculateur!GJ184*VLOOKUP('Données projet'!$B$17,Paramètres!$A$1:$I$89,3,0)*0.475*44/12</f>
        <v>0.31185145483138149</v>
      </c>
      <c r="GN184" s="21">
        <f>EXP(-LN(2)/2)*GN183+(1-EXP(-LN(2)/2))/(LN(2)/2)*GH184*GK184*VLOOKUP('Données projet'!$B$17,Paramètres!$A$1:$I$89,3,0)*0.475*44/12</f>
        <v>4.4993765824192968E-22</v>
      </c>
      <c r="GO184" s="21">
        <f t="shared" si="187"/>
        <v>0.47586751843657693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5.6843418860808015E-14</v>
      </c>
      <c r="GV184" s="17">
        <f>GU184*VLOOKUP('Données projet'!$B$18,Paramètres!$A$1:$I$89,3,0)*VLOOKUP('Données projet'!$B$18,Paramètres!$A$1:$I$89,5,0)</f>
        <v>4.5224624045658861E-14</v>
      </c>
      <c r="GW184" s="13">
        <f t="shared" si="188"/>
        <v>7.4514601661523691E-13</v>
      </c>
      <c r="GX184" s="20">
        <f t="shared" si="189"/>
        <v>1.3765621991510601E-12</v>
      </c>
      <c r="GY184" s="59">
        <f t="shared" si="137"/>
        <v>293.33333333333468</v>
      </c>
      <c r="GZ184" s="59">
        <f ca="1">AVERAGE(OFFSET($GY$3,0,0,'Données projet'!$E$18+1,1))-AVERAGE(OFFSET($H$3,0,0,'Données projet'!$E$18+1,1))</f>
        <v>199.58763537752952</v>
      </c>
      <c r="HA184" s="59">
        <f t="shared" si="160"/>
        <v>242.62852778451929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>
        <f>EXP(-LN(2)/35)*HG183+(1-EXP(-LN(2)/35))/(LN(2)/35)*HC184*HD184*VLOOKUP('Données projet'!$B$18,Paramètres!$A$1:$I$89,3,0)*0.475*44/12</f>
        <v>0</v>
      </c>
      <c r="HH184" s="21">
        <f>EXP(-LN(2)/25)*HH183+(1-EXP(-LN(2)/25))/(LN(2)/25)*Calculateur!HC184*Calculateur!HE184*VLOOKUP('Données projet'!$B$18,Paramètres!$A$1:$I$89,3,0)*0.475*44/12</f>
        <v>0.15627793651714889</v>
      </c>
      <c r="HI184" s="21">
        <f>EXP(-LN(2)/2)*HI183+(1-EXP(-LN(2)/2))/(LN(2)/2)*HC184*HF184*VLOOKUP('Données projet'!$B$18,Paramètres!$A$1:$I$89,3,0)*0.475*44/12</f>
        <v>2.014236650095004E-22</v>
      </c>
      <c r="HJ184" s="22">
        <f t="shared" si="190"/>
        <v>0.15627793651714889</v>
      </c>
    </row>
    <row r="185" spans="1:218" x14ac:dyDescent="0.2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161.83439999999979</v>
      </c>
      <c r="D185" s="11">
        <f t="shared" si="140"/>
        <v>41.255994535170444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1567.7153262364018</v>
      </c>
      <c r="H185" s="67">
        <f t="shared" si="110"/>
        <v>647.0491038154214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-2.2737367544323206E-13</v>
      </c>
      <c r="O185" s="13">
        <f>N185*VLOOKUP('Données projet'!$B$9,Paramètres!$A$1:$I$89,3,0)*VLOOKUP('Données projet'!$B$9,Paramètres!$A$1:$I$89,5,0)</f>
        <v>-1.2710188457276673E-13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255.5374979188561</v>
      </c>
      <c r="T185" s="59">
        <f t="shared" si="142"/>
        <v>343.10418468620901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0.15227687419479347</v>
      </c>
      <c r="AA185" s="21">
        <f>EXP(-LN(2)/25)*AA184+(1-EXP(-LN(2)/25))/(LN(2)/25)*Calculateur!V185*Calculateur!X185*VLOOKUP('Données projet'!$B$9,Paramètres!$A$1:$I$89,3,0)*0.475*44/12</f>
        <v>0.23592695615487655</v>
      </c>
      <c r="AB185" s="21">
        <f>EXP(-LN(2)/2)*AB184+(1-EXP(-LN(2)/2))/(LN(2)/2)*V185*Y185*VLOOKUP('Données projet'!$B$9,Paramètres!$A$1:$I$89,3,0)*0.475*44/12</f>
        <v>2.2402063742751527E-23</v>
      </c>
      <c r="AC185" s="22">
        <f t="shared" si="163"/>
        <v>0.38820383034966999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1.1368683772161603E-13</v>
      </c>
      <c r="AJ185" s="13">
        <f>AI185*VLOOKUP('Données projet'!$B$10,Paramètres!$A$1:$I$89,3,0)*VLOOKUP('Données projet'!$B$10,Paramètres!$A$1:$I$89,5,0)</f>
        <v>6.3550942286383367E-14</v>
      </c>
      <c r="AK185" s="13">
        <f t="shared" si="164"/>
        <v>1.0064464192543978E-12</v>
      </c>
      <c r="AL185" s="20">
        <f t="shared" si="165"/>
        <v>1.8635787380168604E-12</v>
      </c>
      <c r="AM185" s="59">
        <f t="shared" si="113"/>
        <v>293.33333333333519</v>
      </c>
      <c r="AN185" s="59">
        <f ca="1">AVERAGE(OFFSET($AM$3,0,0,'Données projet'!$E$10+1,1))-AVERAGE(OFFSET($H$3,0,0,'Données projet'!$E$10+1,1))</f>
        <v>224.7049802939942</v>
      </c>
      <c r="AO185" s="59">
        <f t="shared" si="144"/>
        <v>203.48513862195352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0.10995134540399053</v>
      </c>
      <c r="AV185" s="21">
        <f>EXP(-LN(2)/25)*AV184+(1-EXP(-LN(2)/25))/(LN(2)/25)*Calculateur!AQ185*Calculateur!AS185*VLOOKUP('Données projet'!$B$10,Paramètres!$A$1:$I$89,3,0)*0.475*44/12</f>
        <v>0.28861450899041607</v>
      </c>
      <c r="AW185" s="21">
        <f>EXP(-LN(2)/2)*AW184+(1-EXP(-LN(2)/2))/(LN(2)/2)*AQ185*AT185*VLOOKUP('Données projet'!$B$10,Paramètres!$A$1:$I$89,3,0)*0.475*44/12</f>
        <v>1.1859272019114477E-22</v>
      </c>
      <c r="AX185" s="21">
        <f t="shared" si="166"/>
        <v>0.39856585439440662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>
        <f>BD185*VLOOKUP('Données projet'!$B$11,Paramètres!$A$1:$I$89,3,0)*VLOOKUP('Données projet'!$B$11,Paramètres!$A$1:$I$89,5,0)</f>
        <v>0</v>
      </c>
      <c r="BF185" s="13" t="e">
        <f t="shared" si="167"/>
        <v>#NUM!</v>
      </c>
      <c r="BG185" s="20" t="e">
        <f t="shared" si="168"/>
        <v>#NUM!</v>
      </c>
      <c r="BH185" s="59" t="e">
        <f t="shared" si="116"/>
        <v>#NUM!</v>
      </c>
      <c r="BI185" s="59">
        <f ca="1">AVERAGE(OFFSET($BH$3,0,0,'Données projet'!$E$11+1,1))-AVERAGE(OFFSET($H$3,0,0,'Données projet'!$E$11+1,1))</f>
        <v>210.04871822652808</v>
      </c>
      <c r="BJ185" s="59">
        <f t="shared" si="146"/>
        <v>250.17540614049324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0.35979180267906885</v>
      </c>
      <c r="BQ185" s="21">
        <f>EXP(-LN(2)/25)*BQ184+(1-EXP(-LN(2)/25))/(LN(2)/25)*Calculateur!BL185*Calculateur!BN185*VLOOKUP('Données projet'!$B$11,Paramètres!$A$1:$I$89,3,0)*0.475*44/12</f>
        <v>0.41139780312690694</v>
      </c>
      <c r="BR185" s="21">
        <f>EXP(-LN(2)/2)*BR184+(1-EXP(-LN(2)/2))/(LN(2)/2)*BL185*BO185*VLOOKUP('Données projet'!$B$11,Paramètres!$A$1:$I$89,3,0)*0.475*44/12</f>
        <v>2.8526334221859816E-22</v>
      </c>
      <c r="BS185" s="22">
        <f t="shared" si="169"/>
        <v>0.77118960580597573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2.2737367544323206E-13</v>
      </c>
      <c r="BZ185" s="13">
        <f>BY185*VLOOKUP('Données projet'!$B$12,Paramètres!$A$1:$I$89,3,0)*VLOOKUP('Données projet'!$B$12,Paramètres!$A$1:$I$89,5,0)</f>
        <v>1.2414602679200471E-13</v>
      </c>
      <c r="CA185" s="13">
        <f t="shared" si="170"/>
        <v>1.8186582995804361E-12</v>
      </c>
      <c r="CB185" s="20">
        <f t="shared" si="171"/>
        <v>3.3837175350986671E-12</v>
      </c>
      <c r="CC185" s="59">
        <f t="shared" si="119"/>
        <v>293.33333333333672</v>
      </c>
      <c r="CD185" s="59">
        <f ca="1">AVERAGE(OFFSET($CC$3,0,0,'Données projet'!$E$12+1,1))-AVERAGE(OFFSET($H$3,0,0,'Données projet'!$E$12+1,1))</f>
        <v>168.72306536277267</v>
      </c>
      <c r="CE185" s="59">
        <f t="shared" si="148"/>
        <v>203.35476578922339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0.14991325111627873</v>
      </c>
      <c r="CL185" s="21">
        <f>EXP(-LN(2)/25)*CL184+(1-EXP(-LN(2)/25))/(LN(2)/25)*Calculateur!CG185*Calculateur!CI185*VLOOKUP('Données projet'!$B$12,Paramètres!$A$1:$I$89,3,0)*0.475*44/12</f>
        <v>0.33976805303301516</v>
      </c>
      <c r="CM185" s="21">
        <f>EXP(-LN(2)/2)*CM184+(1-EXP(-LN(2)/2))/(LN(2)/2)*CG185*CJ185*VLOOKUP('Données projet'!$B$12,Paramètres!$A$1:$I$89,3,0)*0.475*44/12</f>
        <v>2.6501340343244277E-22</v>
      </c>
      <c r="CN185" s="22">
        <f t="shared" si="172"/>
        <v>0.48968130414929389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1277.6923076923067</v>
      </c>
      <c r="CU185" s="17">
        <f>CT185*VLOOKUP('Données projet'!$B$13,Paramètres!$A$1:$I$89,3,0)*VLOOKUP('Données projet'!$B$13,Paramètres!$A$1:$I$89,5,0)</f>
        <v>614.5699999999996</v>
      </c>
      <c r="CV185" s="13">
        <f t="shared" si="173"/>
        <v>134.13240620831178</v>
      </c>
      <c r="CW185" s="20">
        <f t="shared" si="174"/>
        <v>1303.9900241461421</v>
      </c>
      <c r="CX185" s="59">
        <f t="shared" si="122"/>
        <v>1597.3233574794754</v>
      </c>
      <c r="CY185" s="59">
        <f ca="1">AVERAGE(OFFSET($CX$3,0,0,'Données projet'!$E$13+1,1))-AVERAGE(OFFSET($H$3,0,0,'Données projet'!$E$13+1,1))</f>
        <v>304.15237106473313</v>
      </c>
      <c r="CZ185" s="59">
        <f t="shared" si="150"/>
        <v>120.85458928724336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>
        <f>EXP(-LN(2)/35)*DF184+(1-EXP(-LN(2)/35))/(LN(2)/35)*DB185*DC185*VLOOKUP('Données projet'!$B$13,Paramètres!$A$1:$I$89,3,0)*0.475*44/12</f>
        <v>0</v>
      </c>
      <c r="DG185" s="21">
        <f>EXP(-LN(2)/25)*DG184+(1-EXP(-LN(2)/25))/(LN(2)/25)*Calculateur!DB185*Calculateur!DD185*VLOOKUP('Données projet'!$B$13,Paramètres!$A$1:$I$89,3,0)*0.475*44/12</f>
        <v>0</v>
      </c>
      <c r="DH185" s="21">
        <f>EXP(-LN(2)/2)*DH184+(1-EXP(-LN(2)/2))/(LN(2)/2)*DB185*DE185*VLOOKUP('Données projet'!$B$13,Paramètres!$A$1:$I$89,3,0)*0.475*44/12</f>
        <v>0</v>
      </c>
      <c r="DI185" s="22">
        <f t="shared" si="175"/>
        <v>0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425.38461538461536</v>
      </c>
      <c r="DP185" s="17">
        <f>DO185*VLOOKUP('Données projet'!$B$14,Paramètres!$A$1:$I$89,3,0)*VLOOKUP('Données projet'!$B$14,Paramètres!$A$1:$I$89,5,0)</f>
        <v>204.60999999999999</v>
      </c>
      <c r="DQ185" s="13">
        <f t="shared" si="176"/>
        <v>50.755958577224398</v>
      </c>
      <c r="DR185" s="20">
        <f t="shared" si="177"/>
        <v>444.76237785533249</v>
      </c>
      <c r="DS185" s="59">
        <f t="shared" si="125"/>
        <v>738.09571118866575</v>
      </c>
      <c r="DT185" s="59">
        <f ca="1">AVERAGE(OFFSET($DS$3,0,0,'Données projet'!$E$14+1,1))-AVERAGE(OFFSET($H$3,0,0,'Données projet'!$E$14+1,1))</f>
        <v>91.053246648097399</v>
      </c>
      <c r="DU185" s="59">
        <f t="shared" si="152"/>
        <v>64.716270355703955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>
        <f>EXP(-LN(2)/35)*EA184+(1-EXP(-LN(2)/35))/(LN(2)/35)*DW185*DX185*VLOOKUP('Données projet'!$B$14,Paramètres!$A$1:$I$89,3,0)*0.475*44/12</f>
        <v>0</v>
      </c>
      <c r="EB185" s="21">
        <f>EXP(-LN(2)/25)*EB184+(1-EXP(-LN(2)/25))/(LN(2)/25)*Calculateur!DW185*Calculateur!DY185*VLOOKUP('Données projet'!$B$14,Paramètres!$A$1:$I$89,3,0)*0.475*44/12</f>
        <v>0</v>
      </c>
      <c r="EC185" s="21">
        <f>EXP(-LN(2)/2)*EC184+(1-EXP(-LN(2)/2))/(LN(2)/2)*DW185*DZ185*VLOOKUP('Données projet'!$B$14,Paramètres!$A$1:$I$89,3,0)*0.475*44/12</f>
        <v>0</v>
      </c>
      <c r="ED185" s="22">
        <f t="shared" si="178"/>
        <v>0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553.99999999999955</v>
      </c>
      <c r="EK185" s="17">
        <f>EJ185*VLOOKUP('Données projet'!$B$15,Paramètres!$A$1:$I$89,3,0)*VLOOKUP('Données projet'!$B$15,Paramètres!$A$1:$I$89,5,0)</f>
        <v>331.29199999999975</v>
      </c>
      <c r="EL185" s="13">
        <f t="shared" si="179"/>
        <v>77.698110787752</v>
      </c>
      <c r="EM185" s="20">
        <f t="shared" si="180"/>
        <v>712.32444295533423</v>
      </c>
      <c r="EN185" s="59">
        <f t="shared" si="128"/>
        <v>1005.6577762886675</v>
      </c>
      <c r="EO185" s="59">
        <f ca="1">AVERAGE(OFFSET($EN$3,0,0,'Données projet'!$E$15+1,1))-AVERAGE(OFFSET($H$3,0,0,'Données projet'!$E$15+1,1))</f>
        <v>316.58509520829671</v>
      </c>
      <c r="EP185" s="59">
        <f t="shared" si="154"/>
        <v>240.71332110643596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>
        <f>EXP(-LN(2)/35)*EV184+(1-EXP(-LN(2)/35))/(LN(2)/35)*ER185*ES185*VLOOKUP('Données projet'!$B$15,Paramètres!$A$1:$I$89,3,0)*0.475*44/12</f>
        <v>0.12490221381269567</v>
      </c>
      <c r="EW185" s="21">
        <f>EXP(-LN(2)/25)*EW184+(1-EXP(-LN(2)/25))/(LN(2)/25)*Calculateur!ER185*Calculateur!ET185*VLOOKUP('Données projet'!$B$15,Paramètres!$A$1:$I$89,3,0)*0.475*44/12</f>
        <v>0.22569279411977289</v>
      </c>
      <c r="EX185" s="21">
        <f>EXP(-LN(2)/2)*EX184+(1-EXP(-LN(2)/2))/(LN(2)/2)*ER185*EU185*VLOOKUP('Données projet'!$B$15,Paramètres!$A$1:$I$89,3,0)*0.475*44/12</f>
        <v>2.9036478783632319E-22</v>
      </c>
      <c r="EY185" s="22">
        <f t="shared" si="181"/>
        <v>0.35059500793246856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497</v>
      </c>
      <c r="FF185" s="17">
        <f>FE185*VLOOKUP('Données projet'!$B$16,Paramètres!$A$1:$I$89,3,0)*VLOOKUP('Données projet'!$B$16,Paramètres!$A$1:$I$89,5,0)</f>
        <v>297.20600000000002</v>
      </c>
      <c r="FG185" s="13">
        <f t="shared" si="182"/>
        <v>70.590415164571112</v>
      </c>
      <c r="FH185" s="20">
        <f t="shared" si="183"/>
        <v>640.57875641162809</v>
      </c>
      <c r="FI185" s="59">
        <f t="shared" si="131"/>
        <v>933.91208974496135</v>
      </c>
      <c r="FJ185" s="59">
        <f ca="1">AVERAGE(OFFSET($FI$3,0,0,'Données projet'!$E$16+1,1))-AVERAGE(OFFSET($H$3,0,0,'Données projet'!$E$16+1,1))</f>
        <v>270.30888762640245</v>
      </c>
      <c r="FK185" s="59">
        <f t="shared" si="156"/>
        <v>202.23783851977691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>
        <f>EXP(-LN(2)/35)*FQ184+(1-EXP(-LN(2)/35))/(LN(2)/35)*FM185*FN185*VLOOKUP('Données projet'!$B$16,Paramètres!$A$1:$I$89,3,0)*0.475*44/12</f>
        <v>0.10555116660227792</v>
      </c>
      <c r="FR185" s="21">
        <f>EXP(-LN(2)/25)*FR184+(1-EXP(-LN(2)/25))/(LN(2)/25)*Calculateur!FM185*Calculateur!FO185*VLOOKUP('Données projet'!$B$16,Paramètres!$A$1:$I$89,3,0)*0.475*44/12</f>
        <v>0.18174962045986559</v>
      </c>
      <c r="FS185" s="21">
        <f>EXP(-LN(2)/2)*FS184+(1-EXP(-LN(2)/2))/(LN(2)/2)*FM185*FP185*VLOOKUP('Données projet'!$B$16,Paramètres!$A$1:$I$89,3,0)*0.475*44/12</f>
        <v>2.4474763677205599E-22</v>
      </c>
      <c r="FT185" s="22">
        <f t="shared" si="184"/>
        <v>0.28730078706214351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-5.1159076974727213E-13</v>
      </c>
      <c r="GA185" s="17">
        <f>FZ185*VLOOKUP('Données projet'!$B$17,Paramètres!$A$1:$I$89,3,0)*VLOOKUP('Données projet'!$B$17,Paramètres!$A$1:$I$89,5,0)</f>
        <v>-4.0702161641092972E-13</v>
      </c>
      <c r="GB185" s="13" t="e">
        <f t="shared" si="185"/>
        <v>#NUM!</v>
      </c>
      <c r="GC185" s="20" t="e">
        <f t="shared" si="186"/>
        <v>#NUM!</v>
      </c>
      <c r="GD185" s="59" t="e">
        <f t="shared" si="134"/>
        <v>#NUM!</v>
      </c>
      <c r="GE185" s="59">
        <f ca="1">AVERAGE(OFFSET($GD$3,0,0,'Données projet'!$E$17+1,1))-AVERAGE(OFFSET($H$3,0,0,'Données projet'!$E$17+1,1))</f>
        <v>260.20517190557814</v>
      </c>
      <c r="GF185" s="59">
        <f t="shared" si="158"/>
        <v>307.22009971147133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>
        <f>EXP(-LN(2)/35)*GL184+(1-EXP(-LN(2)/35))/(LN(2)/35)*GH185*GI185*VLOOKUP('Données projet'!$B$17,Paramètres!$A$1:$I$89,3,0)*0.475*44/12</f>
        <v>0.16079980863781823</v>
      </c>
      <c r="GM185" s="21">
        <f>EXP(-LN(2)/25)*GM184+(1-EXP(-LN(2)/25))/(LN(2)/25)*Calculateur!GH185*Calculateur!GJ185*VLOOKUP('Données projet'!$B$17,Paramètres!$A$1:$I$89,3,0)*0.475*44/12</f>
        <v>0.30332386039946208</v>
      </c>
      <c r="GN185" s="21">
        <f>EXP(-LN(2)/2)*GN184+(1-EXP(-LN(2)/2))/(LN(2)/2)*GH185*GK185*VLOOKUP('Données projet'!$B$17,Paramètres!$A$1:$I$89,3,0)*0.475*44/12</f>
        <v>3.1815396925406377E-22</v>
      </c>
      <c r="GO185" s="21">
        <f t="shared" si="187"/>
        <v>0.46412366903728031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5.6843418860808015E-14</v>
      </c>
      <c r="GV185" s="17">
        <f>GU185*VLOOKUP('Données projet'!$B$18,Paramètres!$A$1:$I$89,3,0)*VLOOKUP('Données projet'!$B$18,Paramètres!$A$1:$I$89,5,0)</f>
        <v>4.5224624045658861E-14</v>
      </c>
      <c r="GW185" s="13">
        <f t="shared" si="188"/>
        <v>7.4514601661523691E-13</v>
      </c>
      <c r="GX185" s="20">
        <f t="shared" si="189"/>
        <v>1.3765621991510601E-12</v>
      </c>
      <c r="GY185" s="59">
        <f t="shared" si="137"/>
        <v>293.33333333333468</v>
      </c>
      <c r="GZ185" s="59">
        <f ca="1">AVERAGE(OFFSET($GY$3,0,0,'Données projet'!$E$18+1,1))-AVERAGE(OFFSET($H$3,0,0,'Données projet'!$E$18+1,1))</f>
        <v>199.58763537752952</v>
      </c>
      <c r="HA185" s="59">
        <f t="shared" si="160"/>
        <v>242.62852778451929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>
        <f>EXP(-LN(2)/35)*HG184+(1-EXP(-LN(2)/35))/(LN(2)/35)*HC185*HD185*VLOOKUP('Données projet'!$B$18,Paramètres!$A$1:$I$89,3,0)*0.475*44/12</f>
        <v>0</v>
      </c>
      <c r="HH185" s="21">
        <f>EXP(-LN(2)/25)*HH184+(1-EXP(-LN(2)/25))/(LN(2)/25)*Calculateur!HC185*Calculateur!HE185*VLOOKUP('Données projet'!$B$18,Paramètres!$A$1:$I$89,3,0)*0.475*44/12</f>
        <v>0.15200450812478794</v>
      </c>
      <c r="HI185" s="21">
        <f>EXP(-LN(2)/2)*HI184+(1-EXP(-LN(2)/2))/(LN(2)/2)*HC185*HF185*VLOOKUP('Données projet'!$B$18,Paramètres!$A$1:$I$89,3,0)*0.475*44/12</f>
        <v>1.4242803941966524E-22</v>
      </c>
      <c r="HJ185" s="22">
        <f t="shared" si="190"/>
        <v>0.15200450812478794</v>
      </c>
    </row>
    <row r="186" spans="1:218" x14ac:dyDescent="0.2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162.72359999999978</v>
      </c>
      <c r="D186" s="11">
        <f t="shared" si="140"/>
        <v>41.456226201843137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1576.1249741896645</v>
      </c>
      <c r="H186" s="67">
        <f t="shared" si="110"/>
        <v>648.94653063487635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-2.2737367544323206E-13</v>
      </c>
      <c r="O186" s="13">
        <f>N186*VLOOKUP('Données projet'!$B$9,Paramètres!$A$1:$I$89,3,0)*VLOOKUP('Données projet'!$B$9,Paramètres!$A$1:$I$89,5,0)</f>
        <v>-1.2710188457276673E-13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255.5374979188561</v>
      </c>
      <c r="T186" s="59">
        <f t="shared" si="142"/>
        <v>343.10418468620901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0.14929081757155571</v>
      </c>
      <c r="AA186" s="21">
        <f>EXP(-LN(2)/25)*AA185+(1-EXP(-LN(2)/25))/(LN(2)/25)*Calculateur!V186*Calculateur!X186*VLOOKUP('Données projet'!$B$9,Paramètres!$A$1:$I$89,3,0)*0.475*44/12</f>
        <v>0.22947552113196204</v>
      </c>
      <c r="AB186" s="21">
        <f>EXP(-LN(2)/2)*AB185+(1-EXP(-LN(2)/2))/(LN(2)/2)*V186*Y186*VLOOKUP('Données projet'!$B$9,Paramètres!$A$1:$I$89,3,0)*0.475*44/12</f>
        <v>1.5840651185072893E-23</v>
      </c>
      <c r="AC186" s="22">
        <f t="shared" si="163"/>
        <v>0.37876633870351772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1.1368683772161603E-13</v>
      </c>
      <c r="AJ186" s="13">
        <f>AI186*VLOOKUP('Données projet'!$B$10,Paramètres!$A$1:$I$89,3,0)*VLOOKUP('Données projet'!$B$10,Paramètres!$A$1:$I$89,5,0)</f>
        <v>6.3550942286383367E-14</v>
      </c>
      <c r="AK186" s="13">
        <f t="shared" si="164"/>
        <v>1.0064464192543978E-12</v>
      </c>
      <c r="AL186" s="20">
        <f t="shared" si="165"/>
        <v>1.8635787380168604E-12</v>
      </c>
      <c r="AM186" s="59">
        <f t="shared" si="113"/>
        <v>293.33333333333519</v>
      </c>
      <c r="AN186" s="59">
        <f ca="1">AVERAGE(OFFSET($AM$3,0,0,'Données projet'!$E$10+1,1))-AVERAGE(OFFSET($H$3,0,0,'Données projet'!$E$10+1,1))</f>
        <v>224.7049802939942</v>
      </c>
      <c r="AO186" s="59">
        <f t="shared" si="144"/>
        <v>203.48513862195352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0.10779526658431698</v>
      </c>
      <c r="AV186" s="21">
        <f>EXP(-LN(2)/25)*AV185+(1-EXP(-LN(2)/25))/(LN(2)/25)*Calculateur!AQ186*Calculateur!AS186*VLOOKUP('Données projet'!$B$10,Paramètres!$A$1:$I$89,3,0)*0.475*44/12</f>
        <v>0.28072233006449576</v>
      </c>
      <c r="AW186" s="21">
        <f>EXP(-LN(2)/2)*AW185+(1-EXP(-LN(2)/2))/(LN(2)/2)*AQ186*AT186*VLOOKUP('Données projet'!$B$10,Paramètres!$A$1:$I$89,3,0)*0.475*44/12</f>
        <v>8.3857716646517261E-23</v>
      </c>
      <c r="AX186" s="21">
        <f t="shared" si="166"/>
        <v>0.38851759664881275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>
        <f>BD186*VLOOKUP('Données projet'!$B$11,Paramètres!$A$1:$I$89,3,0)*VLOOKUP('Données projet'!$B$11,Paramètres!$A$1:$I$89,5,0)</f>
        <v>0</v>
      </c>
      <c r="BF186" s="13" t="e">
        <f t="shared" si="167"/>
        <v>#NUM!</v>
      </c>
      <c r="BG186" s="20" t="e">
        <f t="shared" si="168"/>
        <v>#NUM!</v>
      </c>
      <c r="BH186" s="59" t="e">
        <f t="shared" si="116"/>
        <v>#NUM!</v>
      </c>
      <c r="BI186" s="59">
        <f ca="1">AVERAGE(OFFSET($BH$3,0,0,'Données projet'!$E$11+1,1))-AVERAGE(OFFSET($H$3,0,0,'Données projet'!$E$11+1,1))</f>
        <v>210.04871822652808</v>
      </c>
      <c r="BJ186" s="59">
        <f t="shared" si="146"/>
        <v>250.17540614049324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0.35273650487986291</v>
      </c>
      <c r="BQ186" s="21">
        <f>EXP(-LN(2)/25)*BQ185+(1-EXP(-LN(2)/25))/(LN(2)/25)*Calculateur!BL186*Calculateur!BN186*VLOOKUP('Données projet'!$B$11,Paramètres!$A$1:$I$89,3,0)*0.475*44/12</f>
        <v>0.40014810856593147</v>
      </c>
      <c r="BR186" s="21">
        <f>EXP(-LN(2)/2)*BR185+(1-EXP(-LN(2)/2))/(LN(2)/2)*BL186*BO186*VLOOKUP('Données projet'!$B$11,Paramètres!$A$1:$I$89,3,0)*0.475*44/12</f>
        <v>2.0171164370670952E-22</v>
      </c>
      <c r="BS186" s="22">
        <f t="shared" si="169"/>
        <v>0.75288461344579438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2.2737367544323206E-13</v>
      </c>
      <c r="BZ186" s="13">
        <f>BY186*VLOOKUP('Données projet'!$B$12,Paramètres!$A$1:$I$89,3,0)*VLOOKUP('Données projet'!$B$12,Paramètres!$A$1:$I$89,5,0)</f>
        <v>1.2414602679200471E-13</v>
      </c>
      <c r="CA186" s="13">
        <f t="shared" si="170"/>
        <v>1.8186582995804361E-12</v>
      </c>
      <c r="CB186" s="20">
        <f t="shared" si="171"/>
        <v>3.3837175350986671E-12</v>
      </c>
      <c r="CC186" s="59">
        <f t="shared" si="119"/>
        <v>293.33333333333672</v>
      </c>
      <c r="CD186" s="59">
        <f ca="1">AVERAGE(OFFSET($CC$3,0,0,'Données projet'!$E$12+1,1))-AVERAGE(OFFSET($H$3,0,0,'Données projet'!$E$12+1,1))</f>
        <v>168.72306536277267</v>
      </c>
      <c r="CE186" s="59">
        <f t="shared" si="148"/>
        <v>203.35476578922339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0.14697354369994292</v>
      </c>
      <c r="CL186" s="21">
        <f>EXP(-LN(2)/25)*CL185+(1-EXP(-LN(2)/25))/(LN(2)/25)*Calculateur!CG186*Calculateur!CI186*VLOOKUP('Données projet'!$B$12,Paramètres!$A$1:$I$89,3,0)*0.475*44/12</f>
        <v>0.33047707775520202</v>
      </c>
      <c r="CM186" s="21">
        <f>EXP(-LN(2)/2)*CM185+(1-EXP(-LN(2)/2))/(LN(2)/2)*CG186*CJ186*VLOOKUP('Données projet'!$B$12,Paramètres!$A$1:$I$89,3,0)*0.475*44/12</f>
        <v>1.8739277467240656E-22</v>
      </c>
      <c r="CN186" s="22">
        <f t="shared" si="172"/>
        <v>0.47745062145514494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1277.6923076923067</v>
      </c>
      <c r="CU186" s="17">
        <f>CT186*VLOOKUP('Données projet'!$B$13,Paramètres!$A$1:$I$89,3,0)*VLOOKUP('Données projet'!$B$13,Paramètres!$A$1:$I$89,5,0)</f>
        <v>614.5699999999996</v>
      </c>
      <c r="CV186" s="13">
        <f t="shared" si="173"/>
        <v>134.13240620831178</v>
      </c>
      <c r="CW186" s="20">
        <f t="shared" si="174"/>
        <v>1303.9900241461421</v>
      </c>
      <c r="CX186" s="59">
        <f t="shared" si="122"/>
        <v>1597.3233574794754</v>
      </c>
      <c r="CY186" s="59">
        <f ca="1">AVERAGE(OFFSET($CX$3,0,0,'Données projet'!$E$13+1,1))-AVERAGE(OFFSET($H$3,0,0,'Données projet'!$E$13+1,1))</f>
        <v>304.15237106473313</v>
      </c>
      <c r="CZ186" s="59">
        <f t="shared" si="150"/>
        <v>120.85458928724336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>
        <f>EXP(-LN(2)/35)*DF185+(1-EXP(-LN(2)/35))/(LN(2)/35)*DB186*DC186*VLOOKUP('Données projet'!$B$13,Paramètres!$A$1:$I$89,3,0)*0.475*44/12</f>
        <v>0</v>
      </c>
      <c r="DG186" s="21">
        <f>EXP(-LN(2)/25)*DG185+(1-EXP(-LN(2)/25))/(LN(2)/25)*Calculateur!DB186*Calculateur!DD186*VLOOKUP('Données projet'!$B$13,Paramètres!$A$1:$I$89,3,0)*0.475*44/12</f>
        <v>0</v>
      </c>
      <c r="DH186" s="21">
        <f>EXP(-LN(2)/2)*DH185+(1-EXP(-LN(2)/2))/(LN(2)/2)*DB186*DE186*VLOOKUP('Données projet'!$B$13,Paramètres!$A$1:$I$89,3,0)*0.475*44/12</f>
        <v>0</v>
      </c>
      <c r="DI186" s="22">
        <f t="shared" si="175"/>
        <v>0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425.38461538461536</v>
      </c>
      <c r="DP186" s="17">
        <f>DO186*VLOOKUP('Données projet'!$B$14,Paramètres!$A$1:$I$89,3,0)*VLOOKUP('Données projet'!$B$14,Paramètres!$A$1:$I$89,5,0)</f>
        <v>204.60999999999999</v>
      </c>
      <c r="DQ186" s="13">
        <f t="shared" si="176"/>
        <v>50.755958577224398</v>
      </c>
      <c r="DR186" s="20">
        <f t="shared" si="177"/>
        <v>444.76237785533249</v>
      </c>
      <c r="DS186" s="59">
        <f t="shared" si="125"/>
        <v>738.09571118866575</v>
      </c>
      <c r="DT186" s="59">
        <f ca="1">AVERAGE(OFFSET($DS$3,0,0,'Données projet'!$E$14+1,1))-AVERAGE(OFFSET($H$3,0,0,'Données projet'!$E$14+1,1))</f>
        <v>91.053246648097399</v>
      </c>
      <c r="DU186" s="59">
        <f t="shared" si="152"/>
        <v>64.716270355703955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>
        <f>EXP(-LN(2)/35)*EA185+(1-EXP(-LN(2)/35))/(LN(2)/35)*DW186*DX186*VLOOKUP('Données projet'!$B$14,Paramètres!$A$1:$I$89,3,0)*0.475*44/12</f>
        <v>0</v>
      </c>
      <c r="EB186" s="21">
        <f>EXP(-LN(2)/25)*EB185+(1-EXP(-LN(2)/25))/(LN(2)/25)*Calculateur!DW186*Calculateur!DY186*VLOOKUP('Données projet'!$B$14,Paramètres!$A$1:$I$89,3,0)*0.475*44/12</f>
        <v>0</v>
      </c>
      <c r="EC186" s="21">
        <f>EXP(-LN(2)/2)*EC185+(1-EXP(-LN(2)/2))/(LN(2)/2)*DW186*DZ186*VLOOKUP('Données projet'!$B$14,Paramètres!$A$1:$I$89,3,0)*0.475*44/12</f>
        <v>0</v>
      </c>
      <c r="ED186" s="22">
        <f t="shared" si="178"/>
        <v>0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553.99999999999955</v>
      </c>
      <c r="EK186" s="17">
        <f>EJ186*VLOOKUP('Données projet'!$B$15,Paramètres!$A$1:$I$89,3,0)*VLOOKUP('Données projet'!$B$15,Paramètres!$A$1:$I$89,5,0)</f>
        <v>331.29199999999975</v>
      </c>
      <c r="EL186" s="13">
        <f t="shared" si="179"/>
        <v>77.698110787752</v>
      </c>
      <c r="EM186" s="20">
        <f t="shared" si="180"/>
        <v>712.32444295533423</v>
      </c>
      <c r="EN186" s="59">
        <f t="shared" si="128"/>
        <v>1005.6577762886675</v>
      </c>
      <c r="EO186" s="59">
        <f ca="1">AVERAGE(OFFSET($EN$3,0,0,'Données projet'!$E$15+1,1))-AVERAGE(OFFSET($H$3,0,0,'Données projet'!$E$15+1,1))</f>
        <v>316.58509520829671</v>
      </c>
      <c r="EP186" s="59">
        <f t="shared" si="154"/>
        <v>240.71332110643596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>
        <f>EXP(-LN(2)/35)*EV185+(1-EXP(-LN(2)/35))/(LN(2)/35)*ER186*ES186*VLOOKUP('Données projet'!$B$15,Paramètres!$A$1:$I$89,3,0)*0.475*44/12</f>
        <v>0.1224529575826567</v>
      </c>
      <c r="EW186" s="21">
        <f>EXP(-LN(2)/25)*EW185+(1-EXP(-LN(2)/25))/(LN(2)/25)*Calculateur!ER186*Calculateur!ET186*VLOOKUP('Données projet'!$B$15,Paramètres!$A$1:$I$89,3,0)*0.475*44/12</f>
        <v>0.21952121279589948</v>
      </c>
      <c r="EX186" s="21">
        <f>EXP(-LN(2)/2)*EX185+(1-EXP(-LN(2)/2))/(LN(2)/2)*ER186*EU186*VLOOKUP('Données projet'!$B$15,Paramètres!$A$1:$I$89,3,0)*0.475*44/12</f>
        <v>2.0531891049685728E-22</v>
      </c>
      <c r="EY186" s="22">
        <f t="shared" si="181"/>
        <v>0.34197417037855615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497</v>
      </c>
      <c r="FF186" s="17">
        <f>FE186*VLOOKUP('Données projet'!$B$16,Paramètres!$A$1:$I$89,3,0)*VLOOKUP('Données projet'!$B$16,Paramètres!$A$1:$I$89,5,0)</f>
        <v>297.20600000000002</v>
      </c>
      <c r="FG186" s="13">
        <f t="shared" si="182"/>
        <v>70.590415164571112</v>
      </c>
      <c r="FH186" s="20">
        <f t="shared" si="183"/>
        <v>640.57875641162809</v>
      </c>
      <c r="FI186" s="59">
        <f t="shared" si="131"/>
        <v>933.91208974496135</v>
      </c>
      <c r="FJ186" s="59">
        <f ca="1">AVERAGE(OFFSET($FI$3,0,0,'Données projet'!$E$16+1,1))-AVERAGE(OFFSET($H$3,0,0,'Données projet'!$E$16+1,1))</f>
        <v>270.30888762640245</v>
      </c>
      <c r="FK186" s="59">
        <f t="shared" si="156"/>
        <v>202.23783851977691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>
        <f>EXP(-LN(2)/35)*FQ185+(1-EXP(-LN(2)/35))/(LN(2)/35)*FM186*FN186*VLOOKUP('Données projet'!$B$16,Paramètres!$A$1:$I$89,3,0)*0.475*44/12</f>
        <v>0.10348137260506191</v>
      </c>
      <c r="FR186" s="21">
        <f>EXP(-LN(2)/25)*FR185+(1-EXP(-LN(2)/25))/(LN(2)/25)*Calculateur!FM186*Calculateur!FO186*VLOOKUP('Données projet'!$B$16,Paramètres!$A$1:$I$89,3,0)*0.475*44/12</f>
        <v>0.17677966753059343</v>
      </c>
      <c r="FS186" s="21">
        <f>EXP(-LN(2)/2)*FS185+(1-EXP(-LN(2)/2))/(LN(2)/2)*FM186*FP186*VLOOKUP('Données projet'!$B$16,Paramètres!$A$1:$I$89,3,0)*0.475*44/12</f>
        <v>1.7306271364090281E-22</v>
      </c>
      <c r="FT186" s="22">
        <f t="shared" si="184"/>
        <v>0.28026104013565534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-5.1159076974727213E-13</v>
      </c>
      <c r="GA186" s="17">
        <f>FZ186*VLOOKUP('Données projet'!$B$17,Paramètres!$A$1:$I$89,3,0)*VLOOKUP('Données projet'!$B$17,Paramètres!$A$1:$I$89,5,0)</f>
        <v>-4.0702161641092972E-13</v>
      </c>
      <c r="GB186" s="13" t="e">
        <f t="shared" si="185"/>
        <v>#NUM!</v>
      </c>
      <c r="GC186" s="20" t="e">
        <f t="shared" si="186"/>
        <v>#NUM!</v>
      </c>
      <c r="GD186" s="59" t="e">
        <f t="shared" si="134"/>
        <v>#NUM!</v>
      </c>
      <c r="GE186" s="59">
        <f ca="1">AVERAGE(OFFSET($GD$3,0,0,'Données projet'!$E$17+1,1))-AVERAGE(OFFSET($H$3,0,0,'Données projet'!$E$17+1,1))</f>
        <v>260.20517190557814</v>
      </c>
      <c r="GF186" s="59">
        <f t="shared" si="158"/>
        <v>307.22009971147133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>
        <f>EXP(-LN(2)/35)*GL185+(1-EXP(-LN(2)/35))/(LN(2)/35)*GH186*GI186*VLOOKUP('Données projet'!$B$17,Paramètres!$A$1:$I$89,3,0)*0.475*44/12</f>
        <v>0.15764662246862945</v>
      </c>
      <c r="GM186" s="21">
        <f>EXP(-LN(2)/25)*GM185+(1-EXP(-LN(2)/25))/(LN(2)/25)*Calculateur!GH186*Calculateur!GJ186*VLOOKUP('Données projet'!$B$17,Paramètres!$A$1:$I$89,3,0)*0.475*44/12</f>
        <v>0.29502945348573023</v>
      </c>
      <c r="GN186" s="21">
        <f>EXP(-LN(2)/2)*GN185+(1-EXP(-LN(2)/2))/(LN(2)/2)*GH186*GK186*VLOOKUP('Données projet'!$B$17,Paramètres!$A$1:$I$89,3,0)*0.475*44/12</f>
        <v>2.2496882912096484E-22</v>
      </c>
      <c r="GO186" s="21">
        <f t="shared" si="187"/>
        <v>0.45267607595435966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5.6843418860808015E-14</v>
      </c>
      <c r="GV186" s="17">
        <f>GU186*VLOOKUP('Données projet'!$B$18,Paramètres!$A$1:$I$89,3,0)*VLOOKUP('Données projet'!$B$18,Paramètres!$A$1:$I$89,5,0)</f>
        <v>4.5224624045658861E-14</v>
      </c>
      <c r="GW186" s="13">
        <f t="shared" si="188"/>
        <v>7.4514601661523691E-13</v>
      </c>
      <c r="GX186" s="20">
        <f t="shared" si="189"/>
        <v>1.3765621991510601E-12</v>
      </c>
      <c r="GY186" s="59">
        <f t="shared" si="137"/>
        <v>293.33333333333468</v>
      </c>
      <c r="GZ186" s="59">
        <f ca="1">AVERAGE(OFFSET($GY$3,0,0,'Données projet'!$E$18+1,1))-AVERAGE(OFFSET($H$3,0,0,'Données projet'!$E$18+1,1))</f>
        <v>199.58763537752952</v>
      </c>
      <c r="HA186" s="59">
        <f t="shared" si="160"/>
        <v>242.62852778451929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>
        <f>EXP(-LN(2)/35)*HG185+(1-EXP(-LN(2)/35))/(LN(2)/35)*HC186*HD186*VLOOKUP('Données projet'!$B$18,Paramètres!$A$1:$I$89,3,0)*0.475*44/12</f>
        <v>0</v>
      </c>
      <c r="HH186" s="21">
        <f>EXP(-LN(2)/25)*HH185+(1-EXP(-LN(2)/25))/(LN(2)/25)*Calculateur!HC186*Calculateur!HE186*VLOOKUP('Données projet'!$B$18,Paramètres!$A$1:$I$89,3,0)*0.475*44/12</f>
        <v>0.14784793685654593</v>
      </c>
      <c r="HI186" s="21">
        <f>EXP(-LN(2)/2)*HI185+(1-EXP(-LN(2)/2))/(LN(2)/2)*HC186*HF186*VLOOKUP('Données projet'!$B$18,Paramètres!$A$1:$I$89,3,0)*0.475*44/12</f>
        <v>1.007118325047502E-22</v>
      </c>
      <c r="HJ186" s="22">
        <f t="shared" si="190"/>
        <v>0.14784793685654593</v>
      </c>
    </row>
    <row r="187" spans="1:218" x14ac:dyDescent="0.2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163.61279999999977</v>
      </c>
      <c r="D187" s="11">
        <f t="shared" si="140"/>
        <v>41.656330547871768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1584.533639316903</v>
      </c>
      <c r="H187" s="67">
        <f t="shared" si="110"/>
        <v>650.84373570420951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-2.2737367544323206E-13</v>
      </c>
      <c r="O187" s="13">
        <f>N187*VLOOKUP('Données projet'!$B$9,Paramètres!$A$1:$I$89,3,0)*VLOOKUP('Données projet'!$B$9,Paramètres!$A$1:$I$89,5,0)</f>
        <v>-1.2710188457276673E-13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255.5374979188561</v>
      </c>
      <c r="T187" s="59">
        <f t="shared" si="142"/>
        <v>343.10418468620901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0.14636331569738495</v>
      </c>
      <c r="AA187" s="21">
        <f>EXP(-LN(2)/25)*AA186+(1-EXP(-LN(2)/25))/(LN(2)/25)*Calculateur!V187*Calculateur!X187*VLOOKUP('Données projet'!$B$9,Paramètres!$A$1:$I$89,3,0)*0.475*44/12</f>
        <v>0.22320050093901536</v>
      </c>
      <c r="AB187" s="21">
        <f>EXP(-LN(2)/2)*AB186+(1-EXP(-LN(2)/2))/(LN(2)/2)*V187*Y187*VLOOKUP('Données projet'!$B$9,Paramètres!$A$1:$I$89,3,0)*0.475*44/12</f>
        <v>1.1201031871375763E-23</v>
      </c>
      <c r="AC187" s="22">
        <f t="shared" si="163"/>
        <v>0.36956381663640031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1.1368683772161603E-13</v>
      </c>
      <c r="AJ187" s="13">
        <f>AI187*VLOOKUP('Données projet'!$B$10,Paramètres!$A$1:$I$89,3,0)*VLOOKUP('Données projet'!$B$10,Paramètres!$A$1:$I$89,5,0)</f>
        <v>6.3550942286383367E-14</v>
      </c>
      <c r="AK187" s="13">
        <f t="shared" si="164"/>
        <v>1.0064464192543978E-12</v>
      </c>
      <c r="AL187" s="20">
        <f t="shared" si="165"/>
        <v>1.8635787380168604E-12</v>
      </c>
      <c r="AM187" s="59">
        <f t="shared" si="113"/>
        <v>293.33333333333519</v>
      </c>
      <c r="AN187" s="59">
        <f ca="1">AVERAGE(OFFSET($AM$3,0,0,'Données projet'!$E$10+1,1))-AVERAGE(OFFSET($H$3,0,0,'Données projet'!$E$10+1,1))</f>
        <v>224.7049802939942</v>
      </c>
      <c r="AO187" s="59">
        <f t="shared" si="144"/>
        <v>203.48513862195352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0.10568146715521901</v>
      </c>
      <c r="AV187" s="21">
        <f>EXP(-LN(2)/25)*AV186+(1-EXP(-LN(2)/25))/(LN(2)/25)*Calculateur!AQ187*Calculateur!AS187*VLOOKUP('Données projet'!$B$10,Paramètres!$A$1:$I$89,3,0)*0.475*44/12</f>
        <v>0.27304596318633639</v>
      </c>
      <c r="AW187" s="21">
        <f>EXP(-LN(2)/2)*AW186+(1-EXP(-LN(2)/2))/(LN(2)/2)*AQ187*AT187*VLOOKUP('Données projet'!$B$10,Paramètres!$A$1:$I$89,3,0)*0.475*44/12</f>
        <v>5.9296360095572385E-23</v>
      </c>
      <c r="AX187" s="21">
        <f t="shared" si="166"/>
        <v>0.37872743034155543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>
        <f>BD187*VLOOKUP('Données projet'!$B$11,Paramètres!$A$1:$I$89,3,0)*VLOOKUP('Données projet'!$B$11,Paramètres!$A$1:$I$89,5,0)</f>
        <v>0</v>
      </c>
      <c r="BF187" s="13" t="e">
        <f t="shared" si="167"/>
        <v>#NUM!</v>
      </c>
      <c r="BG187" s="20" t="e">
        <f t="shared" si="168"/>
        <v>#NUM!</v>
      </c>
      <c r="BH187" s="59" t="e">
        <f t="shared" si="116"/>
        <v>#NUM!</v>
      </c>
      <c r="BI187" s="59">
        <f ca="1">AVERAGE(OFFSET($BH$3,0,0,'Données projet'!$E$11+1,1))-AVERAGE(OFFSET($H$3,0,0,'Données projet'!$E$11+1,1))</f>
        <v>210.04871822652808</v>
      </c>
      <c r="BJ187" s="59">
        <f t="shared" si="146"/>
        <v>250.17540614049324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0.34581955716719265</v>
      </c>
      <c r="BQ187" s="21">
        <f>EXP(-LN(2)/25)*BQ186+(1-EXP(-LN(2)/25))/(LN(2)/25)*Calculateur!BL187*Calculateur!BN187*VLOOKUP('Données projet'!$B$11,Paramètres!$A$1:$I$89,3,0)*0.475*44/12</f>
        <v>0.38920603749432159</v>
      </c>
      <c r="BR187" s="21">
        <f>EXP(-LN(2)/2)*BR186+(1-EXP(-LN(2)/2))/(LN(2)/2)*BL187*BO187*VLOOKUP('Données projet'!$B$11,Paramètres!$A$1:$I$89,3,0)*0.475*44/12</f>
        <v>1.4263167110929908E-22</v>
      </c>
      <c r="BS187" s="22">
        <f t="shared" si="169"/>
        <v>0.73502559466151429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2.2737367544323206E-13</v>
      </c>
      <c r="BZ187" s="13">
        <f>BY187*VLOOKUP('Données projet'!$B$12,Paramètres!$A$1:$I$89,3,0)*VLOOKUP('Données projet'!$B$12,Paramètres!$A$1:$I$89,5,0)</f>
        <v>1.2414602679200471E-13</v>
      </c>
      <c r="CA187" s="13">
        <f t="shared" si="170"/>
        <v>1.8186582995804361E-12</v>
      </c>
      <c r="CB187" s="20">
        <f t="shared" si="171"/>
        <v>3.3837175350986671E-12</v>
      </c>
      <c r="CC187" s="59">
        <f t="shared" si="119"/>
        <v>293.33333333333672</v>
      </c>
      <c r="CD187" s="59">
        <f ca="1">AVERAGE(OFFSET($CC$3,0,0,'Données projet'!$E$12+1,1))-AVERAGE(OFFSET($H$3,0,0,'Données projet'!$E$12+1,1))</f>
        <v>168.72306536277267</v>
      </c>
      <c r="CE187" s="59">
        <f t="shared" si="148"/>
        <v>203.35476578922339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0.144091482152997</v>
      </c>
      <c r="CL187" s="21">
        <f>EXP(-LN(2)/25)*CL186+(1-EXP(-LN(2)/25))/(LN(2)/25)*Calculateur!CG187*Calculateur!CI187*VLOOKUP('Données projet'!$B$12,Paramètres!$A$1:$I$89,3,0)*0.475*44/12</f>
        <v>0.32144016468495179</v>
      </c>
      <c r="CM187" s="21">
        <f>EXP(-LN(2)/2)*CM186+(1-EXP(-LN(2)/2))/(LN(2)/2)*CG187*CJ187*VLOOKUP('Données projet'!$B$12,Paramètres!$A$1:$I$89,3,0)*0.475*44/12</f>
        <v>1.3250670171622139E-22</v>
      </c>
      <c r="CN187" s="22">
        <f t="shared" si="172"/>
        <v>0.46553164683794879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1277.6923076923067</v>
      </c>
      <c r="CU187" s="17">
        <f>CT187*VLOOKUP('Données projet'!$B$13,Paramètres!$A$1:$I$89,3,0)*VLOOKUP('Données projet'!$B$13,Paramètres!$A$1:$I$89,5,0)</f>
        <v>614.5699999999996</v>
      </c>
      <c r="CV187" s="13">
        <f t="shared" si="173"/>
        <v>134.13240620831178</v>
      </c>
      <c r="CW187" s="20">
        <f t="shared" si="174"/>
        <v>1303.9900241461421</v>
      </c>
      <c r="CX187" s="59">
        <f t="shared" si="122"/>
        <v>1597.3233574794754</v>
      </c>
      <c r="CY187" s="59">
        <f ca="1">AVERAGE(OFFSET($CX$3,0,0,'Données projet'!$E$13+1,1))-AVERAGE(OFFSET($H$3,0,0,'Données projet'!$E$13+1,1))</f>
        <v>304.15237106473313</v>
      </c>
      <c r="CZ187" s="59">
        <f t="shared" si="150"/>
        <v>120.85458928724336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>
        <f>EXP(-LN(2)/35)*DF186+(1-EXP(-LN(2)/35))/(LN(2)/35)*DB187*DC187*VLOOKUP('Données projet'!$B$13,Paramètres!$A$1:$I$89,3,0)*0.475*44/12</f>
        <v>0</v>
      </c>
      <c r="DG187" s="21">
        <f>EXP(-LN(2)/25)*DG186+(1-EXP(-LN(2)/25))/(LN(2)/25)*Calculateur!DB187*Calculateur!DD187*VLOOKUP('Données projet'!$B$13,Paramètres!$A$1:$I$89,3,0)*0.475*44/12</f>
        <v>0</v>
      </c>
      <c r="DH187" s="21">
        <f>EXP(-LN(2)/2)*DH186+(1-EXP(-LN(2)/2))/(LN(2)/2)*DB187*DE187*VLOOKUP('Données projet'!$B$13,Paramètres!$A$1:$I$89,3,0)*0.475*44/12</f>
        <v>0</v>
      </c>
      <c r="DI187" s="22">
        <f t="shared" si="175"/>
        <v>0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425.38461538461536</v>
      </c>
      <c r="DP187" s="17">
        <f>DO187*VLOOKUP('Données projet'!$B$14,Paramètres!$A$1:$I$89,3,0)*VLOOKUP('Données projet'!$B$14,Paramètres!$A$1:$I$89,5,0)</f>
        <v>204.60999999999999</v>
      </c>
      <c r="DQ187" s="13">
        <f t="shared" si="176"/>
        <v>50.755958577224398</v>
      </c>
      <c r="DR187" s="20">
        <f t="shared" si="177"/>
        <v>444.76237785533249</v>
      </c>
      <c r="DS187" s="59">
        <f t="shared" si="125"/>
        <v>738.09571118866575</v>
      </c>
      <c r="DT187" s="59">
        <f ca="1">AVERAGE(OFFSET($DS$3,0,0,'Données projet'!$E$14+1,1))-AVERAGE(OFFSET($H$3,0,0,'Données projet'!$E$14+1,1))</f>
        <v>91.053246648097399</v>
      </c>
      <c r="DU187" s="59">
        <f t="shared" si="152"/>
        <v>64.716270355703955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>
        <f>EXP(-LN(2)/35)*EA186+(1-EXP(-LN(2)/35))/(LN(2)/35)*DW187*DX187*VLOOKUP('Données projet'!$B$14,Paramètres!$A$1:$I$89,3,0)*0.475*44/12</f>
        <v>0</v>
      </c>
      <c r="EB187" s="21">
        <f>EXP(-LN(2)/25)*EB186+(1-EXP(-LN(2)/25))/(LN(2)/25)*Calculateur!DW187*Calculateur!DY187*VLOOKUP('Données projet'!$B$14,Paramètres!$A$1:$I$89,3,0)*0.475*44/12</f>
        <v>0</v>
      </c>
      <c r="EC187" s="21">
        <f>EXP(-LN(2)/2)*EC186+(1-EXP(-LN(2)/2))/(LN(2)/2)*DW187*DZ187*VLOOKUP('Données projet'!$B$14,Paramètres!$A$1:$I$89,3,0)*0.475*44/12</f>
        <v>0</v>
      </c>
      <c r="ED187" s="22">
        <f t="shared" si="178"/>
        <v>0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553.99999999999955</v>
      </c>
      <c r="EK187" s="17">
        <f>EJ187*VLOOKUP('Données projet'!$B$15,Paramètres!$A$1:$I$89,3,0)*VLOOKUP('Données projet'!$B$15,Paramètres!$A$1:$I$89,5,0)</f>
        <v>331.29199999999975</v>
      </c>
      <c r="EL187" s="13">
        <f t="shared" si="179"/>
        <v>77.698110787752</v>
      </c>
      <c r="EM187" s="20">
        <f t="shared" si="180"/>
        <v>712.32444295533423</v>
      </c>
      <c r="EN187" s="59">
        <f t="shared" si="128"/>
        <v>1005.6577762886675</v>
      </c>
      <c r="EO187" s="59">
        <f ca="1">AVERAGE(OFFSET($EN$3,0,0,'Données projet'!$E$15+1,1))-AVERAGE(OFFSET($H$3,0,0,'Données projet'!$E$15+1,1))</f>
        <v>316.58509520829671</v>
      </c>
      <c r="EP187" s="59">
        <f t="shared" si="154"/>
        <v>240.71332110643596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>
        <f>EXP(-LN(2)/35)*EV186+(1-EXP(-LN(2)/35))/(LN(2)/35)*ER187*ES187*VLOOKUP('Données projet'!$B$15,Paramètres!$A$1:$I$89,3,0)*0.475*44/12</f>
        <v>0.12005172977339001</v>
      </c>
      <c r="EW187" s="21">
        <f>EXP(-LN(2)/25)*EW186+(1-EXP(-LN(2)/25))/(LN(2)/25)*Calculateur!ER187*Calculateur!ET187*VLOOKUP('Données projet'!$B$15,Paramètres!$A$1:$I$89,3,0)*0.475*44/12</f>
        <v>0.21351839368787676</v>
      </c>
      <c r="EX187" s="21">
        <f>EXP(-LN(2)/2)*EX186+(1-EXP(-LN(2)/2))/(LN(2)/2)*ER187*EU187*VLOOKUP('Données projet'!$B$15,Paramètres!$A$1:$I$89,3,0)*0.475*44/12</f>
        <v>1.4518239391816159E-22</v>
      </c>
      <c r="EY187" s="22">
        <f t="shared" si="181"/>
        <v>0.3335701234612668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497</v>
      </c>
      <c r="FF187" s="17">
        <f>FE187*VLOOKUP('Données projet'!$B$16,Paramètres!$A$1:$I$89,3,0)*VLOOKUP('Données projet'!$B$16,Paramètres!$A$1:$I$89,5,0)</f>
        <v>297.20600000000002</v>
      </c>
      <c r="FG187" s="13">
        <f t="shared" si="182"/>
        <v>70.590415164571112</v>
      </c>
      <c r="FH187" s="20">
        <f t="shared" si="183"/>
        <v>640.57875641162809</v>
      </c>
      <c r="FI187" s="59">
        <f t="shared" si="131"/>
        <v>933.91208974496135</v>
      </c>
      <c r="FJ187" s="59">
        <f ca="1">AVERAGE(OFFSET($FI$3,0,0,'Données projet'!$E$16+1,1))-AVERAGE(OFFSET($H$3,0,0,'Données projet'!$E$16+1,1))</f>
        <v>270.30888762640245</v>
      </c>
      <c r="FK187" s="59">
        <f t="shared" si="156"/>
        <v>202.23783851977691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>
        <f>EXP(-LN(2)/35)*FQ186+(1-EXP(-LN(2)/35))/(LN(2)/35)*FM187*FN187*VLOOKUP('Données projet'!$B$16,Paramètres!$A$1:$I$89,3,0)*0.475*44/12</f>
        <v>0.1014521660056816</v>
      </c>
      <c r="FR187" s="21">
        <f>EXP(-LN(2)/25)*FR186+(1-EXP(-LN(2)/25))/(LN(2)/25)*Calculateur!FM187*Calculateur!FO187*VLOOKUP('Données projet'!$B$16,Paramètres!$A$1:$I$89,3,0)*0.475*44/12</f>
        <v>0.17194561822553067</v>
      </c>
      <c r="FS187" s="21">
        <f>EXP(-LN(2)/2)*FS186+(1-EXP(-LN(2)/2))/(LN(2)/2)*FM187*FP187*VLOOKUP('Données projet'!$B$16,Paramètres!$A$1:$I$89,3,0)*0.475*44/12</f>
        <v>1.22373818386028E-22</v>
      </c>
      <c r="FT187" s="22">
        <f t="shared" si="184"/>
        <v>0.2733977842312123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-5.1159076974727213E-13</v>
      </c>
      <c r="GA187" s="17">
        <f>FZ187*VLOOKUP('Données projet'!$B$17,Paramètres!$A$1:$I$89,3,0)*VLOOKUP('Données projet'!$B$17,Paramètres!$A$1:$I$89,5,0)</f>
        <v>-4.0702161641092972E-13</v>
      </c>
      <c r="GB187" s="13" t="e">
        <f t="shared" si="185"/>
        <v>#NUM!</v>
      </c>
      <c r="GC187" s="20" t="e">
        <f t="shared" si="186"/>
        <v>#NUM!</v>
      </c>
      <c r="GD187" s="59" t="e">
        <f t="shared" si="134"/>
        <v>#NUM!</v>
      </c>
      <c r="GE187" s="59">
        <f ca="1">AVERAGE(OFFSET($GD$3,0,0,'Données projet'!$E$17+1,1))-AVERAGE(OFFSET($H$3,0,0,'Données projet'!$E$17+1,1))</f>
        <v>260.20517190557814</v>
      </c>
      <c r="GF187" s="59">
        <f t="shared" si="158"/>
        <v>307.22009971147133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>
        <f>EXP(-LN(2)/35)*GL186+(1-EXP(-LN(2)/35))/(LN(2)/35)*GH187*GI187*VLOOKUP('Données projet'!$B$17,Paramètres!$A$1:$I$89,3,0)*0.475*44/12</f>
        <v>0.15455526835696481</v>
      </c>
      <c r="GM187" s="21">
        <f>EXP(-LN(2)/25)*GM186+(1-EXP(-LN(2)/25))/(LN(2)/25)*Calculateur!GH187*Calculateur!GJ187*VLOOKUP('Données projet'!$B$17,Paramètres!$A$1:$I$89,3,0)*0.475*44/12</f>
        <v>0.28696185756523829</v>
      </c>
      <c r="GN187" s="21">
        <f>EXP(-LN(2)/2)*GN186+(1-EXP(-LN(2)/2))/(LN(2)/2)*GH187*GK187*VLOOKUP('Données projet'!$B$17,Paramètres!$A$1:$I$89,3,0)*0.475*44/12</f>
        <v>1.5907698462703189E-22</v>
      </c>
      <c r="GO187" s="21">
        <f t="shared" si="187"/>
        <v>0.4415171259222031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5.6843418860808015E-14</v>
      </c>
      <c r="GV187" s="17">
        <f>GU187*VLOOKUP('Données projet'!$B$18,Paramètres!$A$1:$I$89,3,0)*VLOOKUP('Données projet'!$B$18,Paramètres!$A$1:$I$89,5,0)</f>
        <v>4.5224624045658861E-14</v>
      </c>
      <c r="GW187" s="13">
        <f t="shared" si="188"/>
        <v>7.4514601661523691E-13</v>
      </c>
      <c r="GX187" s="20">
        <f t="shared" si="189"/>
        <v>1.3765621991510601E-12</v>
      </c>
      <c r="GY187" s="59">
        <f t="shared" si="137"/>
        <v>293.33333333333468</v>
      </c>
      <c r="GZ187" s="59">
        <f ca="1">AVERAGE(OFFSET($GY$3,0,0,'Données projet'!$E$18+1,1))-AVERAGE(OFFSET($H$3,0,0,'Données projet'!$E$18+1,1))</f>
        <v>199.58763537752952</v>
      </c>
      <c r="HA187" s="59">
        <f t="shared" si="160"/>
        <v>242.62852778451929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>
        <f>EXP(-LN(2)/35)*HG186+(1-EXP(-LN(2)/35))/(LN(2)/35)*HC187*HD187*VLOOKUP('Données projet'!$B$18,Paramètres!$A$1:$I$89,3,0)*0.475*44/12</f>
        <v>0</v>
      </c>
      <c r="HH187" s="21">
        <f>EXP(-LN(2)/25)*HH186+(1-EXP(-LN(2)/25))/(LN(2)/25)*Calculateur!HC187*Calculateur!HE187*VLOOKUP('Données projet'!$B$18,Paramètres!$A$1:$I$89,3,0)*0.475*44/12</f>
        <v>0.14380502724821859</v>
      </c>
      <c r="HI187" s="21">
        <f>EXP(-LN(2)/2)*HI186+(1-EXP(-LN(2)/2))/(LN(2)/2)*HC187*HF187*VLOOKUP('Données projet'!$B$18,Paramètres!$A$1:$I$89,3,0)*0.475*44/12</f>
        <v>7.1214019709832622E-23</v>
      </c>
      <c r="HJ187" s="22">
        <f t="shared" si="190"/>
        <v>0.14380502724821859</v>
      </c>
    </row>
    <row r="188" spans="1:218" x14ac:dyDescent="0.2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164.50199999999975</v>
      </c>
      <c r="D188" s="11">
        <f t="shared" si="140"/>
        <v>41.856308345523843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1592.9413275794805</v>
      </c>
      <c r="H188" s="67">
        <f t="shared" si="110"/>
        <v>652.74072036845359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-2.2737367544323206E-13</v>
      </c>
      <c r="O188" s="13">
        <f>N188*VLOOKUP('Données projet'!$B$9,Paramètres!$A$1:$I$89,3,0)*VLOOKUP('Données projet'!$B$9,Paramètres!$A$1:$I$89,5,0)</f>
        <v>-1.2710188457276673E-13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255.5374979188561</v>
      </c>
      <c r="T188" s="59">
        <f t="shared" si="142"/>
        <v>343.10418468620901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0.14349322034936685</v>
      </c>
      <c r="AA188" s="21">
        <f>EXP(-LN(2)/25)*AA187+(1-EXP(-LN(2)/25))/(LN(2)/25)*Calculateur!V188*Calculateur!X188*VLOOKUP('Données projet'!$B$9,Paramètres!$A$1:$I$89,3,0)*0.475*44/12</f>
        <v>0.21709707150323376</v>
      </c>
      <c r="AB188" s="21">
        <f>EXP(-LN(2)/2)*AB187+(1-EXP(-LN(2)/2))/(LN(2)/2)*V188*Y188*VLOOKUP('Données projet'!$B$9,Paramètres!$A$1:$I$89,3,0)*0.475*44/12</f>
        <v>7.9203255925364467E-24</v>
      </c>
      <c r="AC188" s="22">
        <f t="shared" si="163"/>
        <v>0.36059029185260061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1.1368683772161603E-13</v>
      </c>
      <c r="AJ188" s="13">
        <f>AI188*VLOOKUP('Données projet'!$B$10,Paramètres!$A$1:$I$89,3,0)*VLOOKUP('Données projet'!$B$10,Paramètres!$A$1:$I$89,5,0)</f>
        <v>6.3550942286383367E-14</v>
      </c>
      <c r="AK188" s="13">
        <f t="shared" si="164"/>
        <v>1.0064464192543978E-12</v>
      </c>
      <c r="AL188" s="20">
        <f t="shared" si="165"/>
        <v>1.8635787380168604E-12</v>
      </c>
      <c r="AM188" s="59">
        <f t="shared" si="113"/>
        <v>293.33333333333519</v>
      </c>
      <c r="AN188" s="59">
        <f ca="1">AVERAGE(OFFSET($AM$3,0,0,'Données projet'!$E$10+1,1))-AVERAGE(OFFSET($H$3,0,0,'Données projet'!$E$10+1,1))</f>
        <v>224.7049802939942</v>
      </c>
      <c r="AO188" s="59">
        <f t="shared" si="144"/>
        <v>203.48513862195352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0.10360911804363529</v>
      </c>
      <c r="AV188" s="21">
        <f>EXP(-LN(2)/25)*AV187+(1-EXP(-LN(2)/25))/(LN(2)/25)*Calculateur!AQ188*Calculateur!AS188*VLOOKUP('Données projet'!$B$10,Paramètres!$A$1:$I$89,3,0)*0.475*44/12</f>
        <v>0.2655795069641429</v>
      </c>
      <c r="AW188" s="21">
        <f>EXP(-LN(2)/2)*AW187+(1-EXP(-LN(2)/2))/(LN(2)/2)*AQ188*AT188*VLOOKUP('Données projet'!$B$10,Paramètres!$A$1:$I$89,3,0)*0.475*44/12</f>
        <v>4.1928858323258631E-23</v>
      </c>
      <c r="AX188" s="21">
        <f t="shared" si="166"/>
        <v>0.36918862500777816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>
        <f>BD188*VLOOKUP('Données projet'!$B$11,Paramètres!$A$1:$I$89,3,0)*VLOOKUP('Données projet'!$B$11,Paramètres!$A$1:$I$89,5,0)</f>
        <v>0</v>
      </c>
      <c r="BF188" s="13" t="e">
        <f t="shared" si="167"/>
        <v>#NUM!</v>
      </c>
      <c r="BG188" s="20" t="e">
        <f t="shared" si="168"/>
        <v>#NUM!</v>
      </c>
      <c r="BH188" s="59" t="e">
        <f t="shared" si="116"/>
        <v>#NUM!</v>
      </c>
      <c r="BI188" s="59">
        <f ca="1">AVERAGE(OFFSET($BH$3,0,0,'Données projet'!$E$11+1,1))-AVERAGE(OFFSET($H$3,0,0,'Données projet'!$E$11+1,1))</f>
        <v>210.04871822652808</v>
      </c>
      <c r="BJ188" s="59">
        <f t="shared" si="146"/>
        <v>250.17540614049324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0.33903824658024634</v>
      </c>
      <c r="BQ188" s="21">
        <f>EXP(-LN(2)/25)*BQ187+(1-EXP(-LN(2)/25))/(LN(2)/25)*Calculateur!BL188*Calculateur!BN188*VLOOKUP('Données projet'!$B$11,Paramètres!$A$1:$I$89,3,0)*0.475*44/12</f>
        <v>0.37856317793158339</v>
      </c>
      <c r="BR188" s="21">
        <f>EXP(-LN(2)/2)*BR187+(1-EXP(-LN(2)/2))/(LN(2)/2)*BL188*BO188*VLOOKUP('Données projet'!$B$11,Paramètres!$A$1:$I$89,3,0)*0.475*44/12</f>
        <v>1.0085582185335476E-22</v>
      </c>
      <c r="BS188" s="22">
        <f t="shared" si="169"/>
        <v>0.71760142451182973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2.2737367544323206E-13</v>
      </c>
      <c r="BZ188" s="13">
        <f>BY188*VLOOKUP('Données projet'!$B$12,Paramètres!$A$1:$I$89,3,0)*VLOOKUP('Données projet'!$B$12,Paramètres!$A$1:$I$89,5,0)</f>
        <v>1.2414602679200471E-13</v>
      </c>
      <c r="CA188" s="13">
        <f t="shared" si="170"/>
        <v>1.8186582995804361E-12</v>
      </c>
      <c r="CB188" s="20">
        <f t="shared" si="171"/>
        <v>3.3837175350986671E-12</v>
      </c>
      <c r="CC188" s="59">
        <f t="shared" si="119"/>
        <v>293.33333333333672</v>
      </c>
      <c r="CD188" s="59">
        <f ca="1">AVERAGE(OFFSET($CC$3,0,0,'Données projet'!$E$12+1,1))-AVERAGE(OFFSET($H$3,0,0,'Données projet'!$E$12+1,1))</f>
        <v>168.72306536277267</v>
      </c>
      <c r="CE188" s="59">
        <f t="shared" si="148"/>
        <v>203.35476578922339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0.14126593607510271</v>
      </c>
      <c r="CL188" s="21">
        <f>EXP(-LN(2)/25)*CL187+(1-EXP(-LN(2)/25))/(LN(2)/25)*Calculateur!CG188*Calculateur!CI188*VLOOKUP('Données projet'!$B$12,Paramètres!$A$1:$I$89,3,0)*0.475*44/12</f>
        <v>0.31265036647783817</v>
      </c>
      <c r="CM188" s="21">
        <f>EXP(-LN(2)/2)*CM187+(1-EXP(-LN(2)/2))/(LN(2)/2)*CG188*CJ188*VLOOKUP('Données projet'!$B$12,Paramètres!$A$1:$I$89,3,0)*0.475*44/12</f>
        <v>9.3696387336203278E-23</v>
      </c>
      <c r="CN188" s="22">
        <f t="shared" si="172"/>
        <v>0.45391630255294091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1277.6923076923067</v>
      </c>
      <c r="CU188" s="17">
        <f>CT188*VLOOKUP('Données projet'!$B$13,Paramètres!$A$1:$I$89,3,0)*VLOOKUP('Données projet'!$B$13,Paramètres!$A$1:$I$89,5,0)</f>
        <v>614.5699999999996</v>
      </c>
      <c r="CV188" s="13">
        <f t="shared" si="173"/>
        <v>134.13240620831178</v>
      </c>
      <c r="CW188" s="20">
        <f t="shared" si="174"/>
        <v>1303.9900241461421</v>
      </c>
      <c r="CX188" s="59">
        <f t="shared" si="122"/>
        <v>1597.3233574794754</v>
      </c>
      <c r="CY188" s="59">
        <f ca="1">AVERAGE(OFFSET($CX$3,0,0,'Données projet'!$E$13+1,1))-AVERAGE(OFFSET($H$3,0,0,'Données projet'!$E$13+1,1))</f>
        <v>304.15237106473313</v>
      </c>
      <c r="CZ188" s="59">
        <f t="shared" si="150"/>
        <v>120.85458928724336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>
        <f>EXP(-LN(2)/35)*DF187+(1-EXP(-LN(2)/35))/(LN(2)/35)*DB188*DC188*VLOOKUP('Données projet'!$B$13,Paramètres!$A$1:$I$89,3,0)*0.475*44/12</f>
        <v>0</v>
      </c>
      <c r="DG188" s="21">
        <f>EXP(-LN(2)/25)*DG187+(1-EXP(-LN(2)/25))/(LN(2)/25)*Calculateur!DB188*Calculateur!DD188*VLOOKUP('Données projet'!$B$13,Paramètres!$A$1:$I$89,3,0)*0.475*44/12</f>
        <v>0</v>
      </c>
      <c r="DH188" s="21">
        <f>EXP(-LN(2)/2)*DH187+(1-EXP(-LN(2)/2))/(LN(2)/2)*DB188*DE188*VLOOKUP('Données projet'!$B$13,Paramètres!$A$1:$I$89,3,0)*0.475*44/12</f>
        <v>0</v>
      </c>
      <c r="DI188" s="22">
        <f t="shared" si="175"/>
        <v>0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425.38461538461536</v>
      </c>
      <c r="DP188" s="17">
        <f>DO188*VLOOKUP('Données projet'!$B$14,Paramètres!$A$1:$I$89,3,0)*VLOOKUP('Données projet'!$B$14,Paramètres!$A$1:$I$89,5,0)</f>
        <v>204.60999999999999</v>
      </c>
      <c r="DQ188" s="13">
        <f t="shared" si="176"/>
        <v>50.755958577224398</v>
      </c>
      <c r="DR188" s="20">
        <f t="shared" si="177"/>
        <v>444.76237785533249</v>
      </c>
      <c r="DS188" s="59">
        <f t="shared" si="125"/>
        <v>738.09571118866575</v>
      </c>
      <c r="DT188" s="59">
        <f ca="1">AVERAGE(OFFSET($DS$3,0,0,'Données projet'!$E$14+1,1))-AVERAGE(OFFSET($H$3,0,0,'Données projet'!$E$14+1,1))</f>
        <v>91.053246648097399</v>
      </c>
      <c r="DU188" s="59">
        <f t="shared" si="152"/>
        <v>64.716270355703955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>
        <f>EXP(-LN(2)/35)*EA187+(1-EXP(-LN(2)/35))/(LN(2)/35)*DW188*DX188*VLOOKUP('Données projet'!$B$14,Paramètres!$A$1:$I$89,3,0)*0.475*44/12</f>
        <v>0</v>
      </c>
      <c r="EB188" s="21">
        <f>EXP(-LN(2)/25)*EB187+(1-EXP(-LN(2)/25))/(LN(2)/25)*Calculateur!DW188*Calculateur!DY188*VLOOKUP('Données projet'!$B$14,Paramètres!$A$1:$I$89,3,0)*0.475*44/12</f>
        <v>0</v>
      </c>
      <c r="EC188" s="21">
        <f>EXP(-LN(2)/2)*EC187+(1-EXP(-LN(2)/2))/(LN(2)/2)*DW188*DZ188*VLOOKUP('Données projet'!$B$14,Paramètres!$A$1:$I$89,3,0)*0.475*44/12</f>
        <v>0</v>
      </c>
      <c r="ED188" s="22">
        <f t="shared" si="178"/>
        <v>0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553.99999999999955</v>
      </c>
      <c r="EK188" s="17">
        <f>EJ188*VLOOKUP('Données projet'!$B$15,Paramètres!$A$1:$I$89,3,0)*VLOOKUP('Données projet'!$B$15,Paramètres!$A$1:$I$89,5,0)</f>
        <v>331.29199999999975</v>
      </c>
      <c r="EL188" s="13">
        <f t="shared" si="179"/>
        <v>77.698110787752</v>
      </c>
      <c r="EM188" s="20">
        <f t="shared" si="180"/>
        <v>712.32444295533423</v>
      </c>
      <c r="EN188" s="59">
        <f t="shared" si="128"/>
        <v>1005.6577762886675</v>
      </c>
      <c r="EO188" s="59">
        <f ca="1">AVERAGE(OFFSET($EN$3,0,0,'Données projet'!$E$15+1,1))-AVERAGE(OFFSET($H$3,0,0,'Données projet'!$E$15+1,1))</f>
        <v>316.58509520829671</v>
      </c>
      <c r="EP188" s="59">
        <f t="shared" si="154"/>
        <v>240.71332110643596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>
        <f>EXP(-LN(2)/35)*EV187+(1-EXP(-LN(2)/35))/(LN(2)/35)*ER188*ES188*VLOOKUP('Données projet'!$B$15,Paramètres!$A$1:$I$89,3,0)*0.475*44/12</f>
        <v>0.11769758857685869</v>
      </c>
      <c r="EW188" s="21">
        <f>EXP(-LN(2)/25)*EW187+(1-EXP(-LN(2)/25))/(LN(2)/25)*Calculateur!ER188*Calculateur!ET188*VLOOKUP('Données projet'!$B$15,Paramètres!$A$1:$I$89,3,0)*0.475*44/12</f>
        <v>0.20767972198403745</v>
      </c>
      <c r="EX188" s="21">
        <f>EXP(-LN(2)/2)*EX187+(1-EXP(-LN(2)/2))/(LN(2)/2)*ER188*EU188*VLOOKUP('Données projet'!$B$15,Paramètres!$A$1:$I$89,3,0)*0.475*44/12</f>
        <v>1.0265945524842864E-22</v>
      </c>
      <c r="EY188" s="22">
        <f t="shared" si="181"/>
        <v>0.32537731056089614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497</v>
      </c>
      <c r="FF188" s="17">
        <f>FE188*VLOOKUP('Données projet'!$B$16,Paramètres!$A$1:$I$89,3,0)*VLOOKUP('Données projet'!$B$16,Paramètres!$A$1:$I$89,5,0)</f>
        <v>297.20600000000002</v>
      </c>
      <c r="FG188" s="13">
        <f t="shared" si="182"/>
        <v>70.590415164571112</v>
      </c>
      <c r="FH188" s="20">
        <f t="shared" si="183"/>
        <v>640.57875641162809</v>
      </c>
      <c r="FI188" s="59">
        <f t="shared" si="131"/>
        <v>933.91208974496135</v>
      </c>
      <c r="FJ188" s="59">
        <f ca="1">AVERAGE(OFFSET($FI$3,0,0,'Données projet'!$E$16+1,1))-AVERAGE(OFFSET($H$3,0,0,'Données projet'!$E$16+1,1))</f>
        <v>270.30888762640245</v>
      </c>
      <c r="FK188" s="59">
        <f t="shared" si="156"/>
        <v>202.23783851977691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>
        <f>EXP(-LN(2)/35)*FQ187+(1-EXP(-LN(2)/35))/(LN(2)/35)*FM188*FN188*VLOOKUP('Données projet'!$B$16,Paramètres!$A$1:$I$89,3,0)*0.475*44/12</f>
        <v>9.9462750910021339E-2</v>
      </c>
      <c r="FR188" s="21">
        <f>EXP(-LN(2)/25)*FR187+(1-EXP(-LN(2)/25))/(LN(2)/25)*Calculateur!FM188*Calculateur!FO188*VLOOKUP('Données projet'!$B$16,Paramètres!$A$1:$I$89,3,0)*0.475*44/12</f>
        <v>0.16724375625292645</v>
      </c>
      <c r="FS188" s="21">
        <f>EXP(-LN(2)/2)*FS187+(1-EXP(-LN(2)/2))/(LN(2)/2)*FM188*FP188*VLOOKUP('Données projet'!$B$16,Paramètres!$A$1:$I$89,3,0)*0.475*44/12</f>
        <v>8.6531356820451405E-23</v>
      </c>
      <c r="FT188" s="22">
        <f t="shared" si="184"/>
        <v>0.2667065071629478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-5.1159076974727213E-13</v>
      </c>
      <c r="GA188" s="17">
        <f>FZ188*VLOOKUP('Données projet'!$B$17,Paramètres!$A$1:$I$89,3,0)*VLOOKUP('Données projet'!$B$17,Paramètres!$A$1:$I$89,5,0)</f>
        <v>-4.0702161641092972E-13</v>
      </c>
      <c r="GB188" s="13" t="e">
        <f t="shared" si="185"/>
        <v>#NUM!</v>
      </c>
      <c r="GC188" s="20" t="e">
        <f t="shared" si="186"/>
        <v>#NUM!</v>
      </c>
      <c r="GD188" s="59" t="e">
        <f t="shared" si="134"/>
        <v>#NUM!</v>
      </c>
      <c r="GE188" s="59">
        <f ca="1">AVERAGE(OFFSET($GD$3,0,0,'Données projet'!$E$17+1,1))-AVERAGE(OFFSET($H$3,0,0,'Données projet'!$E$17+1,1))</f>
        <v>260.20517190557814</v>
      </c>
      <c r="GF188" s="59">
        <f t="shared" si="158"/>
        <v>307.22009971147133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>
        <f>EXP(-LN(2)/35)*GL187+(1-EXP(-LN(2)/35))/(LN(2)/35)*GH188*GI188*VLOOKUP('Données projet'!$B$17,Paramètres!$A$1:$I$89,3,0)*0.475*44/12</f>
        <v>0.15152453381389011</v>
      </c>
      <c r="GM188" s="21">
        <f>EXP(-LN(2)/25)*GM187+(1-EXP(-LN(2)/25))/(LN(2)/25)*Calculateur!GH188*Calculateur!GJ188*VLOOKUP('Données projet'!$B$17,Paramètres!$A$1:$I$89,3,0)*0.475*44/12</f>
        <v>0.27911487047944861</v>
      </c>
      <c r="GN188" s="21">
        <f>EXP(-LN(2)/2)*GN187+(1-EXP(-LN(2)/2))/(LN(2)/2)*GH188*GK188*VLOOKUP('Données projet'!$B$17,Paramètres!$A$1:$I$89,3,0)*0.475*44/12</f>
        <v>1.1248441456048242E-22</v>
      </c>
      <c r="GO188" s="21">
        <f t="shared" si="187"/>
        <v>0.43063940429333869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5.6843418860808015E-14</v>
      </c>
      <c r="GV188" s="17">
        <f>GU188*VLOOKUP('Données projet'!$B$18,Paramètres!$A$1:$I$89,3,0)*VLOOKUP('Données projet'!$B$18,Paramètres!$A$1:$I$89,5,0)</f>
        <v>4.5224624045658861E-14</v>
      </c>
      <c r="GW188" s="13">
        <f t="shared" si="188"/>
        <v>7.4514601661523691E-13</v>
      </c>
      <c r="GX188" s="20">
        <f t="shared" si="189"/>
        <v>1.3765621991510601E-12</v>
      </c>
      <c r="GY188" s="59">
        <f t="shared" si="137"/>
        <v>293.33333333333468</v>
      </c>
      <c r="GZ188" s="59">
        <f ca="1">AVERAGE(OFFSET($GY$3,0,0,'Données projet'!$E$18+1,1))-AVERAGE(OFFSET($H$3,0,0,'Données projet'!$E$18+1,1))</f>
        <v>199.58763537752952</v>
      </c>
      <c r="HA188" s="59">
        <f t="shared" si="160"/>
        <v>242.62852778451929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>
        <f>EXP(-LN(2)/35)*HG187+(1-EXP(-LN(2)/35))/(LN(2)/35)*HC188*HD188*VLOOKUP('Données projet'!$B$18,Paramètres!$A$1:$I$89,3,0)*0.475*44/12</f>
        <v>0</v>
      </c>
      <c r="HH188" s="21">
        <f>EXP(-LN(2)/25)*HH187+(1-EXP(-LN(2)/25))/(LN(2)/25)*Calculateur!HC188*Calculateur!HE188*VLOOKUP('Données projet'!$B$18,Paramètres!$A$1:$I$89,3,0)*0.475*44/12</f>
        <v>0.13987267121573835</v>
      </c>
      <c r="HI188" s="21">
        <f>EXP(-LN(2)/2)*HI187+(1-EXP(-LN(2)/2))/(LN(2)/2)*HC188*HF188*VLOOKUP('Données projet'!$B$18,Paramètres!$A$1:$I$89,3,0)*0.475*44/12</f>
        <v>5.0355916252375099E-23</v>
      </c>
      <c r="HJ188" s="22">
        <f t="shared" si="190"/>
        <v>0.13987267121573835</v>
      </c>
    </row>
    <row r="189" spans="1:218" x14ac:dyDescent="0.2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165.39119999999974</v>
      </c>
      <c r="D189" s="11">
        <f t="shared" si="140"/>
        <v>42.056160358234798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1601.3480448705823</v>
      </c>
      <c r="H189" s="67">
        <f t="shared" si="110"/>
        <v>654.63748595725838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-2.2737367544323206E-13</v>
      </c>
      <c r="O189" s="13">
        <f>N189*VLOOKUP('Données projet'!$B$9,Paramètres!$A$1:$I$89,3,0)*VLOOKUP('Données projet'!$B$9,Paramètres!$A$1:$I$89,5,0)</f>
        <v>-1.2710188457276673E-13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255.5374979188561</v>
      </c>
      <c r="T189" s="59">
        <f t="shared" si="142"/>
        <v>343.10418468620901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0.14067940582053806</v>
      </c>
      <c r="AA189" s="21">
        <f>EXP(-LN(2)/25)*AA188+(1-EXP(-LN(2)/25))/(LN(2)/25)*Calculateur!V189*Calculateur!X189*VLOOKUP('Données projet'!$B$9,Paramètres!$A$1:$I$89,3,0)*0.475*44/12</f>
        <v>0.21116054066633902</v>
      </c>
      <c r="AB189" s="21">
        <f>EXP(-LN(2)/2)*AB188+(1-EXP(-LN(2)/2))/(LN(2)/2)*V189*Y189*VLOOKUP('Données projet'!$B$9,Paramètres!$A$1:$I$89,3,0)*0.475*44/12</f>
        <v>5.6005159356878817E-24</v>
      </c>
      <c r="AC189" s="22">
        <f t="shared" si="163"/>
        <v>0.35183994648687711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1.1368683772161603E-13</v>
      </c>
      <c r="AJ189" s="13">
        <f>AI189*VLOOKUP('Données projet'!$B$10,Paramètres!$A$1:$I$89,3,0)*VLOOKUP('Données projet'!$B$10,Paramètres!$A$1:$I$89,5,0)</f>
        <v>6.3550942286383367E-14</v>
      </c>
      <c r="AK189" s="13">
        <f t="shared" si="164"/>
        <v>1.0064464192543978E-12</v>
      </c>
      <c r="AL189" s="20">
        <f t="shared" si="165"/>
        <v>1.8635787380168604E-12</v>
      </c>
      <c r="AM189" s="59">
        <f t="shared" si="113"/>
        <v>293.33333333333519</v>
      </c>
      <c r="AN189" s="59">
        <f ca="1">AVERAGE(OFFSET($AM$3,0,0,'Données projet'!$E$10+1,1))-AVERAGE(OFFSET($H$3,0,0,'Données projet'!$E$10+1,1))</f>
        <v>224.7049802939942</v>
      </c>
      <c r="AO189" s="59">
        <f t="shared" si="144"/>
        <v>203.48513862195352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0.10157740643412159</v>
      </c>
      <c r="AV189" s="21">
        <f>EXP(-LN(2)/25)*AV188+(1-EXP(-LN(2)/25))/(LN(2)/25)*Calculateur!AQ189*Calculateur!AS189*VLOOKUP('Données projet'!$B$10,Paramètres!$A$1:$I$89,3,0)*0.475*44/12</f>
        <v>0.25831722137998914</v>
      </c>
      <c r="AW189" s="21">
        <f>EXP(-LN(2)/2)*AW188+(1-EXP(-LN(2)/2))/(LN(2)/2)*AQ189*AT189*VLOOKUP('Données projet'!$B$10,Paramètres!$A$1:$I$89,3,0)*0.475*44/12</f>
        <v>2.9648180047786192E-23</v>
      </c>
      <c r="AX189" s="21">
        <f t="shared" si="166"/>
        <v>0.35989462781411075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>
        <f>BD189*VLOOKUP('Données projet'!$B$11,Paramètres!$A$1:$I$89,3,0)*VLOOKUP('Données projet'!$B$11,Paramètres!$A$1:$I$89,5,0)</f>
        <v>0</v>
      </c>
      <c r="BF189" s="13" t="e">
        <f t="shared" si="167"/>
        <v>#NUM!</v>
      </c>
      <c r="BG189" s="20" t="e">
        <f t="shared" si="168"/>
        <v>#NUM!</v>
      </c>
      <c r="BH189" s="59" t="e">
        <f t="shared" si="116"/>
        <v>#NUM!</v>
      </c>
      <c r="BI189" s="59">
        <f ca="1">AVERAGE(OFFSET($BH$3,0,0,'Données projet'!$E$11+1,1))-AVERAGE(OFFSET($H$3,0,0,'Données projet'!$E$11+1,1))</f>
        <v>210.04871822652808</v>
      </c>
      <c r="BJ189" s="59">
        <f t="shared" si="146"/>
        <v>250.17540614049324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0.332389913357719</v>
      </c>
      <c r="BQ189" s="21">
        <f>EXP(-LN(2)/25)*BQ188+(1-EXP(-LN(2)/25))/(LN(2)/25)*Calculateur!BL189*Calculateur!BN189*VLOOKUP('Données projet'!$B$11,Paramètres!$A$1:$I$89,3,0)*0.475*44/12</f>
        <v>0.36821134792327193</v>
      </c>
      <c r="BR189" s="21">
        <f>EXP(-LN(2)/2)*BR188+(1-EXP(-LN(2)/2))/(LN(2)/2)*BL189*BO189*VLOOKUP('Données projet'!$B$11,Paramètres!$A$1:$I$89,3,0)*0.475*44/12</f>
        <v>7.1315835554649541E-23</v>
      </c>
      <c r="BS189" s="22">
        <f t="shared" si="169"/>
        <v>0.70060126128099087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2.2737367544323206E-13</v>
      </c>
      <c r="BZ189" s="13">
        <f>BY189*VLOOKUP('Données projet'!$B$12,Paramètres!$A$1:$I$89,3,0)*VLOOKUP('Données projet'!$B$12,Paramètres!$A$1:$I$89,5,0)</f>
        <v>1.2414602679200471E-13</v>
      </c>
      <c r="CA189" s="13">
        <f t="shared" si="170"/>
        <v>1.8186582995804361E-12</v>
      </c>
      <c r="CB189" s="20">
        <f t="shared" si="171"/>
        <v>3.3837175350986671E-12</v>
      </c>
      <c r="CC189" s="59">
        <f t="shared" si="119"/>
        <v>293.33333333333672</v>
      </c>
      <c r="CD189" s="59">
        <f ca="1">AVERAGE(OFFSET($CC$3,0,0,'Données projet'!$E$12+1,1))-AVERAGE(OFFSET($H$3,0,0,'Données projet'!$E$12+1,1))</f>
        <v>168.72306536277267</v>
      </c>
      <c r="CE189" s="59">
        <f t="shared" si="148"/>
        <v>203.35476578922339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0.13849579723238301</v>
      </c>
      <c r="CL189" s="21">
        <f>EXP(-LN(2)/25)*CL188+(1-EXP(-LN(2)/25))/(LN(2)/25)*Calculateur!CG189*Calculateur!CI189*VLOOKUP('Données projet'!$B$12,Paramètres!$A$1:$I$89,3,0)*0.475*44/12</f>
        <v>0.30410092576493347</v>
      </c>
      <c r="CM189" s="21">
        <f>EXP(-LN(2)/2)*CM188+(1-EXP(-LN(2)/2))/(LN(2)/2)*CG189*CJ189*VLOOKUP('Données projet'!$B$12,Paramètres!$A$1:$I$89,3,0)*0.475*44/12</f>
        <v>6.6253350858110693E-23</v>
      </c>
      <c r="CN189" s="22">
        <f t="shared" si="172"/>
        <v>0.44259672299731645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1277.6923076923067</v>
      </c>
      <c r="CU189" s="17">
        <f>CT189*VLOOKUP('Données projet'!$B$13,Paramètres!$A$1:$I$89,3,0)*VLOOKUP('Données projet'!$B$13,Paramètres!$A$1:$I$89,5,0)</f>
        <v>614.5699999999996</v>
      </c>
      <c r="CV189" s="13">
        <f t="shared" si="173"/>
        <v>134.13240620831178</v>
      </c>
      <c r="CW189" s="20">
        <f t="shared" si="174"/>
        <v>1303.9900241461421</v>
      </c>
      <c r="CX189" s="59">
        <f t="shared" si="122"/>
        <v>1597.3233574794754</v>
      </c>
      <c r="CY189" s="59">
        <f ca="1">AVERAGE(OFFSET($CX$3,0,0,'Données projet'!$E$13+1,1))-AVERAGE(OFFSET($H$3,0,0,'Données projet'!$E$13+1,1))</f>
        <v>304.15237106473313</v>
      </c>
      <c r="CZ189" s="59">
        <f t="shared" si="150"/>
        <v>120.85458928724336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>
        <f>EXP(-LN(2)/35)*DF188+(1-EXP(-LN(2)/35))/(LN(2)/35)*DB189*DC189*VLOOKUP('Données projet'!$B$13,Paramètres!$A$1:$I$89,3,0)*0.475*44/12</f>
        <v>0</v>
      </c>
      <c r="DG189" s="21">
        <f>EXP(-LN(2)/25)*DG188+(1-EXP(-LN(2)/25))/(LN(2)/25)*Calculateur!DB189*Calculateur!DD189*VLOOKUP('Données projet'!$B$13,Paramètres!$A$1:$I$89,3,0)*0.475*44/12</f>
        <v>0</v>
      </c>
      <c r="DH189" s="21">
        <f>EXP(-LN(2)/2)*DH188+(1-EXP(-LN(2)/2))/(LN(2)/2)*DB189*DE189*VLOOKUP('Données projet'!$B$13,Paramètres!$A$1:$I$89,3,0)*0.475*44/12</f>
        <v>0</v>
      </c>
      <c r="DI189" s="22">
        <f t="shared" si="175"/>
        <v>0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425.38461538461536</v>
      </c>
      <c r="DP189" s="17">
        <f>DO189*VLOOKUP('Données projet'!$B$14,Paramètres!$A$1:$I$89,3,0)*VLOOKUP('Données projet'!$B$14,Paramètres!$A$1:$I$89,5,0)</f>
        <v>204.60999999999999</v>
      </c>
      <c r="DQ189" s="13">
        <f t="shared" si="176"/>
        <v>50.755958577224398</v>
      </c>
      <c r="DR189" s="20">
        <f t="shared" si="177"/>
        <v>444.76237785533249</v>
      </c>
      <c r="DS189" s="59">
        <f t="shared" si="125"/>
        <v>738.09571118866575</v>
      </c>
      <c r="DT189" s="59">
        <f ca="1">AVERAGE(OFFSET($DS$3,0,0,'Données projet'!$E$14+1,1))-AVERAGE(OFFSET($H$3,0,0,'Données projet'!$E$14+1,1))</f>
        <v>91.053246648097399</v>
      </c>
      <c r="DU189" s="59">
        <f t="shared" si="152"/>
        <v>64.716270355703955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>
        <f>EXP(-LN(2)/35)*EA188+(1-EXP(-LN(2)/35))/(LN(2)/35)*DW189*DX189*VLOOKUP('Données projet'!$B$14,Paramètres!$A$1:$I$89,3,0)*0.475*44/12</f>
        <v>0</v>
      </c>
      <c r="EB189" s="21">
        <f>EXP(-LN(2)/25)*EB188+(1-EXP(-LN(2)/25))/(LN(2)/25)*Calculateur!DW189*Calculateur!DY189*VLOOKUP('Données projet'!$B$14,Paramètres!$A$1:$I$89,3,0)*0.475*44/12</f>
        <v>0</v>
      </c>
      <c r="EC189" s="21">
        <f>EXP(-LN(2)/2)*EC188+(1-EXP(-LN(2)/2))/(LN(2)/2)*DW189*DZ189*VLOOKUP('Données projet'!$B$14,Paramètres!$A$1:$I$89,3,0)*0.475*44/12</f>
        <v>0</v>
      </c>
      <c r="ED189" s="22">
        <f t="shared" si="178"/>
        <v>0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553.99999999999955</v>
      </c>
      <c r="EK189" s="17">
        <f>EJ189*VLOOKUP('Données projet'!$B$15,Paramètres!$A$1:$I$89,3,0)*VLOOKUP('Données projet'!$B$15,Paramètres!$A$1:$I$89,5,0)</f>
        <v>331.29199999999975</v>
      </c>
      <c r="EL189" s="13">
        <f t="shared" si="179"/>
        <v>77.698110787752</v>
      </c>
      <c r="EM189" s="20">
        <f t="shared" si="180"/>
        <v>712.32444295533423</v>
      </c>
      <c r="EN189" s="59">
        <f t="shared" si="128"/>
        <v>1005.6577762886675</v>
      </c>
      <c r="EO189" s="59">
        <f ca="1">AVERAGE(OFFSET($EN$3,0,0,'Données projet'!$E$15+1,1))-AVERAGE(OFFSET($H$3,0,0,'Données projet'!$E$15+1,1))</f>
        <v>316.58509520829671</v>
      </c>
      <c r="EP189" s="59">
        <f t="shared" si="154"/>
        <v>240.71332110643596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>
        <f>EXP(-LN(2)/35)*EV188+(1-EXP(-LN(2)/35))/(LN(2)/35)*ER189*ES189*VLOOKUP('Données projet'!$B$15,Paramètres!$A$1:$I$89,3,0)*0.475*44/12</f>
        <v>0.11538961065330701</v>
      </c>
      <c r="EW189" s="21">
        <f>EXP(-LN(2)/25)*EW188+(1-EXP(-LN(2)/25))/(LN(2)/25)*Calculateur!ER189*Calculateur!ET189*VLOOKUP('Données projet'!$B$15,Paramètres!$A$1:$I$89,3,0)*0.475*44/12</f>
        <v>0.20200070906498202</v>
      </c>
      <c r="EX189" s="21">
        <f>EXP(-LN(2)/2)*EX188+(1-EXP(-LN(2)/2))/(LN(2)/2)*ER189*EU189*VLOOKUP('Données projet'!$B$15,Paramètres!$A$1:$I$89,3,0)*0.475*44/12</f>
        <v>7.2591196959080796E-23</v>
      </c>
      <c r="EY189" s="22">
        <f t="shared" si="181"/>
        <v>0.31739031971828902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497</v>
      </c>
      <c r="FF189" s="17">
        <f>FE189*VLOOKUP('Données projet'!$B$16,Paramètres!$A$1:$I$89,3,0)*VLOOKUP('Données projet'!$B$16,Paramètres!$A$1:$I$89,5,0)</f>
        <v>297.20600000000002</v>
      </c>
      <c r="FG189" s="13">
        <f t="shared" si="182"/>
        <v>70.590415164571112</v>
      </c>
      <c r="FH189" s="20">
        <f t="shared" si="183"/>
        <v>640.57875641162809</v>
      </c>
      <c r="FI189" s="59">
        <f t="shared" si="131"/>
        <v>933.91208974496135</v>
      </c>
      <c r="FJ189" s="59">
        <f ca="1">AVERAGE(OFFSET($FI$3,0,0,'Données projet'!$E$16+1,1))-AVERAGE(OFFSET($H$3,0,0,'Données projet'!$E$16+1,1))</f>
        <v>270.30888762640245</v>
      </c>
      <c r="FK189" s="59">
        <f t="shared" si="156"/>
        <v>202.23783851977691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>
        <f>EXP(-LN(2)/35)*FQ188+(1-EXP(-LN(2)/35))/(LN(2)/35)*FM189*FN189*VLOOKUP('Données projet'!$B$16,Paramètres!$A$1:$I$89,3,0)*0.475*44/12</f>
        <v>9.7512347030963578E-2</v>
      </c>
      <c r="FR189" s="21">
        <f>EXP(-LN(2)/25)*FR188+(1-EXP(-LN(2)/25))/(LN(2)/25)*Calculateur!FM189*Calculateur!FO189*VLOOKUP('Données projet'!$B$16,Paramètres!$A$1:$I$89,3,0)*0.475*44/12</f>
        <v>0.16267046694322326</v>
      </c>
      <c r="FS189" s="21">
        <f>EXP(-LN(2)/2)*FS188+(1-EXP(-LN(2)/2))/(LN(2)/2)*FM189*FP189*VLOOKUP('Données projet'!$B$16,Paramètres!$A$1:$I$89,3,0)*0.475*44/12</f>
        <v>6.1186909193013998E-23</v>
      </c>
      <c r="FT189" s="22">
        <f t="shared" si="184"/>
        <v>0.26018281397418686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-5.1159076974727213E-13</v>
      </c>
      <c r="GA189" s="17">
        <f>FZ189*VLOOKUP('Données projet'!$B$17,Paramètres!$A$1:$I$89,3,0)*VLOOKUP('Données projet'!$B$17,Paramètres!$A$1:$I$89,5,0)</f>
        <v>-4.0702161641092972E-13</v>
      </c>
      <c r="GB189" s="13" t="e">
        <f t="shared" si="185"/>
        <v>#NUM!</v>
      </c>
      <c r="GC189" s="20" t="e">
        <f t="shared" si="186"/>
        <v>#NUM!</v>
      </c>
      <c r="GD189" s="59" t="e">
        <f t="shared" si="134"/>
        <v>#NUM!</v>
      </c>
      <c r="GE189" s="59">
        <f ca="1">AVERAGE(OFFSET($GD$3,0,0,'Données projet'!$E$17+1,1))-AVERAGE(OFFSET($H$3,0,0,'Données projet'!$E$17+1,1))</f>
        <v>260.20517190557814</v>
      </c>
      <c r="GF189" s="59">
        <f t="shared" si="158"/>
        <v>307.22009971147133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>
        <f>EXP(-LN(2)/35)*GL188+(1-EXP(-LN(2)/35))/(LN(2)/35)*GH189*GI189*VLOOKUP('Données projet'!$B$17,Paramètres!$A$1:$I$89,3,0)*0.475*44/12</f>
        <v>0.14855323012663954</v>
      </c>
      <c r="GM189" s="21">
        <f>EXP(-LN(2)/25)*GM188+(1-EXP(-LN(2)/25))/(LN(2)/25)*Calculateur!GH189*Calculateur!GJ189*VLOOKUP('Données projet'!$B$17,Paramètres!$A$1:$I$89,3,0)*0.475*44/12</f>
        <v>0.27148245966817497</v>
      </c>
      <c r="GN189" s="21">
        <f>EXP(-LN(2)/2)*GN188+(1-EXP(-LN(2)/2))/(LN(2)/2)*GH189*GK189*VLOOKUP('Données projet'!$B$17,Paramètres!$A$1:$I$89,3,0)*0.475*44/12</f>
        <v>7.9538492313515944E-23</v>
      </c>
      <c r="GO189" s="21">
        <f t="shared" si="187"/>
        <v>0.42003568979481454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5.6843418860808015E-14</v>
      </c>
      <c r="GV189" s="17">
        <f>GU189*VLOOKUP('Données projet'!$B$18,Paramètres!$A$1:$I$89,3,0)*VLOOKUP('Données projet'!$B$18,Paramètres!$A$1:$I$89,5,0)</f>
        <v>4.5224624045658861E-14</v>
      </c>
      <c r="GW189" s="13">
        <f t="shared" si="188"/>
        <v>7.4514601661523691E-13</v>
      </c>
      <c r="GX189" s="20">
        <f t="shared" si="189"/>
        <v>1.3765621991510601E-12</v>
      </c>
      <c r="GY189" s="59">
        <f t="shared" si="137"/>
        <v>293.33333333333468</v>
      </c>
      <c r="GZ189" s="59">
        <f ca="1">AVERAGE(OFFSET($GY$3,0,0,'Données projet'!$E$18+1,1))-AVERAGE(OFFSET($H$3,0,0,'Données projet'!$E$18+1,1))</f>
        <v>199.58763537752952</v>
      </c>
      <c r="HA189" s="59">
        <f t="shared" si="160"/>
        <v>242.62852778451929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>
        <f>EXP(-LN(2)/35)*HG188+(1-EXP(-LN(2)/35))/(LN(2)/35)*HC189*HD189*VLOOKUP('Données projet'!$B$18,Paramètres!$A$1:$I$89,3,0)*0.475*44/12</f>
        <v>0</v>
      </c>
      <c r="HH189" s="21">
        <f>EXP(-LN(2)/25)*HH188+(1-EXP(-LN(2)/25))/(LN(2)/25)*Calculateur!HC189*Calculateur!HE189*VLOOKUP('Données projet'!$B$18,Paramètres!$A$1:$I$89,3,0)*0.475*44/12</f>
        <v>0.13604784566575989</v>
      </c>
      <c r="HI189" s="21">
        <f>EXP(-LN(2)/2)*HI188+(1-EXP(-LN(2)/2))/(LN(2)/2)*HC189*HF189*VLOOKUP('Données projet'!$B$18,Paramètres!$A$1:$I$89,3,0)*0.475*44/12</f>
        <v>3.5607009854916311E-23</v>
      </c>
      <c r="HJ189" s="22">
        <f t="shared" si="190"/>
        <v>0.13604784566575989</v>
      </c>
    </row>
    <row r="190" spans="1:218" x14ac:dyDescent="0.2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166.28039999999973</v>
      </c>
      <c r="D190" s="11">
        <f t="shared" si="140"/>
        <v>42.255887340755834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1609.7537970163587</v>
      </c>
      <c r="H190" s="67">
        <f t="shared" si="110"/>
        <v>656.53403378514918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-2.2737367544323206E-13</v>
      </c>
      <c r="O190" s="13">
        <f>N190*VLOOKUP('Données projet'!$B$9,Paramètres!$A$1:$I$89,3,0)*VLOOKUP('Données projet'!$B$9,Paramètres!$A$1:$I$89,5,0)</f>
        <v>-1.2710188457276673E-13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255.5374979188561</v>
      </c>
      <c r="T190" s="59">
        <f t="shared" si="142"/>
        <v>343.10418468620901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0.13792076847836224</v>
      </c>
      <c r="AA190" s="21">
        <f>EXP(-LN(2)/25)*AA189+(1-EXP(-LN(2)/25))/(LN(2)/25)*Calculateur!V190*Calculateur!X190*VLOOKUP('Données projet'!$B$9,Paramètres!$A$1:$I$89,3,0)*0.475*44/12</f>
        <v>0.20538634457736776</v>
      </c>
      <c r="AB190" s="21">
        <f>EXP(-LN(2)/2)*AB189+(1-EXP(-LN(2)/2))/(LN(2)/2)*V190*Y190*VLOOKUP('Données projet'!$B$9,Paramètres!$A$1:$I$89,3,0)*0.475*44/12</f>
        <v>3.9601627962682233E-24</v>
      </c>
      <c r="AC190" s="22">
        <f t="shared" si="163"/>
        <v>0.34330711305573003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1.1368683772161603E-13</v>
      </c>
      <c r="AJ190" s="13">
        <f>AI190*VLOOKUP('Données projet'!$B$10,Paramètres!$A$1:$I$89,3,0)*VLOOKUP('Données projet'!$B$10,Paramètres!$A$1:$I$89,5,0)</f>
        <v>6.3550942286383367E-14</v>
      </c>
      <c r="AK190" s="13">
        <f t="shared" si="164"/>
        <v>1.0064464192543978E-12</v>
      </c>
      <c r="AL190" s="20">
        <f t="shared" si="165"/>
        <v>1.8635787380168604E-12</v>
      </c>
      <c r="AM190" s="59">
        <f t="shared" si="113"/>
        <v>293.33333333333519</v>
      </c>
      <c r="AN190" s="59">
        <f ca="1">AVERAGE(OFFSET($AM$3,0,0,'Données projet'!$E$10+1,1))-AVERAGE(OFFSET($H$3,0,0,'Données projet'!$E$10+1,1))</f>
        <v>224.7049802939942</v>
      </c>
      <c r="AO190" s="59">
        <f t="shared" si="144"/>
        <v>203.48513862195352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9.9585535450048737E-2</v>
      </c>
      <c r="AV190" s="21">
        <f>EXP(-LN(2)/25)*AV189+(1-EXP(-LN(2)/25))/(LN(2)/25)*Calculateur!AQ190*Calculateur!AS190*VLOOKUP('Données projet'!$B$10,Paramètres!$A$1:$I$89,3,0)*0.475*44/12</f>
        <v>0.25125352337704104</v>
      </c>
      <c r="AW190" s="21">
        <f>EXP(-LN(2)/2)*AW189+(1-EXP(-LN(2)/2))/(LN(2)/2)*AQ190*AT190*VLOOKUP('Données projet'!$B$10,Paramètres!$A$1:$I$89,3,0)*0.475*44/12</f>
        <v>2.0964429161629315E-23</v>
      </c>
      <c r="AX190" s="21">
        <f t="shared" si="166"/>
        <v>0.35083905882708977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>
        <f>BD190*VLOOKUP('Données projet'!$B$11,Paramètres!$A$1:$I$89,3,0)*VLOOKUP('Données projet'!$B$11,Paramètres!$A$1:$I$89,5,0)</f>
        <v>0</v>
      </c>
      <c r="BF190" s="13" t="e">
        <f t="shared" si="167"/>
        <v>#NUM!</v>
      </c>
      <c r="BG190" s="20" t="e">
        <f t="shared" si="168"/>
        <v>#NUM!</v>
      </c>
      <c r="BH190" s="59" t="e">
        <f t="shared" si="116"/>
        <v>#NUM!</v>
      </c>
      <c r="BI190" s="59">
        <f ca="1">AVERAGE(OFFSET($BH$3,0,0,'Données projet'!$E$11+1,1))-AVERAGE(OFFSET($H$3,0,0,'Données projet'!$E$11+1,1))</f>
        <v>210.04871822652808</v>
      </c>
      <c r="BJ190" s="59">
        <f t="shared" si="146"/>
        <v>250.17540614049324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0.32587194989460261</v>
      </c>
      <c r="BQ190" s="21">
        <f>EXP(-LN(2)/25)*BQ189+(1-EXP(-LN(2)/25))/(LN(2)/25)*Calculateur!BL190*Calculateur!BN190*VLOOKUP('Données projet'!$B$11,Paramètres!$A$1:$I$89,3,0)*0.475*44/12</f>
        <v>0.3581425892509168</v>
      </c>
      <c r="BR190" s="21">
        <f>EXP(-LN(2)/2)*BR189+(1-EXP(-LN(2)/2))/(LN(2)/2)*BL190*BO190*VLOOKUP('Données projet'!$B$11,Paramètres!$A$1:$I$89,3,0)*0.475*44/12</f>
        <v>5.0427910926677379E-23</v>
      </c>
      <c r="BS190" s="22">
        <f t="shared" si="169"/>
        <v>0.68401453914551946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2.2737367544323206E-13</v>
      </c>
      <c r="BZ190" s="13">
        <f>BY190*VLOOKUP('Données projet'!$B$12,Paramètres!$A$1:$I$89,3,0)*VLOOKUP('Données projet'!$B$12,Paramètres!$A$1:$I$89,5,0)</f>
        <v>1.2414602679200471E-13</v>
      </c>
      <c r="CA190" s="13">
        <f t="shared" si="170"/>
        <v>1.8186582995804361E-12</v>
      </c>
      <c r="CB190" s="20">
        <f t="shared" si="171"/>
        <v>3.3837175350986671E-12</v>
      </c>
      <c r="CC190" s="59">
        <f t="shared" si="119"/>
        <v>293.33333333333672</v>
      </c>
      <c r="CD190" s="59">
        <f ca="1">AVERAGE(OFFSET($CC$3,0,0,'Données projet'!$E$12+1,1))-AVERAGE(OFFSET($H$3,0,0,'Données projet'!$E$12+1,1))</f>
        <v>168.72306536277267</v>
      </c>
      <c r="CE190" s="59">
        <f t="shared" si="148"/>
        <v>203.35476578922339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0.13577997912275117</v>
      </c>
      <c r="CL190" s="21">
        <f>EXP(-LN(2)/25)*CL189+(1-EXP(-LN(2)/25))/(LN(2)/25)*Calculateur!CG190*Calculateur!CI190*VLOOKUP('Données projet'!$B$12,Paramètres!$A$1:$I$89,3,0)*0.475*44/12</f>
        <v>0.29578526995791871</v>
      </c>
      <c r="CM190" s="21">
        <f>EXP(-LN(2)/2)*CM189+(1-EXP(-LN(2)/2))/(LN(2)/2)*CG190*CJ190*VLOOKUP('Données projet'!$B$12,Paramètres!$A$1:$I$89,3,0)*0.475*44/12</f>
        <v>4.6848193668101639E-23</v>
      </c>
      <c r="CN190" s="22">
        <f t="shared" si="172"/>
        <v>0.43156524908066984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1277.6923076923067</v>
      </c>
      <c r="CU190" s="17">
        <f>CT190*VLOOKUP('Données projet'!$B$13,Paramètres!$A$1:$I$89,3,0)*VLOOKUP('Données projet'!$B$13,Paramètres!$A$1:$I$89,5,0)</f>
        <v>614.5699999999996</v>
      </c>
      <c r="CV190" s="13">
        <f t="shared" si="173"/>
        <v>134.13240620831178</v>
      </c>
      <c r="CW190" s="20">
        <f t="shared" si="174"/>
        <v>1303.9900241461421</v>
      </c>
      <c r="CX190" s="59">
        <f t="shared" si="122"/>
        <v>1597.3233574794754</v>
      </c>
      <c r="CY190" s="59">
        <f ca="1">AVERAGE(OFFSET($CX$3,0,0,'Données projet'!$E$13+1,1))-AVERAGE(OFFSET($H$3,0,0,'Données projet'!$E$13+1,1))</f>
        <v>304.15237106473313</v>
      </c>
      <c r="CZ190" s="59">
        <f t="shared" si="150"/>
        <v>120.85458928724336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>
        <f>EXP(-LN(2)/35)*DF189+(1-EXP(-LN(2)/35))/(LN(2)/35)*DB190*DC190*VLOOKUP('Données projet'!$B$13,Paramètres!$A$1:$I$89,3,0)*0.475*44/12</f>
        <v>0</v>
      </c>
      <c r="DG190" s="21">
        <f>EXP(-LN(2)/25)*DG189+(1-EXP(-LN(2)/25))/(LN(2)/25)*Calculateur!DB190*Calculateur!DD190*VLOOKUP('Données projet'!$B$13,Paramètres!$A$1:$I$89,3,0)*0.475*44/12</f>
        <v>0</v>
      </c>
      <c r="DH190" s="21">
        <f>EXP(-LN(2)/2)*DH189+(1-EXP(-LN(2)/2))/(LN(2)/2)*DB190*DE190*VLOOKUP('Données projet'!$B$13,Paramètres!$A$1:$I$89,3,0)*0.475*44/12</f>
        <v>0</v>
      </c>
      <c r="DI190" s="22">
        <f t="shared" si="175"/>
        <v>0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425.38461538461536</v>
      </c>
      <c r="DP190" s="17">
        <f>DO190*VLOOKUP('Données projet'!$B$14,Paramètres!$A$1:$I$89,3,0)*VLOOKUP('Données projet'!$B$14,Paramètres!$A$1:$I$89,5,0)</f>
        <v>204.60999999999999</v>
      </c>
      <c r="DQ190" s="13">
        <f t="shared" si="176"/>
        <v>50.755958577224398</v>
      </c>
      <c r="DR190" s="20">
        <f t="shared" si="177"/>
        <v>444.76237785533249</v>
      </c>
      <c r="DS190" s="59">
        <f t="shared" si="125"/>
        <v>738.09571118866575</v>
      </c>
      <c r="DT190" s="59">
        <f ca="1">AVERAGE(OFFSET($DS$3,0,0,'Données projet'!$E$14+1,1))-AVERAGE(OFFSET($H$3,0,0,'Données projet'!$E$14+1,1))</f>
        <v>91.053246648097399</v>
      </c>
      <c r="DU190" s="59">
        <f t="shared" si="152"/>
        <v>64.716270355703955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>
        <f>EXP(-LN(2)/35)*EA189+(1-EXP(-LN(2)/35))/(LN(2)/35)*DW190*DX190*VLOOKUP('Données projet'!$B$14,Paramètres!$A$1:$I$89,3,0)*0.475*44/12</f>
        <v>0</v>
      </c>
      <c r="EB190" s="21">
        <f>EXP(-LN(2)/25)*EB189+(1-EXP(-LN(2)/25))/(LN(2)/25)*Calculateur!DW190*Calculateur!DY190*VLOOKUP('Données projet'!$B$14,Paramètres!$A$1:$I$89,3,0)*0.475*44/12</f>
        <v>0</v>
      </c>
      <c r="EC190" s="21">
        <f>EXP(-LN(2)/2)*EC189+(1-EXP(-LN(2)/2))/(LN(2)/2)*DW190*DZ190*VLOOKUP('Données projet'!$B$14,Paramètres!$A$1:$I$89,3,0)*0.475*44/12</f>
        <v>0</v>
      </c>
      <c r="ED190" s="22">
        <f t="shared" si="178"/>
        <v>0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553.99999999999955</v>
      </c>
      <c r="EK190" s="17">
        <f>EJ190*VLOOKUP('Données projet'!$B$15,Paramètres!$A$1:$I$89,3,0)*VLOOKUP('Données projet'!$B$15,Paramètres!$A$1:$I$89,5,0)</f>
        <v>331.29199999999975</v>
      </c>
      <c r="EL190" s="13">
        <f t="shared" si="179"/>
        <v>77.698110787752</v>
      </c>
      <c r="EM190" s="20">
        <f t="shared" si="180"/>
        <v>712.32444295533423</v>
      </c>
      <c r="EN190" s="59">
        <f t="shared" si="128"/>
        <v>1005.6577762886675</v>
      </c>
      <c r="EO190" s="59">
        <f ca="1">AVERAGE(OFFSET($EN$3,0,0,'Données projet'!$E$15+1,1))-AVERAGE(OFFSET($H$3,0,0,'Données projet'!$E$15+1,1))</f>
        <v>316.58509520829671</v>
      </c>
      <c r="EP190" s="59">
        <f t="shared" si="154"/>
        <v>240.71332110643596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>
        <f>EXP(-LN(2)/35)*EV189+(1-EXP(-LN(2)/35))/(LN(2)/35)*ER190*ES190*VLOOKUP('Données projet'!$B$15,Paramètres!$A$1:$I$89,3,0)*0.475*44/12</f>
        <v>0.11312689076910865</v>
      </c>
      <c r="EW190" s="21">
        <f>EXP(-LN(2)/25)*EW189+(1-EXP(-LN(2)/25))/(LN(2)/25)*Calculateur!ER190*Calculateur!ET190*VLOOKUP('Données projet'!$B$15,Paramètres!$A$1:$I$89,3,0)*0.475*44/12</f>
        <v>0.19647698905284447</v>
      </c>
      <c r="EX190" s="21">
        <f>EXP(-LN(2)/2)*EX189+(1-EXP(-LN(2)/2))/(LN(2)/2)*ER190*EU190*VLOOKUP('Données projet'!$B$15,Paramètres!$A$1:$I$89,3,0)*0.475*44/12</f>
        <v>5.1329727624214319E-23</v>
      </c>
      <c r="EY190" s="22">
        <f t="shared" si="181"/>
        <v>0.30960387982195314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497</v>
      </c>
      <c r="FF190" s="17">
        <f>FE190*VLOOKUP('Données projet'!$B$16,Paramètres!$A$1:$I$89,3,0)*VLOOKUP('Données projet'!$B$16,Paramètres!$A$1:$I$89,5,0)</f>
        <v>297.20600000000002</v>
      </c>
      <c r="FG190" s="13">
        <f t="shared" si="182"/>
        <v>70.590415164571112</v>
      </c>
      <c r="FH190" s="20">
        <f t="shared" si="183"/>
        <v>640.57875641162809</v>
      </c>
      <c r="FI190" s="59">
        <f t="shared" si="131"/>
        <v>933.91208974496135</v>
      </c>
      <c r="FJ190" s="59">
        <f ca="1">AVERAGE(OFFSET($FI$3,0,0,'Données projet'!$E$16+1,1))-AVERAGE(OFFSET($H$3,0,0,'Données projet'!$E$16+1,1))</f>
        <v>270.30888762640245</v>
      </c>
      <c r="FK190" s="59">
        <f t="shared" si="156"/>
        <v>202.23783851977691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>
        <f>EXP(-LN(2)/35)*FQ189+(1-EXP(-LN(2)/35))/(LN(2)/35)*FM190*FN190*VLOOKUP('Données projet'!$B$16,Paramètres!$A$1:$I$89,3,0)*0.475*44/12</f>
        <v>9.5600189382345241E-2</v>
      </c>
      <c r="FR190" s="21">
        <f>EXP(-LN(2)/25)*FR189+(1-EXP(-LN(2)/25))/(LN(2)/25)*Calculateur!FM190*Calculateur!FO190*VLOOKUP('Données projet'!$B$16,Paramètres!$A$1:$I$89,3,0)*0.475*44/12</f>
        <v>0.15822223447019276</v>
      </c>
      <c r="FS190" s="21">
        <f>EXP(-LN(2)/2)*FS189+(1-EXP(-LN(2)/2))/(LN(2)/2)*FM190*FP190*VLOOKUP('Données projet'!$B$16,Paramètres!$A$1:$I$89,3,0)*0.475*44/12</f>
        <v>4.3265678410225702E-23</v>
      </c>
      <c r="FT190" s="22">
        <f t="shared" si="184"/>
        <v>0.253822423852538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-5.1159076974727213E-13</v>
      </c>
      <c r="GA190" s="17">
        <f>FZ190*VLOOKUP('Données projet'!$B$17,Paramètres!$A$1:$I$89,3,0)*VLOOKUP('Données projet'!$B$17,Paramètres!$A$1:$I$89,5,0)</f>
        <v>-4.0702161641092972E-13</v>
      </c>
      <c r="GB190" s="13" t="e">
        <f t="shared" si="185"/>
        <v>#NUM!</v>
      </c>
      <c r="GC190" s="20" t="e">
        <f t="shared" si="186"/>
        <v>#NUM!</v>
      </c>
      <c r="GD190" s="59" t="e">
        <f t="shared" si="134"/>
        <v>#NUM!</v>
      </c>
      <c r="GE190" s="59">
        <f ca="1">AVERAGE(OFFSET($GD$3,0,0,'Données projet'!$E$17+1,1))-AVERAGE(OFFSET($H$3,0,0,'Données projet'!$E$17+1,1))</f>
        <v>260.20517190557814</v>
      </c>
      <c r="GF190" s="59">
        <f t="shared" si="158"/>
        <v>307.22009971147133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>
        <f>EXP(-LN(2)/35)*GL189+(1-EXP(-LN(2)/35))/(LN(2)/35)*GH190*GI190*VLOOKUP('Données projet'!$B$17,Paramètres!$A$1:$I$89,3,0)*0.475*44/12</f>
        <v>0.14564019189237967</v>
      </c>
      <c r="GM190" s="21">
        <f>EXP(-LN(2)/25)*GM189+(1-EXP(-LN(2)/25))/(LN(2)/25)*Calculateur!GH190*Calculateur!GJ190*VLOOKUP('Données projet'!$B$17,Paramètres!$A$1:$I$89,3,0)*0.475*44/12</f>
        <v>0.26405875753190666</v>
      </c>
      <c r="GN190" s="21">
        <f>EXP(-LN(2)/2)*GN189+(1-EXP(-LN(2)/2))/(LN(2)/2)*GH190*GK190*VLOOKUP('Données projet'!$B$17,Paramètres!$A$1:$I$89,3,0)*0.475*44/12</f>
        <v>5.624220728024121E-23</v>
      </c>
      <c r="GO190" s="21">
        <f t="shared" si="187"/>
        <v>0.40969894942428631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5.6843418860808015E-14</v>
      </c>
      <c r="GV190" s="17">
        <f>GU190*VLOOKUP('Données projet'!$B$18,Paramètres!$A$1:$I$89,3,0)*VLOOKUP('Données projet'!$B$18,Paramètres!$A$1:$I$89,5,0)</f>
        <v>4.5224624045658861E-14</v>
      </c>
      <c r="GW190" s="13">
        <f t="shared" si="188"/>
        <v>7.4514601661523691E-13</v>
      </c>
      <c r="GX190" s="20">
        <f t="shared" si="189"/>
        <v>1.3765621991510601E-12</v>
      </c>
      <c r="GY190" s="59">
        <f t="shared" si="137"/>
        <v>293.33333333333468</v>
      </c>
      <c r="GZ190" s="59">
        <f ca="1">AVERAGE(OFFSET($GY$3,0,0,'Données projet'!$E$18+1,1))-AVERAGE(OFFSET($H$3,0,0,'Données projet'!$E$18+1,1))</f>
        <v>199.58763537752952</v>
      </c>
      <c r="HA190" s="59">
        <f t="shared" si="160"/>
        <v>242.62852778451929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>
        <f>EXP(-LN(2)/35)*HG189+(1-EXP(-LN(2)/35))/(LN(2)/35)*HC190*HD190*VLOOKUP('Données projet'!$B$18,Paramètres!$A$1:$I$89,3,0)*0.475*44/12</f>
        <v>0</v>
      </c>
      <c r="HH190" s="21">
        <f>EXP(-LN(2)/25)*HH189+(1-EXP(-LN(2)/25))/(LN(2)/25)*Calculateur!HC190*Calculateur!HE190*VLOOKUP('Données projet'!$B$18,Paramètres!$A$1:$I$89,3,0)*0.475*44/12</f>
        <v>0.13232761017158443</v>
      </c>
      <c r="HI190" s="21">
        <f>EXP(-LN(2)/2)*HI189+(1-EXP(-LN(2)/2))/(LN(2)/2)*HC190*HF190*VLOOKUP('Données projet'!$B$18,Paramètres!$A$1:$I$89,3,0)*0.475*44/12</f>
        <v>2.517795812618755E-23</v>
      </c>
      <c r="HJ190" s="22">
        <f t="shared" si="190"/>
        <v>0.13232761017158443</v>
      </c>
    </row>
    <row r="191" spans="1:218" x14ac:dyDescent="0.2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167.16959999999972</v>
      </c>
      <c r="D191" s="11">
        <f t="shared" si="140"/>
        <v>42.455490039298816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1618.1585897770412</v>
      </c>
      <c r="H191" s="67">
        <f t="shared" si="110"/>
        <v>658.43036515177823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-2.2737367544323206E-13</v>
      </c>
      <c r="O191" s="13">
        <f>N191*VLOOKUP('Données projet'!$B$9,Paramètres!$A$1:$I$89,3,0)*VLOOKUP('Données projet'!$B$9,Paramètres!$A$1:$I$89,5,0)</f>
        <v>-1.2710188457276673E-13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255.5374979188561</v>
      </c>
      <c r="T191" s="59">
        <f t="shared" si="142"/>
        <v>343.10418468620901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0.13521622633186384</v>
      </c>
      <c r="AA191" s="21">
        <f>EXP(-LN(2)/25)*AA190+(1-EXP(-LN(2)/25))/(LN(2)/25)*Calculateur!V191*Calculateur!X191*VLOOKUP('Données projet'!$B$9,Paramètres!$A$1:$I$89,3,0)*0.475*44/12</f>
        <v>0.19977004418410119</v>
      </c>
      <c r="AB191" s="21">
        <f>EXP(-LN(2)/2)*AB190+(1-EXP(-LN(2)/2))/(LN(2)/2)*V191*Y191*VLOOKUP('Données projet'!$B$9,Paramètres!$A$1:$I$89,3,0)*0.475*44/12</f>
        <v>2.8002579678439408E-24</v>
      </c>
      <c r="AC191" s="22">
        <f t="shared" si="163"/>
        <v>0.33498627051596502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1.1368683772161603E-13</v>
      </c>
      <c r="AJ191" s="13">
        <f>AI191*VLOOKUP('Données projet'!$B$10,Paramètres!$A$1:$I$89,3,0)*VLOOKUP('Données projet'!$B$10,Paramètres!$A$1:$I$89,5,0)</f>
        <v>6.3550942286383367E-14</v>
      </c>
      <c r="AK191" s="13">
        <f t="shared" si="164"/>
        <v>1.0064464192543978E-12</v>
      </c>
      <c r="AL191" s="20">
        <f t="shared" si="165"/>
        <v>1.8635787380168604E-12</v>
      </c>
      <c r="AM191" s="59">
        <f t="shared" si="113"/>
        <v>293.33333333333519</v>
      </c>
      <c r="AN191" s="59">
        <f ca="1">AVERAGE(OFFSET($AM$3,0,0,'Données projet'!$E$10+1,1))-AVERAGE(OFFSET($H$3,0,0,'Données projet'!$E$10+1,1))</f>
        <v>224.7049802939942</v>
      </c>
      <c r="AO191" s="59">
        <f t="shared" si="144"/>
        <v>203.48513862195352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9.7632723841052219E-2</v>
      </c>
      <c r="AV191" s="21">
        <f>EXP(-LN(2)/25)*AV190+(1-EXP(-LN(2)/25))/(LN(2)/25)*Calculateur!AQ191*Calculateur!AS191*VLOOKUP('Données projet'!$B$10,Paramètres!$A$1:$I$89,3,0)*0.475*44/12</f>
        <v>0.24438298256744731</v>
      </c>
      <c r="AW191" s="21">
        <f>EXP(-LN(2)/2)*AW190+(1-EXP(-LN(2)/2))/(LN(2)/2)*AQ191*AT191*VLOOKUP('Données projet'!$B$10,Paramètres!$A$1:$I$89,3,0)*0.475*44/12</f>
        <v>1.4824090023893096E-23</v>
      </c>
      <c r="AX191" s="21">
        <f t="shared" si="166"/>
        <v>0.34201570640849954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>
        <f>BD191*VLOOKUP('Données projet'!$B$11,Paramètres!$A$1:$I$89,3,0)*VLOOKUP('Données projet'!$B$11,Paramètres!$A$1:$I$89,5,0)</f>
        <v>0</v>
      </c>
      <c r="BF191" s="13" t="e">
        <f t="shared" si="167"/>
        <v>#NUM!</v>
      </c>
      <c r="BG191" s="20" t="e">
        <f t="shared" si="168"/>
        <v>#NUM!</v>
      </c>
      <c r="BH191" s="59" t="e">
        <f t="shared" si="116"/>
        <v>#NUM!</v>
      </c>
      <c r="BI191" s="59">
        <f ca="1">AVERAGE(OFFSET($BH$3,0,0,'Données projet'!$E$11+1,1))-AVERAGE(OFFSET($H$3,0,0,'Données projet'!$E$11+1,1))</f>
        <v>210.04871822652808</v>
      </c>
      <c r="BJ191" s="59">
        <f t="shared" si="146"/>
        <v>250.17540614049324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0.31948179971943275</v>
      </c>
      <c r="BQ191" s="21">
        <f>EXP(-LN(2)/25)*BQ190+(1-EXP(-LN(2)/25))/(LN(2)/25)*Calculateur!BL191*Calculateur!BN191*VLOOKUP('Données projet'!$B$11,Paramètres!$A$1:$I$89,3,0)*0.475*44/12</f>
        <v>0.34834916131395027</v>
      </c>
      <c r="BR191" s="21">
        <f>EXP(-LN(2)/2)*BR190+(1-EXP(-LN(2)/2))/(LN(2)/2)*BL191*BO191*VLOOKUP('Données projet'!$B$11,Paramètres!$A$1:$I$89,3,0)*0.475*44/12</f>
        <v>3.565791777732477E-23</v>
      </c>
      <c r="BS191" s="22">
        <f t="shared" si="169"/>
        <v>0.66783096103338302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2.2737367544323206E-13</v>
      </c>
      <c r="BZ191" s="13">
        <f>BY191*VLOOKUP('Données projet'!$B$12,Paramètres!$A$1:$I$89,3,0)*VLOOKUP('Données projet'!$B$12,Paramètres!$A$1:$I$89,5,0)</f>
        <v>1.2414602679200471E-13</v>
      </c>
      <c r="CA191" s="13">
        <f t="shared" si="170"/>
        <v>1.8186582995804361E-12</v>
      </c>
      <c r="CB191" s="20">
        <f t="shared" si="171"/>
        <v>3.3837175350986671E-12</v>
      </c>
      <c r="CC191" s="59">
        <f t="shared" si="119"/>
        <v>293.33333333333672</v>
      </c>
      <c r="CD191" s="59">
        <f ca="1">AVERAGE(OFFSET($CC$3,0,0,'Données projet'!$E$12+1,1))-AVERAGE(OFFSET($H$3,0,0,'Données projet'!$E$12+1,1))</f>
        <v>168.72306536277267</v>
      </c>
      <c r="CE191" s="59">
        <f t="shared" si="148"/>
        <v>203.35476578922339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0.13311741654976372</v>
      </c>
      <c r="CL191" s="21">
        <f>EXP(-LN(2)/25)*CL190+(1-EXP(-LN(2)/25))/(LN(2)/25)*Calculateur!CG191*Calculateur!CI191*VLOOKUP('Données projet'!$B$12,Paramètres!$A$1:$I$89,3,0)*0.475*44/12</f>
        <v>0.28769700619624811</v>
      </c>
      <c r="CM191" s="21">
        <f>EXP(-LN(2)/2)*CM190+(1-EXP(-LN(2)/2))/(LN(2)/2)*CG191*CJ191*VLOOKUP('Données projet'!$B$12,Paramètres!$A$1:$I$89,3,0)*0.475*44/12</f>
        <v>3.3126675429055346E-23</v>
      </c>
      <c r="CN191" s="22">
        <f t="shared" si="172"/>
        <v>0.42081442274601183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1277.6923076923067</v>
      </c>
      <c r="CU191" s="17">
        <f>CT191*VLOOKUP('Données projet'!$B$13,Paramètres!$A$1:$I$89,3,0)*VLOOKUP('Données projet'!$B$13,Paramètres!$A$1:$I$89,5,0)</f>
        <v>614.5699999999996</v>
      </c>
      <c r="CV191" s="13">
        <f t="shared" si="173"/>
        <v>134.13240620831178</v>
      </c>
      <c r="CW191" s="20">
        <f t="shared" si="174"/>
        <v>1303.9900241461421</v>
      </c>
      <c r="CX191" s="59">
        <f t="shared" si="122"/>
        <v>1597.3233574794754</v>
      </c>
      <c r="CY191" s="59">
        <f ca="1">AVERAGE(OFFSET($CX$3,0,0,'Données projet'!$E$13+1,1))-AVERAGE(OFFSET($H$3,0,0,'Données projet'!$E$13+1,1))</f>
        <v>304.15237106473313</v>
      </c>
      <c r="CZ191" s="59">
        <f t="shared" si="150"/>
        <v>120.85458928724336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>
        <f>EXP(-LN(2)/35)*DF190+(1-EXP(-LN(2)/35))/(LN(2)/35)*DB191*DC191*VLOOKUP('Données projet'!$B$13,Paramètres!$A$1:$I$89,3,0)*0.475*44/12</f>
        <v>0</v>
      </c>
      <c r="DG191" s="21">
        <f>EXP(-LN(2)/25)*DG190+(1-EXP(-LN(2)/25))/(LN(2)/25)*Calculateur!DB191*Calculateur!DD191*VLOOKUP('Données projet'!$B$13,Paramètres!$A$1:$I$89,3,0)*0.475*44/12</f>
        <v>0</v>
      </c>
      <c r="DH191" s="21">
        <f>EXP(-LN(2)/2)*DH190+(1-EXP(-LN(2)/2))/(LN(2)/2)*DB191*DE191*VLOOKUP('Données projet'!$B$13,Paramètres!$A$1:$I$89,3,0)*0.475*44/12</f>
        <v>0</v>
      </c>
      <c r="DI191" s="22">
        <f t="shared" si="175"/>
        <v>0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425.38461538461536</v>
      </c>
      <c r="DP191" s="17">
        <f>DO191*VLOOKUP('Données projet'!$B$14,Paramètres!$A$1:$I$89,3,0)*VLOOKUP('Données projet'!$B$14,Paramètres!$A$1:$I$89,5,0)</f>
        <v>204.60999999999999</v>
      </c>
      <c r="DQ191" s="13">
        <f t="shared" si="176"/>
        <v>50.755958577224398</v>
      </c>
      <c r="DR191" s="20">
        <f t="shared" si="177"/>
        <v>444.76237785533249</v>
      </c>
      <c r="DS191" s="59">
        <f t="shared" si="125"/>
        <v>738.09571118866575</v>
      </c>
      <c r="DT191" s="59">
        <f ca="1">AVERAGE(OFFSET($DS$3,0,0,'Données projet'!$E$14+1,1))-AVERAGE(OFFSET($H$3,0,0,'Données projet'!$E$14+1,1))</f>
        <v>91.053246648097399</v>
      </c>
      <c r="DU191" s="59">
        <f t="shared" si="152"/>
        <v>64.716270355703955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>
        <f>EXP(-LN(2)/35)*EA190+(1-EXP(-LN(2)/35))/(LN(2)/35)*DW191*DX191*VLOOKUP('Données projet'!$B$14,Paramètres!$A$1:$I$89,3,0)*0.475*44/12</f>
        <v>0</v>
      </c>
      <c r="EB191" s="21">
        <f>EXP(-LN(2)/25)*EB190+(1-EXP(-LN(2)/25))/(LN(2)/25)*Calculateur!DW191*Calculateur!DY191*VLOOKUP('Données projet'!$B$14,Paramètres!$A$1:$I$89,3,0)*0.475*44/12</f>
        <v>0</v>
      </c>
      <c r="EC191" s="21">
        <f>EXP(-LN(2)/2)*EC190+(1-EXP(-LN(2)/2))/(LN(2)/2)*DW191*DZ191*VLOOKUP('Données projet'!$B$14,Paramètres!$A$1:$I$89,3,0)*0.475*44/12</f>
        <v>0</v>
      </c>
      <c r="ED191" s="22">
        <f t="shared" si="178"/>
        <v>0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553.99999999999955</v>
      </c>
      <c r="EK191" s="17">
        <f>EJ191*VLOOKUP('Données projet'!$B$15,Paramètres!$A$1:$I$89,3,0)*VLOOKUP('Données projet'!$B$15,Paramètres!$A$1:$I$89,5,0)</f>
        <v>331.29199999999975</v>
      </c>
      <c r="EL191" s="13">
        <f t="shared" si="179"/>
        <v>77.698110787752</v>
      </c>
      <c r="EM191" s="20">
        <f t="shared" si="180"/>
        <v>712.32444295533423</v>
      </c>
      <c r="EN191" s="59">
        <f t="shared" si="128"/>
        <v>1005.6577762886675</v>
      </c>
      <c r="EO191" s="59">
        <f ca="1">AVERAGE(OFFSET($EN$3,0,0,'Données projet'!$E$15+1,1))-AVERAGE(OFFSET($H$3,0,0,'Données projet'!$E$15+1,1))</f>
        <v>316.58509520829671</v>
      </c>
      <c r="EP191" s="59">
        <f t="shared" si="154"/>
        <v>240.71332110643596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>
        <f>EXP(-LN(2)/35)*EV190+(1-EXP(-LN(2)/35))/(LN(2)/35)*ER191*ES191*VLOOKUP('Données projet'!$B$15,Paramètres!$A$1:$I$89,3,0)*0.475*44/12</f>
        <v>0.11090854144171655</v>
      </c>
      <c r="EW191" s="21">
        <f>EXP(-LN(2)/25)*EW190+(1-EXP(-LN(2)/25))/(LN(2)/25)*Calculateur!ER191*Calculateur!ET191*VLOOKUP('Données projet'!$B$15,Paramètres!$A$1:$I$89,3,0)*0.475*44/12</f>
        <v>0.19110431545491863</v>
      </c>
      <c r="EX191" s="21">
        <f>EXP(-LN(2)/2)*EX190+(1-EXP(-LN(2)/2))/(LN(2)/2)*ER191*EU191*VLOOKUP('Données projet'!$B$15,Paramètres!$A$1:$I$89,3,0)*0.475*44/12</f>
        <v>3.6295598479540398E-23</v>
      </c>
      <c r="EY191" s="22">
        <f t="shared" si="181"/>
        <v>0.30201285689663515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497</v>
      </c>
      <c r="FF191" s="17">
        <f>FE191*VLOOKUP('Données projet'!$B$16,Paramètres!$A$1:$I$89,3,0)*VLOOKUP('Données projet'!$B$16,Paramètres!$A$1:$I$89,5,0)</f>
        <v>297.20600000000002</v>
      </c>
      <c r="FG191" s="13">
        <f t="shared" si="182"/>
        <v>70.590415164571112</v>
      </c>
      <c r="FH191" s="20">
        <f t="shared" si="183"/>
        <v>640.57875641162809</v>
      </c>
      <c r="FI191" s="59">
        <f t="shared" si="131"/>
        <v>933.91208974496135</v>
      </c>
      <c r="FJ191" s="59">
        <f ca="1">AVERAGE(OFFSET($FI$3,0,0,'Données projet'!$E$16+1,1))-AVERAGE(OFFSET($H$3,0,0,'Données projet'!$E$16+1,1))</f>
        <v>270.30888762640245</v>
      </c>
      <c r="FK191" s="59">
        <f t="shared" si="156"/>
        <v>202.23783851977691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>
        <f>EXP(-LN(2)/35)*FQ190+(1-EXP(-LN(2)/35))/(LN(2)/35)*FM191*FN191*VLOOKUP('Données projet'!$B$16,Paramètres!$A$1:$I$89,3,0)*0.475*44/12</f>
        <v>9.3725527978915299E-2</v>
      </c>
      <c r="FR191" s="21">
        <f>EXP(-LN(2)/25)*FR190+(1-EXP(-LN(2)/25))/(LN(2)/25)*Calculateur!FM191*Calculateur!FO191*VLOOKUP('Données projet'!$B$16,Paramètres!$A$1:$I$89,3,0)*0.475*44/12</f>
        <v>0.15389563914805965</v>
      </c>
      <c r="FS191" s="21">
        <f>EXP(-LN(2)/2)*FS190+(1-EXP(-LN(2)/2))/(LN(2)/2)*FM191*FP191*VLOOKUP('Données projet'!$B$16,Paramètres!$A$1:$I$89,3,0)*0.475*44/12</f>
        <v>3.0593454596506999E-23</v>
      </c>
      <c r="FT191" s="22">
        <f t="shared" si="184"/>
        <v>0.24762116712697496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-5.1159076974727213E-13</v>
      </c>
      <c r="GA191" s="17">
        <f>FZ191*VLOOKUP('Données projet'!$B$17,Paramètres!$A$1:$I$89,3,0)*VLOOKUP('Données projet'!$B$17,Paramètres!$A$1:$I$89,5,0)</f>
        <v>-4.0702161641092972E-13</v>
      </c>
      <c r="GB191" s="13" t="e">
        <f t="shared" si="185"/>
        <v>#NUM!</v>
      </c>
      <c r="GC191" s="20" t="e">
        <f t="shared" si="186"/>
        <v>#NUM!</v>
      </c>
      <c r="GD191" s="59" t="e">
        <f t="shared" si="134"/>
        <v>#NUM!</v>
      </c>
      <c r="GE191" s="59">
        <f ca="1">AVERAGE(OFFSET($GD$3,0,0,'Données projet'!$E$17+1,1))-AVERAGE(OFFSET($H$3,0,0,'Données projet'!$E$17+1,1))</f>
        <v>260.20517190557814</v>
      </c>
      <c r="GF191" s="59">
        <f t="shared" si="158"/>
        <v>307.22009971147133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>
        <f>EXP(-LN(2)/35)*GL190+(1-EXP(-LN(2)/35))/(LN(2)/35)*GH191*GI191*VLOOKUP('Données projet'!$B$17,Paramètres!$A$1:$I$89,3,0)*0.475*44/12</f>
        <v>0.14278427656111575</v>
      </c>
      <c r="GM191" s="21">
        <f>EXP(-LN(2)/25)*GM190+(1-EXP(-LN(2)/25))/(LN(2)/25)*Calculateur!GH191*Calculateur!GJ191*VLOOKUP('Données projet'!$B$17,Paramètres!$A$1:$I$89,3,0)*0.475*44/12</f>
        <v>0.25683805692095013</v>
      </c>
      <c r="GN191" s="21">
        <f>EXP(-LN(2)/2)*GN190+(1-EXP(-LN(2)/2))/(LN(2)/2)*GH191*GK191*VLOOKUP('Données projet'!$B$17,Paramètres!$A$1:$I$89,3,0)*0.475*44/12</f>
        <v>3.9769246156757972E-23</v>
      </c>
      <c r="GO191" s="21">
        <f t="shared" si="187"/>
        <v>0.39962233348206588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5.6843418860808015E-14</v>
      </c>
      <c r="GV191" s="17">
        <f>GU191*VLOOKUP('Données projet'!$B$18,Paramètres!$A$1:$I$89,3,0)*VLOOKUP('Données projet'!$B$18,Paramètres!$A$1:$I$89,5,0)</f>
        <v>4.5224624045658861E-14</v>
      </c>
      <c r="GW191" s="13">
        <f t="shared" si="188"/>
        <v>7.4514601661523691E-13</v>
      </c>
      <c r="GX191" s="20">
        <f t="shared" si="189"/>
        <v>1.3765621991510601E-12</v>
      </c>
      <c r="GY191" s="59">
        <f t="shared" si="137"/>
        <v>293.33333333333468</v>
      </c>
      <c r="GZ191" s="59">
        <f ca="1">AVERAGE(OFFSET($GY$3,0,0,'Données projet'!$E$18+1,1))-AVERAGE(OFFSET($H$3,0,0,'Données projet'!$E$18+1,1))</f>
        <v>199.58763537752952</v>
      </c>
      <c r="HA191" s="59">
        <f t="shared" si="160"/>
        <v>242.62852778451929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>
        <f>EXP(-LN(2)/35)*HG190+(1-EXP(-LN(2)/35))/(LN(2)/35)*HC191*HD191*VLOOKUP('Données projet'!$B$18,Paramètres!$A$1:$I$89,3,0)*0.475*44/12</f>
        <v>0</v>
      </c>
      <c r="HH191" s="21">
        <f>EXP(-LN(2)/25)*HH190+(1-EXP(-LN(2)/25))/(LN(2)/25)*Calculateur!HC191*Calculateur!HE191*VLOOKUP('Données projet'!$B$18,Paramètres!$A$1:$I$89,3,0)*0.475*44/12</f>
        <v>0.12870910471263586</v>
      </c>
      <c r="HI191" s="21">
        <f>EXP(-LN(2)/2)*HI190+(1-EXP(-LN(2)/2))/(LN(2)/2)*HC191*HF191*VLOOKUP('Données projet'!$B$18,Paramètres!$A$1:$I$89,3,0)*0.475*44/12</f>
        <v>1.7803504927458156E-23</v>
      </c>
      <c r="HJ191" s="22">
        <f t="shared" si="190"/>
        <v>0.12870910471263586</v>
      </c>
    </row>
    <row r="192" spans="1:218" x14ac:dyDescent="0.2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168.05879999999971</v>
      </c>
      <c r="D192" s="11">
        <f t="shared" si="140"/>
        <v>42.65496919167748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1626.5624288480346</v>
      </c>
      <c r="H192" s="67">
        <f t="shared" si="110"/>
        <v>660.32648134217106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-2.2737367544323206E-13</v>
      </c>
      <c r="O192" s="13">
        <f>N192*VLOOKUP('Données projet'!$B$9,Paramètres!$A$1:$I$89,3,0)*VLOOKUP('Données projet'!$B$9,Paramètres!$A$1:$I$89,5,0)</f>
        <v>-1.2710188457276673E-13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255.5374979188561</v>
      </c>
      <c r="T192" s="59">
        <f t="shared" si="142"/>
        <v>343.10418468620901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0.13256471860725044</v>
      </c>
      <c r="AA192" s="21">
        <f>EXP(-LN(2)/25)*AA191+(1-EXP(-LN(2)/25))/(LN(2)/25)*Calculateur!V192*Calculateur!X192*VLOOKUP('Données projet'!$B$9,Paramètres!$A$1:$I$89,3,0)*0.475*44/12</f>
        <v>0.19430732182043689</v>
      </c>
      <c r="AB192" s="21">
        <f>EXP(-LN(2)/2)*AB191+(1-EXP(-LN(2)/2))/(LN(2)/2)*V192*Y192*VLOOKUP('Données projet'!$B$9,Paramètres!$A$1:$I$89,3,0)*0.475*44/12</f>
        <v>1.9800813981341117E-24</v>
      </c>
      <c r="AC192" s="22">
        <f t="shared" si="163"/>
        <v>0.32687204042768736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1.1368683772161603E-13</v>
      </c>
      <c r="AJ192" s="13">
        <f>AI192*VLOOKUP('Données projet'!$B$10,Paramètres!$A$1:$I$89,3,0)*VLOOKUP('Données projet'!$B$10,Paramètres!$A$1:$I$89,5,0)</f>
        <v>6.3550942286383367E-14</v>
      </c>
      <c r="AK192" s="13">
        <f t="shared" si="164"/>
        <v>1.0064464192543978E-12</v>
      </c>
      <c r="AL192" s="20">
        <f t="shared" si="165"/>
        <v>1.8635787380168604E-12</v>
      </c>
      <c r="AM192" s="59">
        <f t="shared" si="113"/>
        <v>293.33333333333519</v>
      </c>
      <c r="AN192" s="59">
        <f ca="1">AVERAGE(OFFSET($AM$3,0,0,'Données projet'!$E$10+1,1))-AVERAGE(OFFSET($H$3,0,0,'Données projet'!$E$10+1,1))</f>
        <v>224.7049802939942</v>
      </c>
      <c r="AO192" s="59">
        <f t="shared" si="144"/>
        <v>203.48513862195352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9.5718205676610643E-2</v>
      </c>
      <c r="AV192" s="21">
        <f>EXP(-LN(2)/25)*AV191+(1-EXP(-LN(2)/25))/(LN(2)/25)*Calculateur!AQ192*Calculateur!AS192*VLOOKUP('Données projet'!$B$10,Paramètres!$A$1:$I$89,3,0)*0.475*44/12</f>
        <v>0.23770031705759795</v>
      </c>
      <c r="AW192" s="21">
        <f>EXP(-LN(2)/2)*AW191+(1-EXP(-LN(2)/2))/(LN(2)/2)*AQ192*AT192*VLOOKUP('Données projet'!$B$10,Paramètres!$A$1:$I$89,3,0)*0.475*44/12</f>
        <v>1.0482214580814658E-23</v>
      </c>
      <c r="AX192" s="21">
        <f t="shared" si="166"/>
        <v>0.33341852273420858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>
        <f>BD192*VLOOKUP('Données projet'!$B$11,Paramètres!$A$1:$I$89,3,0)*VLOOKUP('Données projet'!$B$11,Paramètres!$A$1:$I$89,5,0)</f>
        <v>0</v>
      </c>
      <c r="BF192" s="13" t="e">
        <f t="shared" si="167"/>
        <v>#NUM!</v>
      </c>
      <c r="BG192" s="20" t="e">
        <f t="shared" si="168"/>
        <v>#NUM!</v>
      </c>
      <c r="BH192" s="59" t="e">
        <f t="shared" si="116"/>
        <v>#NUM!</v>
      </c>
      <c r="BI192" s="59">
        <f ca="1">AVERAGE(OFFSET($BH$3,0,0,'Données projet'!$E$11+1,1))-AVERAGE(OFFSET($H$3,0,0,'Données projet'!$E$11+1,1))</f>
        <v>210.04871822652808</v>
      </c>
      <c r="BJ192" s="59">
        <f t="shared" si="146"/>
        <v>250.17540614049324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0.3132169564915912</v>
      </c>
      <c r="BQ192" s="21">
        <f>EXP(-LN(2)/25)*BQ191+(1-EXP(-LN(2)/25))/(LN(2)/25)*Calculateur!BL192*Calculateur!BN192*VLOOKUP('Données projet'!$B$11,Paramètres!$A$1:$I$89,3,0)*0.475*44/12</f>
        <v>0.3388235351789341</v>
      </c>
      <c r="BR192" s="21">
        <f>EXP(-LN(2)/2)*BR191+(1-EXP(-LN(2)/2))/(LN(2)/2)*BL192*BO192*VLOOKUP('Données projet'!$B$11,Paramètres!$A$1:$I$89,3,0)*0.475*44/12</f>
        <v>2.521395546333869E-23</v>
      </c>
      <c r="BS192" s="22">
        <f t="shared" si="169"/>
        <v>0.65204049167052536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2.2737367544323206E-13</v>
      </c>
      <c r="BZ192" s="13">
        <f>BY192*VLOOKUP('Données projet'!$B$12,Paramètres!$A$1:$I$89,3,0)*VLOOKUP('Données projet'!$B$12,Paramètres!$A$1:$I$89,5,0)</f>
        <v>1.2414602679200471E-13</v>
      </c>
      <c r="CA192" s="13">
        <f t="shared" si="170"/>
        <v>1.8186582995804361E-12</v>
      </c>
      <c r="CB192" s="20">
        <f t="shared" si="171"/>
        <v>3.3837175350986671E-12</v>
      </c>
      <c r="CC192" s="59">
        <f t="shared" si="119"/>
        <v>293.33333333333672</v>
      </c>
      <c r="CD192" s="59">
        <f ca="1">AVERAGE(OFFSET($CC$3,0,0,'Données projet'!$E$12+1,1))-AVERAGE(OFFSET($H$3,0,0,'Données projet'!$E$12+1,1))</f>
        <v>168.72306536277267</v>
      </c>
      <c r="CE192" s="59">
        <f t="shared" si="148"/>
        <v>203.35476578922339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0.13050706520482974</v>
      </c>
      <c r="CL192" s="21">
        <f>EXP(-LN(2)/25)*CL191+(1-EXP(-LN(2)/25))/(LN(2)/25)*Calculateur!CG192*Calculateur!CI192*VLOOKUP('Données projet'!$B$12,Paramètres!$A$1:$I$89,3,0)*0.475*44/12</f>
        <v>0.27982991643248367</v>
      </c>
      <c r="CM192" s="21">
        <f>EXP(-LN(2)/2)*CM191+(1-EXP(-LN(2)/2))/(LN(2)/2)*CG192*CJ192*VLOOKUP('Données projet'!$B$12,Paramètres!$A$1:$I$89,3,0)*0.475*44/12</f>
        <v>2.342409683405082E-23</v>
      </c>
      <c r="CN192" s="22">
        <f t="shared" si="172"/>
        <v>0.41033698163731341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1277.6923076923067</v>
      </c>
      <c r="CU192" s="17">
        <f>CT192*VLOOKUP('Données projet'!$B$13,Paramètres!$A$1:$I$89,3,0)*VLOOKUP('Données projet'!$B$13,Paramètres!$A$1:$I$89,5,0)</f>
        <v>614.5699999999996</v>
      </c>
      <c r="CV192" s="13">
        <f t="shared" si="173"/>
        <v>134.13240620831178</v>
      </c>
      <c r="CW192" s="20">
        <f t="shared" si="174"/>
        <v>1303.9900241461421</v>
      </c>
      <c r="CX192" s="59">
        <f t="shared" si="122"/>
        <v>1597.3233574794754</v>
      </c>
      <c r="CY192" s="59">
        <f ca="1">AVERAGE(OFFSET($CX$3,0,0,'Données projet'!$E$13+1,1))-AVERAGE(OFFSET($H$3,0,0,'Données projet'!$E$13+1,1))</f>
        <v>304.15237106473313</v>
      </c>
      <c r="CZ192" s="59">
        <f t="shared" si="150"/>
        <v>120.85458928724336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>
        <f>EXP(-LN(2)/35)*DF191+(1-EXP(-LN(2)/35))/(LN(2)/35)*DB192*DC192*VLOOKUP('Données projet'!$B$13,Paramètres!$A$1:$I$89,3,0)*0.475*44/12</f>
        <v>0</v>
      </c>
      <c r="DG192" s="21">
        <f>EXP(-LN(2)/25)*DG191+(1-EXP(-LN(2)/25))/(LN(2)/25)*Calculateur!DB192*Calculateur!DD192*VLOOKUP('Données projet'!$B$13,Paramètres!$A$1:$I$89,3,0)*0.475*44/12</f>
        <v>0</v>
      </c>
      <c r="DH192" s="21">
        <f>EXP(-LN(2)/2)*DH191+(1-EXP(-LN(2)/2))/(LN(2)/2)*DB192*DE192*VLOOKUP('Données projet'!$B$13,Paramètres!$A$1:$I$89,3,0)*0.475*44/12</f>
        <v>0</v>
      </c>
      <c r="DI192" s="22">
        <f t="shared" si="175"/>
        <v>0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425.38461538461536</v>
      </c>
      <c r="DP192" s="17">
        <f>DO192*VLOOKUP('Données projet'!$B$14,Paramètres!$A$1:$I$89,3,0)*VLOOKUP('Données projet'!$B$14,Paramètres!$A$1:$I$89,5,0)</f>
        <v>204.60999999999999</v>
      </c>
      <c r="DQ192" s="13">
        <f t="shared" si="176"/>
        <v>50.755958577224398</v>
      </c>
      <c r="DR192" s="20">
        <f t="shared" si="177"/>
        <v>444.76237785533249</v>
      </c>
      <c r="DS192" s="59">
        <f t="shared" si="125"/>
        <v>738.09571118866575</v>
      </c>
      <c r="DT192" s="59">
        <f ca="1">AVERAGE(OFFSET($DS$3,0,0,'Données projet'!$E$14+1,1))-AVERAGE(OFFSET($H$3,0,0,'Données projet'!$E$14+1,1))</f>
        <v>91.053246648097399</v>
      </c>
      <c r="DU192" s="59">
        <f t="shared" si="152"/>
        <v>64.716270355703955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>
        <f>EXP(-LN(2)/35)*EA191+(1-EXP(-LN(2)/35))/(LN(2)/35)*DW192*DX192*VLOOKUP('Données projet'!$B$14,Paramètres!$A$1:$I$89,3,0)*0.475*44/12</f>
        <v>0</v>
      </c>
      <c r="EB192" s="21">
        <f>EXP(-LN(2)/25)*EB191+(1-EXP(-LN(2)/25))/(LN(2)/25)*Calculateur!DW192*Calculateur!DY192*VLOOKUP('Données projet'!$B$14,Paramètres!$A$1:$I$89,3,0)*0.475*44/12</f>
        <v>0</v>
      </c>
      <c r="EC192" s="21">
        <f>EXP(-LN(2)/2)*EC191+(1-EXP(-LN(2)/2))/(LN(2)/2)*DW192*DZ192*VLOOKUP('Données projet'!$B$14,Paramètres!$A$1:$I$89,3,0)*0.475*44/12</f>
        <v>0</v>
      </c>
      <c r="ED192" s="22">
        <f t="shared" si="178"/>
        <v>0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553.99999999999955</v>
      </c>
      <c r="EK192" s="17">
        <f>EJ192*VLOOKUP('Données projet'!$B$15,Paramètres!$A$1:$I$89,3,0)*VLOOKUP('Données projet'!$B$15,Paramètres!$A$1:$I$89,5,0)</f>
        <v>331.29199999999975</v>
      </c>
      <c r="EL192" s="13">
        <f t="shared" si="179"/>
        <v>77.698110787752</v>
      </c>
      <c r="EM192" s="20">
        <f t="shared" si="180"/>
        <v>712.32444295533423</v>
      </c>
      <c r="EN192" s="59">
        <f t="shared" si="128"/>
        <v>1005.6577762886675</v>
      </c>
      <c r="EO192" s="59">
        <f ca="1">AVERAGE(OFFSET($EN$3,0,0,'Données projet'!$E$15+1,1))-AVERAGE(OFFSET($H$3,0,0,'Données projet'!$E$15+1,1))</f>
        <v>316.58509520829671</v>
      </c>
      <c r="EP192" s="59">
        <f t="shared" si="154"/>
        <v>240.71332110643596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>
        <f>EXP(-LN(2)/35)*EV191+(1-EXP(-LN(2)/35))/(LN(2)/35)*ER192*ES192*VLOOKUP('Données projet'!$B$15,Paramètres!$A$1:$I$89,3,0)*0.475*44/12</f>
        <v>0.10873369259157513</v>
      </c>
      <c r="EW192" s="21">
        <f>EXP(-LN(2)/25)*EW191+(1-EXP(-LN(2)/25))/(LN(2)/25)*Calculateur!ER192*Calculateur!ET192*VLOOKUP('Données projet'!$B$15,Paramètres!$A$1:$I$89,3,0)*0.475*44/12</f>
        <v>0.18587855789906471</v>
      </c>
      <c r="EX192" s="21">
        <f>EXP(-LN(2)/2)*EX191+(1-EXP(-LN(2)/2))/(LN(2)/2)*ER192*EU192*VLOOKUP('Données projet'!$B$15,Paramètres!$A$1:$I$89,3,0)*0.475*44/12</f>
        <v>2.566486381210716E-23</v>
      </c>
      <c r="EY192" s="22">
        <f t="shared" si="181"/>
        <v>0.29461225049063983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497</v>
      </c>
      <c r="FF192" s="17">
        <f>FE192*VLOOKUP('Données projet'!$B$16,Paramètres!$A$1:$I$89,3,0)*VLOOKUP('Données projet'!$B$16,Paramètres!$A$1:$I$89,5,0)</f>
        <v>297.20600000000002</v>
      </c>
      <c r="FG192" s="13">
        <f t="shared" si="182"/>
        <v>70.590415164571112</v>
      </c>
      <c r="FH192" s="20">
        <f t="shared" si="183"/>
        <v>640.57875641162809</v>
      </c>
      <c r="FI192" s="59">
        <f t="shared" si="131"/>
        <v>933.91208974496135</v>
      </c>
      <c r="FJ192" s="59">
        <f ca="1">AVERAGE(OFFSET($FI$3,0,0,'Données projet'!$E$16+1,1))-AVERAGE(OFFSET($H$3,0,0,'Données projet'!$E$16+1,1))</f>
        <v>270.30888762640245</v>
      </c>
      <c r="FK192" s="59">
        <f t="shared" si="156"/>
        <v>202.23783851977691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>
        <f>EXP(-LN(2)/35)*FQ191+(1-EXP(-LN(2)/35))/(LN(2)/35)*FM192*FN192*VLOOKUP('Données projet'!$B$16,Paramètres!$A$1:$I$89,3,0)*0.475*44/12</f>
        <v>9.1887627542176067E-2</v>
      </c>
      <c r="FR192" s="21">
        <f>EXP(-LN(2)/25)*FR191+(1-EXP(-LN(2)/25))/(LN(2)/25)*Calculateur!FM192*Calculateur!FO192*VLOOKUP('Données projet'!$B$16,Paramètres!$A$1:$I$89,3,0)*0.475*44/12</f>
        <v>0.14968735480253603</v>
      </c>
      <c r="FS192" s="21">
        <f>EXP(-LN(2)/2)*FS191+(1-EXP(-LN(2)/2))/(LN(2)/2)*FM192*FP192*VLOOKUP('Données projet'!$B$16,Paramètres!$A$1:$I$89,3,0)*0.475*44/12</f>
        <v>2.1632839205112851E-23</v>
      </c>
      <c r="FT192" s="22">
        <f t="shared" si="184"/>
        <v>0.24157498234471209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-5.1159076974727213E-13</v>
      </c>
      <c r="GA192" s="17">
        <f>FZ192*VLOOKUP('Données projet'!$B$17,Paramètres!$A$1:$I$89,3,0)*VLOOKUP('Données projet'!$B$17,Paramètres!$A$1:$I$89,5,0)</f>
        <v>-4.0702161641092972E-13</v>
      </c>
      <c r="GB192" s="13" t="e">
        <f t="shared" si="185"/>
        <v>#NUM!</v>
      </c>
      <c r="GC192" s="20" t="e">
        <f t="shared" si="186"/>
        <v>#NUM!</v>
      </c>
      <c r="GD192" s="59" t="e">
        <f t="shared" si="134"/>
        <v>#NUM!</v>
      </c>
      <c r="GE192" s="59">
        <f ca="1">AVERAGE(OFFSET($GD$3,0,0,'Données projet'!$E$17+1,1))-AVERAGE(OFFSET($H$3,0,0,'Données projet'!$E$17+1,1))</f>
        <v>260.20517190557814</v>
      </c>
      <c r="GF192" s="59">
        <f t="shared" si="158"/>
        <v>307.22009971147133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>
        <f>EXP(-LN(2)/35)*GL191+(1-EXP(-LN(2)/35))/(LN(2)/35)*GH192*GI192*VLOOKUP('Données projet'!$B$17,Paramètres!$A$1:$I$89,3,0)*0.475*44/12</f>
        <v>0.13998436398756156</v>
      </c>
      <c r="GM192" s="21">
        <f>EXP(-LN(2)/25)*GM191+(1-EXP(-LN(2)/25))/(LN(2)/25)*Calculateur!GH192*Calculateur!GJ192*VLOOKUP('Données projet'!$B$17,Paramètres!$A$1:$I$89,3,0)*0.475*44/12</f>
        <v>0.24981480674792034</v>
      </c>
      <c r="GN192" s="21">
        <f>EXP(-LN(2)/2)*GN191+(1-EXP(-LN(2)/2))/(LN(2)/2)*GH192*GK192*VLOOKUP('Données projet'!$B$17,Paramètres!$A$1:$I$89,3,0)*0.475*44/12</f>
        <v>2.8121103640120605E-23</v>
      </c>
      <c r="GO192" s="21">
        <f t="shared" si="187"/>
        <v>0.38979917073548187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5.6843418860808015E-14</v>
      </c>
      <c r="GV192" s="17">
        <f>GU192*VLOOKUP('Données projet'!$B$18,Paramètres!$A$1:$I$89,3,0)*VLOOKUP('Données projet'!$B$18,Paramètres!$A$1:$I$89,5,0)</f>
        <v>4.5224624045658861E-14</v>
      </c>
      <c r="GW192" s="13">
        <f t="shared" si="188"/>
        <v>7.4514601661523691E-13</v>
      </c>
      <c r="GX192" s="20">
        <f t="shared" si="189"/>
        <v>1.3765621991510601E-12</v>
      </c>
      <c r="GY192" s="59">
        <f t="shared" si="137"/>
        <v>293.33333333333468</v>
      </c>
      <c r="GZ192" s="59">
        <f ca="1">AVERAGE(OFFSET($GY$3,0,0,'Données projet'!$E$18+1,1))-AVERAGE(OFFSET($H$3,0,0,'Données projet'!$E$18+1,1))</f>
        <v>199.58763537752952</v>
      </c>
      <c r="HA192" s="59">
        <f t="shared" si="160"/>
        <v>242.62852778451929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>
        <f>EXP(-LN(2)/35)*HG191+(1-EXP(-LN(2)/35))/(LN(2)/35)*HC192*HD192*VLOOKUP('Données projet'!$B$18,Paramètres!$A$1:$I$89,3,0)*0.475*44/12</f>
        <v>0</v>
      </c>
      <c r="HH192" s="21">
        <f>EXP(-LN(2)/25)*HH191+(1-EXP(-LN(2)/25))/(LN(2)/25)*Calculateur!HC192*Calculateur!HE192*VLOOKUP('Données projet'!$B$18,Paramètres!$A$1:$I$89,3,0)*0.475*44/12</f>
        <v>0.12518954747575117</v>
      </c>
      <c r="HI192" s="21">
        <f>EXP(-LN(2)/2)*HI191+(1-EXP(-LN(2)/2))/(LN(2)/2)*HC192*HF192*VLOOKUP('Données projet'!$B$18,Paramètres!$A$1:$I$89,3,0)*0.475*44/12</f>
        <v>1.2588979063093775E-23</v>
      </c>
      <c r="HJ192" s="22">
        <f t="shared" si="190"/>
        <v>0.12518954747575117</v>
      </c>
    </row>
    <row r="193" spans="1:218" x14ac:dyDescent="0.2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168.94799999999969</v>
      </c>
      <c r="D193" s="11">
        <f t="shared" si="140"/>
        <v>42.8543255274462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1634.965319860986</v>
      </c>
      <c r="H193" s="67">
        <f t="shared" si="110"/>
        <v>662.22238362696817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-2.2737367544323206E-13</v>
      </c>
      <c r="O193" s="13">
        <f>N193*VLOOKUP('Données projet'!$B$9,Paramètres!$A$1:$I$89,3,0)*VLOOKUP('Données projet'!$B$9,Paramètres!$A$1:$I$89,5,0)</f>
        <v>-1.2710188457276673E-13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255.5374979188561</v>
      </c>
      <c r="T193" s="59">
        <f t="shared" si="142"/>
        <v>343.10418468620901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0.12996520533185671</v>
      </c>
      <c r="AA193" s="21">
        <f>EXP(-LN(2)/25)*AA192+(1-EXP(-LN(2)/25))/(LN(2)/25)*Calculateur!V193*Calculateur!X193*VLOOKUP('Données projet'!$B$9,Paramètres!$A$1:$I$89,3,0)*0.475*44/12</f>
        <v>0.18899397788707908</v>
      </c>
      <c r="AB193" s="21">
        <f>EXP(-LN(2)/2)*AB192+(1-EXP(-LN(2)/2))/(LN(2)/2)*V193*Y193*VLOOKUP('Données projet'!$B$9,Paramètres!$A$1:$I$89,3,0)*0.475*44/12</f>
        <v>1.4001289839219704E-24</v>
      </c>
      <c r="AC193" s="22">
        <f t="shared" si="163"/>
        <v>0.31895918321893579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1.1368683772161603E-13</v>
      </c>
      <c r="AJ193" s="13">
        <f>AI193*VLOOKUP('Données projet'!$B$10,Paramètres!$A$1:$I$89,3,0)*VLOOKUP('Données projet'!$B$10,Paramètres!$A$1:$I$89,5,0)</f>
        <v>6.3550942286383367E-14</v>
      </c>
      <c r="AK193" s="13">
        <f t="shared" si="164"/>
        <v>1.0064464192543978E-12</v>
      </c>
      <c r="AL193" s="20">
        <f t="shared" si="165"/>
        <v>1.8635787380168604E-12</v>
      </c>
      <c r="AM193" s="59">
        <f t="shared" si="113"/>
        <v>293.33333333333519</v>
      </c>
      <c r="AN193" s="59">
        <f ca="1">AVERAGE(OFFSET($AM$3,0,0,'Données projet'!$E$10+1,1))-AVERAGE(OFFSET($H$3,0,0,'Données projet'!$E$10+1,1))</f>
        <v>224.7049802939942</v>
      </c>
      <c r="AO193" s="59">
        <f t="shared" si="144"/>
        <v>203.48513862195352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9.3841230045632995E-2</v>
      </c>
      <c r="AV193" s="21">
        <f>EXP(-LN(2)/25)*AV192+(1-EXP(-LN(2)/25))/(LN(2)/25)*Calculateur!AQ193*Calculateur!AS193*VLOOKUP('Données projet'!$B$10,Paramètres!$A$1:$I$89,3,0)*0.475*44/12</f>
        <v>0.23120038938754153</v>
      </c>
      <c r="AW193" s="21">
        <f>EXP(-LN(2)/2)*AW192+(1-EXP(-LN(2)/2))/(LN(2)/2)*AQ193*AT193*VLOOKUP('Données projet'!$B$10,Paramètres!$A$1:$I$89,3,0)*0.475*44/12</f>
        <v>7.4120450119465481E-24</v>
      </c>
      <c r="AX193" s="21">
        <f t="shared" si="166"/>
        <v>0.32504161943317456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>
        <f>BD193*VLOOKUP('Données projet'!$B$11,Paramètres!$A$1:$I$89,3,0)*VLOOKUP('Données projet'!$B$11,Paramètres!$A$1:$I$89,5,0)</f>
        <v>0</v>
      </c>
      <c r="BF193" s="13" t="e">
        <f t="shared" si="167"/>
        <v>#NUM!</v>
      </c>
      <c r="BG193" s="20" t="e">
        <f t="shared" si="168"/>
        <v>#NUM!</v>
      </c>
      <c r="BH193" s="59" t="e">
        <f t="shared" si="116"/>
        <v>#NUM!</v>
      </c>
      <c r="BI193" s="59">
        <f ca="1">AVERAGE(OFFSET($BH$3,0,0,'Données projet'!$E$11+1,1))-AVERAGE(OFFSET($H$3,0,0,'Données projet'!$E$11+1,1))</f>
        <v>210.04871822652808</v>
      </c>
      <c r="BJ193" s="59">
        <f t="shared" si="146"/>
        <v>250.17540614049324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0.30707496301827059</v>
      </c>
      <c r="BQ193" s="21">
        <f>EXP(-LN(2)/25)*BQ192+(1-EXP(-LN(2)/25))/(LN(2)/25)*Calculateur!BL193*Calculateur!BN193*VLOOKUP('Données projet'!$B$11,Paramètres!$A$1:$I$89,3,0)*0.475*44/12</f>
        <v>0.32955838779151081</v>
      </c>
      <c r="BR193" s="21">
        <f>EXP(-LN(2)/2)*BR192+(1-EXP(-LN(2)/2))/(LN(2)/2)*BL193*BO193*VLOOKUP('Données projet'!$B$11,Paramètres!$A$1:$I$89,3,0)*0.475*44/12</f>
        <v>1.7828958888662385E-23</v>
      </c>
      <c r="BS193" s="22">
        <f t="shared" si="169"/>
        <v>0.63663335080978145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2.2737367544323206E-13</v>
      </c>
      <c r="BZ193" s="13">
        <f>BY193*VLOOKUP('Données projet'!$B$12,Paramètres!$A$1:$I$89,3,0)*VLOOKUP('Données projet'!$B$12,Paramètres!$A$1:$I$89,5,0)</f>
        <v>1.2414602679200471E-13</v>
      </c>
      <c r="CA193" s="13">
        <f t="shared" si="170"/>
        <v>1.8186582995804361E-12</v>
      </c>
      <c r="CB193" s="20">
        <f t="shared" si="171"/>
        <v>3.3837175350986671E-12</v>
      </c>
      <c r="CC193" s="59">
        <f t="shared" si="119"/>
        <v>293.33333333333672</v>
      </c>
      <c r="CD193" s="59">
        <f ca="1">AVERAGE(OFFSET($CC$3,0,0,'Données projet'!$E$12+1,1))-AVERAGE(OFFSET($H$3,0,0,'Données projet'!$E$12+1,1))</f>
        <v>168.72306536277267</v>
      </c>
      <c r="CE193" s="59">
        <f t="shared" si="148"/>
        <v>203.35476578922339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0.12794790125761282</v>
      </c>
      <c r="CL193" s="21">
        <f>EXP(-LN(2)/25)*CL192+(1-EXP(-LN(2)/25))/(LN(2)/25)*Calculateur!CG193*Calculateur!CI193*VLOOKUP('Données projet'!$B$12,Paramètres!$A$1:$I$89,3,0)*0.475*44/12</f>
        <v>0.27217795265202166</v>
      </c>
      <c r="CM193" s="21">
        <f>EXP(-LN(2)/2)*CM192+(1-EXP(-LN(2)/2))/(LN(2)/2)*CG193*CJ193*VLOOKUP('Données projet'!$B$12,Paramètres!$A$1:$I$89,3,0)*0.475*44/12</f>
        <v>1.6563337714527673E-23</v>
      </c>
      <c r="CN193" s="22">
        <f t="shared" si="172"/>
        <v>0.40012585390963451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1277.6923076923067</v>
      </c>
      <c r="CU193" s="17">
        <f>CT193*VLOOKUP('Données projet'!$B$13,Paramètres!$A$1:$I$89,3,0)*VLOOKUP('Données projet'!$B$13,Paramètres!$A$1:$I$89,5,0)</f>
        <v>614.5699999999996</v>
      </c>
      <c r="CV193" s="13">
        <f t="shared" si="173"/>
        <v>134.13240620831178</v>
      </c>
      <c r="CW193" s="20">
        <f t="shared" si="174"/>
        <v>1303.9900241461421</v>
      </c>
      <c r="CX193" s="59">
        <f t="shared" si="122"/>
        <v>1597.3233574794754</v>
      </c>
      <c r="CY193" s="59">
        <f ca="1">AVERAGE(OFFSET($CX$3,0,0,'Données projet'!$E$13+1,1))-AVERAGE(OFFSET($H$3,0,0,'Données projet'!$E$13+1,1))</f>
        <v>304.15237106473313</v>
      </c>
      <c r="CZ193" s="59">
        <f t="shared" si="150"/>
        <v>120.85458928724336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>
        <f>EXP(-LN(2)/35)*DF192+(1-EXP(-LN(2)/35))/(LN(2)/35)*DB193*DC193*VLOOKUP('Données projet'!$B$13,Paramètres!$A$1:$I$89,3,0)*0.475*44/12</f>
        <v>0</v>
      </c>
      <c r="DG193" s="21">
        <f>EXP(-LN(2)/25)*DG192+(1-EXP(-LN(2)/25))/(LN(2)/25)*Calculateur!DB193*Calculateur!DD193*VLOOKUP('Données projet'!$B$13,Paramètres!$A$1:$I$89,3,0)*0.475*44/12</f>
        <v>0</v>
      </c>
      <c r="DH193" s="21">
        <f>EXP(-LN(2)/2)*DH192+(1-EXP(-LN(2)/2))/(LN(2)/2)*DB193*DE193*VLOOKUP('Données projet'!$B$13,Paramètres!$A$1:$I$89,3,0)*0.475*44/12</f>
        <v>0</v>
      </c>
      <c r="DI193" s="22">
        <f t="shared" si="175"/>
        <v>0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425.38461538461536</v>
      </c>
      <c r="DP193" s="17">
        <f>DO193*VLOOKUP('Données projet'!$B$14,Paramètres!$A$1:$I$89,3,0)*VLOOKUP('Données projet'!$B$14,Paramètres!$A$1:$I$89,5,0)</f>
        <v>204.60999999999999</v>
      </c>
      <c r="DQ193" s="13">
        <f t="shared" si="176"/>
        <v>50.755958577224398</v>
      </c>
      <c r="DR193" s="20">
        <f t="shared" si="177"/>
        <v>444.76237785533249</v>
      </c>
      <c r="DS193" s="59">
        <f t="shared" si="125"/>
        <v>738.09571118866575</v>
      </c>
      <c r="DT193" s="59">
        <f ca="1">AVERAGE(OFFSET($DS$3,0,0,'Données projet'!$E$14+1,1))-AVERAGE(OFFSET($H$3,0,0,'Données projet'!$E$14+1,1))</f>
        <v>91.053246648097399</v>
      </c>
      <c r="DU193" s="59">
        <f t="shared" si="152"/>
        <v>64.716270355703955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>
        <f>EXP(-LN(2)/35)*EA192+(1-EXP(-LN(2)/35))/(LN(2)/35)*DW193*DX193*VLOOKUP('Données projet'!$B$14,Paramètres!$A$1:$I$89,3,0)*0.475*44/12</f>
        <v>0</v>
      </c>
      <c r="EB193" s="21">
        <f>EXP(-LN(2)/25)*EB192+(1-EXP(-LN(2)/25))/(LN(2)/25)*Calculateur!DW193*Calculateur!DY193*VLOOKUP('Données projet'!$B$14,Paramètres!$A$1:$I$89,3,0)*0.475*44/12</f>
        <v>0</v>
      </c>
      <c r="EC193" s="21">
        <f>EXP(-LN(2)/2)*EC192+(1-EXP(-LN(2)/2))/(LN(2)/2)*DW193*DZ193*VLOOKUP('Données projet'!$B$14,Paramètres!$A$1:$I$89,3,0)*0.475*44/12</f>
        <v>0</v>
      </c>
      <c r="ED193" s="22">
        <f t="shared" si="178"/>
        <v>0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553.99999999999955</v>
      </c>
      <c r="EK193" s="17">
        <f>EJ193*VLOOKUP('Données projet'!$B$15,Paramètres!$A$1:$I$89,3,0)*VLOOKUP('Données projet'!$B$15,Paramètres!$A$1:$I$89,5,0)</f>
        <v>331.29199999999975</v>
      </c>
      <c r="EL193" s="13">
        <f t="shared" si="179"/>
        <v>77.698110787752</v>
      </c>
      <c r="EM193" s="20">
        <f t="shared" si="180"/>
        <v>712.32444295533423</v>
      </c>
      <c r="EN193" s="59">
        <f t="shared" si="128"/>
        <v>1005.6577762886675</v>
      </c>
      <c r="EO193" s="59">
        <f ca="1">AVERAGE(OFFSET($EN$3,0,0,'Données projet'!$E$15+1,1))-AVERAGE(OFFSET($H$3,0,0,'Données projet'!$E$15+1,1))</f>
        <v>316.58509520829671</v>
      </c>
      <c r="EP193" s="59">
        <f t="shared" si="154"/>
        <v>240.71332110643596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>
        <f>EXP(-LN(2)/35)*EV192+(1-EXP(-LN(2)/35))/(LN(2)/35)*ER193*ES193*VLOOKUP('Données projet'!$B$15,Paramètres!$A$1:$I$89,3,0)*0.475*44/12</f>
        <v>0.10660149120085817</v>
      </c>
      <c r="EW193" s="21">
        <f>EXP(-LN(2)/25)*EW192+(1-EXP(-LN(2)/25))/(LN(2)/25)*Calculateur!ER193*Calculateur!ET193*VLOOKUP('Données projet'!$B$15,Paramètres!$A$1:$I$89,3,0)*0.475*44/12</f>
        <v>0.18079569895838626</v>
      </c>
      <c r="EX193" s="21">
        <f>EXP(-LN(2)/2)*EX192+(1-EXP(-LN(2)/2))/(LN(2)/2)*ER193*EU193*VLOOKUP('Données projet'!$B$15,Paramètres!$A$1:$I$89,3,0)*0.475*44/12</f>
        <v>1.8147799239770199E-23</v>
      </c>
      <c r="EY193" s="22">
        <f t="shared" si="181"/>
        <v>0.28739719015924442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497</v>
      </c>
      <c r="FF193" s="17">
        <f>FE193*VLOOKUP('Données projet'!$B$16,Paramètres!$A$1:$I$89,3,0)*VLOOKUP('Données projet'!$B$16,Paramètres!$A$1:$I$89,5,0)</f>
        <v>297.20600000000002</v>
      </c>
      <c r="FG193" s="13">
        <f t="shared" si="182"/>
        <v>70.590415164571112</v>
      </c>
      <c r="FH193" s="20">
        <f t="shared" si="183"/>
        <v>640.57875641162809</v>
      </c>
      <c r="FI193" s="59">
        <f t="shared" si="131"/>
        <v>933.91208974496135</v>
      </c>
      <c r="FJ193" s="59">
        <f ca="1">AVERAGE(OFFSET($FI$3,0,0,'Données projet'!$E$16+1,1))-AVERAGE(OFFSET($H$3,0,0,'Données projet'!$E$16+1,1))</f>
        <v>270.30888762640245</v>
      </c>
      <c r="FK193" s="59">
        <f t="shared" si="156"/>
        <v>202.23783851977691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>
        <f>EXP(-LN(2)/35)*FQ192+(1-EXP(-LN(2)/35))/(LN(2)/35)*FM193*FN193*VLOOKUP('Données projet'!$B$16,Paramètres!$A$1:$I$89,3,0)*0.475*44/12</f>
        <v>9.0085767211992726E-2</v>
      </c>
      <c r="FR193" s="21">
        <f>EXP(-LN(2)/25)*FR192+(1-EXP(-LN(2)/25))/(LN(2)/25)*Calculateur!FM193*Calculateur!FO193*VLOOKUP('Données projet'!$B$16,Paramètres!$A$1:$I$89,3,0)*0.475*44/12</f>
        <v>0.14559414621374481</v>
      </c>
      <c r="FS193" s="21">
        <f>EXP(-LN(2)/2)*FS192+(1-EXP(-LN(2)/2))/(LN(2)/2)*FM193*FP193*VLOOKUP('Données projet'!$B$16,Paramètres!$A$1:$I$89,3,0)*0.475*44/12</f>
        <v>1.5296727298253499E-23</v>
      </c>
      <c r="FT193" s="22">
        <f t="shared" si="184"/>
        <v>0.23567991342573752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-5.1159076974727213E-13</v>
      </c>
      <c r="GA193" s="17">
        <f>FZ193*VLOOKUP('Données projet'!$B$17,Paramètres!$A$1:$I$89,3,0)*VLOOKUP('Données projet'!$B$17,Paramètres!$A$1:$I$89,5,0)</f>
        <v>-4.0702161641092972E-13</v>
      </c>
      <c r="GB193" s="13" t="e">
        <f t="shared" si="185"/>
        <v>#NUM!</v>
      </c>
      <c r="GC193" s="20" t="e">
        <f t="shared" si="186"/>
        <v>#NUM!</v>
      </c>
      <c r="GD193" s="59" t="e">
        <f t="shared" si="134"/>
        <v>#NUM!</v>
      </c>
      <c r="GE193" s="59">
        <f ca="1">AVERAGE(OFFSET($GD$3,0,0,'Données projet'!$E$17+1,1))-AVERAGE(OFFSET($H$3,0,0,'Données projet'!$E$17+1,1))</f>
        <v>260.20517190557814</v>
      </c>
      <c r="GF193" s="59">
        <f t="shared" si="158"/>
        <v>307.22009971147133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>
        <f>EXP(-LN(2)/35)*GL192+(1-EXP(-LN(2)/35))/(LN(2)/35)*GH193*GI193*VLOOKUP('Données projet'!$B$17,Paramètres!$A$1:$I$89,3,0)*0.475*44/12</f>
        <v>0.13723935599179674</v>
      </c>
      <c r="GM193" s="21">
        <f>EXP(-LN(2)/25)*GM192+(1-EXP(-LN(2)/25))/(LN(2)/25)*Calculateur!GH193*Calculateur!GJ193*VLOOKUP('Données projet'!$B$17,Paramètres!$A$1:$I$89,3,0)*0.475*44/12</f>
        <v>0.24298360772020872</v>
      </c>
      <c r="GN193" s="21">
        <f>EXP(-LN(2)/2)*GN192+(1-EXP(-LN(2)/2))/(LN(2)/2)*GH193*GK193*VLOOKUP('Données projet'!$B$17,Paramètres!$A$1:$I$89,3,0)*0.475*44/12</f>
        <v>1.9884623078378986E-23</v>
      </c>
      <c r="GO193" s="21">
        <f t="shared" si="187"/>
        <v>0.38022296371200548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5.6843418860808015E-14</v>
      </c>
      <c r="GV193" s="17">
        <f>GU193*VLOOKUP('Données projet'!$B$18,Paramètres!$A$1:$I$89,3,0)*VLOOKUP('Données projet'!$B$18,Paramètres!$A$1:$I$89,5,0)</f>
        <v>4.5224624045658861E-14</v>
      </c>
      <c r="GW193" s="13">
        <f t="shared" si="188"/>
        <v>7.4514601661523691E-13</v>
      </c>
      <c r="GX193" s="20">
        <f t="shared" si="189"/>
        <v>1.3765621991510601E-12</v>
      </c>
      <c r="GY193" s="59">
        <f t="shared" si="137"/>
        <v>293.33333333333468</v>
      </c>
      <c r="GZ193" s="59">
        <f ca="1">AVERAGE(OFFSET($GY$3,0,0,'Données projet'!$E$18+1,1))-AVERAGE(OFFSET($H$3,0,0,'Données projet'!$E$18+1,1))</f>
        <v>199.58763537752952</v>
      </c>
      <c r="HA193" s="59">
        <f t="shared" si="160"/>
        <v>242.62852778451929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>
        <f>EXP(-LN(2)/35)*HG192+(1-EXP(-LN(2)/35))/(LN(2)/35)*HC193*HD193*VLOOKUP('Données projet'!$B$18,Paramètres!$A$1:$I$89,3,0)*0.475*44/12</f>
        <v>0</v>
      </c>
      <c r="HH193" s="21">
        <f>EXP(-LN(2)/25)*HH192+(1-EXP(-LN(2)/25))/(LN(2)/25)*Calculateur!HC193*Calculateur!HE193*VLOOKUP('Données projet'!$B$18,Paramètres!$A$1:$I$89,3,0)*0.475*44/12</f>
        <v>0.12176623271659458</v>
      </c>
      <c r="HI193" s="21">
        <f>EXP(-LN(2)/2)*HI192+(1-EXP(-LN(2)/2))/(LN(2)/2)*HC193*HF193*VLOOKUP('Données projet'!$B$18,Paramètres!$A$1:$I$89,3,0)*0.475*44/12</f>
        <v>8.9017524637290778E-24</v>
      </c>
      <c r="HJ193" s="22">
        <f t="shared" si="190"/>
        <v>0.12176623271659458</v>
      </c>
    </row>
    <row r="194" spans="1:218" x14ac:dyDescent="0.2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169.83719999999968</v>
      </c>
      <c r="D194" s="11">
        <f t="shared" si="140"/>
        <v>43.053559768035143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1643.3672683848301</v>
      </c>
      <c r="H194" s="67">
        <f t="shared" si="110"/>
        <v>664.11807326266057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-2.2737367544323206E-13</v>
      </c>
      <c r="O194" s="13">
        <f>N194*VLOOKUP('Données projet'!$B$9,Paramètres!$A$1:$I$89,3,0)*VLOOKUP('Données projet'!$B$9,Paramètres!$A$1:$I$89,5,0)</f>
        <v>-1.2710188457276673E-13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255.5374979188561</v>
      </c>
      <c r="T194" s="59">
        <f t="shared" si="142"/>
        <v>343.10418468620901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0.1274166669262469</v>
      </c>
      <c r="AA194" s="21">
        <f>EXP(-LN(2)/25)*AA193+(1-EXP(-LN(2)/25))/(LN(2)/25)*Calculateur!V194*Calculateur!X194*VLOOKUP('Données projet'!$B$9,Paramètres!$A$1:$I$89,3,0)*0.475*44/12</f>
        <v>0.18382592762299557</v>
      </c>
      <c r="AB194" s="21">
        <f>EXP(-LN(2)/2)*AB193+(1-EXP(-LN(2)/2))/(LN(2)/2)*V194*Y194*VLOOKUP('Données projet'!$B$9,Paramètres!$A$1:$I$89,3,0)*0.475*44/12</f>
        <v>9.9004069906705584E-25</v>
      </c>
      <c r="AC194" s="22">
        <f t="shared" si="163"/>
        <v>0.31124259454924247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1.1368683772161603E-13</v>
      </c>
      <c r="AJ194" s="13">
        <f>AI194*VLOOKUP('Données projet'!$B$10,Paramètres!$A$1:$I$89,3,0)*VLOOKUP('Données projet'!$B$10,Paramètres!$A$1:$I$89,5,0)</f>
        <v>6.3550942286383367E-14</v>
      </c>
      <c r="AK194" s="13">
        <f t="shared" si="164"/>
        <v>1.0064464192543978E-12</v>
      </c>
      <c r="AL194" s="20">
        <f t="shared" si="165"/>
        <v>1.8635787380168604E-12</v>
      </c>
      <c r="AM194" s="59">
        <f t="shared" si="113"/>
        <v>293.33333333333519</v>
      </c>
      <c r="AN194" s="59">
        <f ca="1">AVERAGE(OFFSET($AM$3,0,0,'Données projet'!$E$10+1,1))-AVERAGE(OFFSET($H$3,0,0,'Données projet'!$E$10+1,1))</f>
        <v>224.7049802939942</v>
      </c>
      <c r="AO194" s="59">
        <f t="shared" si="144"/>
        <v>203.48513862195352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9.2001060761936732E-2</v>
      </c>
      <c r="AV194" s="21">
        <f>EXP(-LN(2)/25)*AV193+(1-EXP(-LN(2)/25))/(LN(2)/25)*Calculateur!AQ194*Calculateur!AS194*VLOOKUP('Données projet'!$B$10,Paramètres!$A$1:$I$89,3,0)*0.475*44/12</f>
        <v>0.22487820258143915</v>
      </c>
      <c r="AW194" s="21">
        <f>EXP(-LN(2)/2)*AW193+(1-EXP(-LN(2)/2))/(LN(2)/2)*AQ194*AT194*VLOOKUP('Données projet'!$B$10,Paramètres!$A$1:$I$89,3,0)*0.475*44/12</f>
        <v>5.2411072904073288E-24</v>
      </c>
      <c r="AX194" s="21">
        <f t="shared" si="166"/>
        <v>0.31687926334337591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>
        <f>BD194*VLOOKUP('Données projet'!$B$11,Paramètres!$A$1:$I$89,3,0)*VLOOKUP('Données projet'!$B$11,Paramètres!$A$1:$I$89,5,0)</f>
        <v>0</v>
      </c>
      <c r="BF194" s="13" t="e">
        <f t="shared" si="167"/>
        <v>#NUM!</v>
      </c>
      <c r="BG194" s="20" t="e">
        <f t="shared" si="168"/>
        <v>#NUM!</v>
      </c>
      <c r="BH194" s="59" t="e">
        <f t="shared" si="116"/>
        <v>#NUM!</v>
      </c>
      <c r="BI194" s="59">
        <f ca="1">AVERAGE(OFFSET($BH$3,0,0,'Données projet'!$E$11+1,1))-AVERAGE(OFFSET($H$3,0,0,'Données projet'!$E$11+1,1))</f>
        <v>210.04871822652808</v>
      </c>
      <c r="BJ194" s="59">
        <f t="shared" si="146"/>
        <v>250.17540614049324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0.3010534102907157</v>
      </c>
      <c r="BQ194" s="21">
        <f>EXP(-LN(2)/25)*BQ193+(1-EXP(-LN(2)/25))/(LN(2)/25)*Calculateur!BL194*Calculateur!BN194*VLOOKUP('Données projet'!$B$11,Paramètres!$A$1:$I$89,3,0)*0.475*44/12</f>
        <v>0.32054659634662958</v>
      </c>
      <c r="BR194" s="21">
        <f>EXP(-LN(2)/2)*BR193+(1-EXP(-LN(2)/2))/(LN(2)/2)*BL194*BO194*VLOOKUP('Données projet'!$B$11,Paramètres!$A$1:$I$89,3,0)*0.475*44/12</f>
        <v>1.2606977731669345E-23</v>
      </c>
      <c r="BS194" s="22">
        <f t="shared" si="169"/>
        <v>0.62160000663734527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2.2737367544323206E-13</v>
      </c>
      <c r="BZ194" s="13">
        <f>BY194*VLOOKUP('Données projet'!$B$12,Paramètres!$A$1:$I$89,3,0)*VLOOKUP('Données projet'!$B$12,Paramètres!$A$1:$I$89,5,0)</f>
        <v>1.2414602679200471E-13</v>
      </c>
      <c r="CA194" s="13">
        <f t="shared" si="170"/>
        <v>1.8186582995804361E-12</v>
      </c>
      <c r="CB194" s="20">
        <f t="shared" si="171"/>
        <v>3.3837175350986671E-12</v>
      </c>
      <c r="CC194" s="59">
        <f t="shared" si="119"/>
        <v>293.33333333333672</v>
      </c>
      <c r="CD194" s="59">
        <f ca="1">AVERAGE(OFFSET($CC$3,0,0,'Données projet'!$E$12+1,1))-AVERAGE(OFFSET($H$3,0,0,'Données projet'!$E$12+1,1))</f>
        <v>168.72306536277267</v>
      </c>
      <c r="CE194" s="59">
        <f t="shared" si="148"/>
        <v>203.35476578922339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0.12543892095446493</v>
      </c>
      <c r="CL194" s="21">
        <f>EXP(-LN(2)/25)*CL193+(1-EXP(-LN(2)/25))/(LN(2)/25)*Calculateur!CG194*Calculateur!CI194*VLOOKUP('Données projet'!$B$12,Paramètres!$A$1:$I$89,3,0)*0.475*44/12</f>
        <v>0.26473523222353568</v>
      </c>
      <c r="CM194" s="21">
        <f>EXP(-LN(2)/2)*CM193+(1-EXP(-LN(2)/2))/(LN(2)/2)*CG194*CJ194*VLOOKUP('Données projet'!$B$12,Paramètres!$A$1:$I$89,3,0)*0.475*44/12</f>
        <v>1.171204841702541E-23</v>
      </c>
      <c r="CN194" s="22">
        <f t="shared" si="172"/>
        <v>0.39017415317800064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1277.6923076923067</v>
      </c>
      <c r="CU194" s="17">
        <f>CT194*VLOOKUP('Données projet'!$B$13,Paramètres!$A$1:$I$89,3,0)*VLOOKUP('Données projet'!$B$13,Paramètres!$A$1:$I$89,5,0)</f>
        <v>614.5699999999996</v>
      </c>
      <c r="CV194" s="13">
        <f t="shared" si="173"/>
        <v>134.13240620831178</v>
      </c>
      <c r="CW194" s="20">
        <f t="shared" si="174"/>
        <v>1303.9900241461421</v>
      </c>
      <c r="CX194" s="59">
        <f t="shared" si="122"/>
        <v>1597.3233574794754</v>
      </c>
      <c r="CY194" s="59">
        <f ca="1">AVERAGE(OFFSET($CX$3,0,0,'Données projet'!$E$13+1,1))-AVERAGE(OFFSET($H$3,0,0,'Données projet'!$E$13+1,1))</f>
        <v>304.15237106473313</v>
      </c>
      <c r="CZ194" s="59">
        <f t="shared" si="150"/>
        <v>120.85458928724336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>
        <f>EXP(-LN(2)/35)*DF193+(1-EXP(-LN(2)/35))/(LN(2)/35)*DB194*DC194*VLOOKUP('Données projet'!$B$13,Paramètres!$A$1:$I$89,3,0)*0.475*44/12</f>
        <v>0</v>
      </c>
      <c r="DG194" s="21">
        <f>EXP(-LN(2)/25)*DG193+(1-EXP(-LN(2)/25))/(LN(2)/25)*Calculateur!DB194*Calculateur!DD194*VLOOKUP('Données projet'!$B$13,Paramètres!$A$1:$I$89,3,0)*0.475*44/12</f>
        <v>0</v>
      </c>
      <c r="DH194" s="21">
        <f>EXP(-LN(2)/2)*DH193+(1-EXP(-LN(2)/2))/(LN(2)/2)*DB194*DE194*VLOOKUP('Données projet'!$B$13,Paramètres!$A$1:$I$89,3,0)*0.475*44/12</f>
        <v>0</v>
      </c>
      <c r="DI194" s="22">
        <f t="shared" si="175"/>
        <v>0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425.38461538461536</v>
      </c>
      <c r="DP194" s="17">
        <f>DO194*VLOOKUP('Données projet'!$B$14,Paramètres!$A$1:$I$89,3,0)*VLOOKUP('Données projet'!$B$14,Paramètres!$A$1:$I$89,5,0)</f>
        <v>204.60999999999999</v>
      </c>
      <c r="DQ194" s="13">
        <f t="shared" si="176"/>
        <v>50.755958577224398</v>
      </c>
      <c r="DR194" s="20">
        <f t="shared" si="177"/>
        <v>444.76237785533249</v>
      </c>
      <c r="DS194" s="59">
        <f t="shared" si="125"/>
        <v>738.09571118866575</v>
      </c>
      <c r="DT194" s="59">
        <f ca="1">AVERAGE(OFFSET($DS$3,0,0,'Données projet'!$E$14+1,1))-AVERAGE(OFFSET($H$3,0,0,'Données projet'!$E$14+1,1))</f>
        <v>91.053246648097399</v>
      </c>
      <c r="DU194" s="59">
        <f t="shared" si="152"/>
        <v>64.716270355703955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>
        <f>EXP(-LN(2)/35)*EA193+(1-EXP(-LN(2)/35))/(LN(2)/35)*DW194*DX194*VLOOKUP('Données projet'!$B$14,Paramètres!$A$1:$I$89,3,0)*0.475*44/12</f>
        <v>0</v>
      </c>
      <c r="EB194" s="21">
        <f>EXP(-LN(2)/25)*EB193+(1-EXP(-LN(2)/25))/(LN(2)/25)*Calculateur!DW194*Calculateur!DY194*VLOOKUP('Données projet'!$B$14,Paramètres!$A$1:$I$89,3,0)*0.475*44/12</f>
        <v>0</v>
      </c>
      <c r="EC194" s="21">
        <f>EXP(-LN(2)/2)*EC193+(1-EXP(-LN(2)/2))/(LN(2)/2)*DW194*DZ194*VLOOKUP('Données projet'!$B$14,Paramètres!$A$1:$I$89,3,0)*0.475*44/12</f>
        <v>0</v>
      </c>
      <c r="ED194" s="22">
        <f t="shared" si="178"/>
        <v>0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553.99999999999955</v>
      </c>
      <c r="EK194" s="17">
        <f>EJ194*VLOOKUP('Données projet'!$B$15,Paramètres!$A$1:$I$89,3,0)*VLOOKUP('Données projet'!$B$15,Paramètres!$A$1:$I$89,5,0)</f>
        <v>331.29199999999975</v>
      </c>
      <c r="EL194" s="13">
        <f t="shared" si="179"/>
        <v>77.698110787752</v>
      </c>
      <c r="EM194" s="20">
        <f t="shared" si="180"/>
        <v>712.32444295533423</v>
      </c>
      <c r="EN194" s="59">
        <f t="shared" si="128"/>
        <v>1005.6577762886675</v>
      </c>
      <c r="EO194" s="59">
        <f ca="1">AVERAGE(OFFSET($EN$3,0,0,'Données projet'!$E$15+1,1))-AVERAGE(OFFSET($H$3,0,0,'Données projet'!$E$15+1,1))</f>
        <v>316.58509520829671</v>
      </c>
      <c r="EP194" s="59">
        <f t="shared" si="154"/>
        <v>240.71332110643596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>
        <f>EXP(-LN(2)/35)*EV193+(1-EXP(-LN(2)/35))/(LN(2)/35)*ER194*ES194*VLOOKUP('Données projet'!$B$15,Paramètres!$A$1:$I$89,3,0)*0.475*44/12</f>
        <v>0.10451110097889874</v>
      </c>
      <c r="EW194" s="21">
        <f>EXP(-LN(2)/25)*EW193+(1-EXP(-LN(2)/25))/(LN(2)/25)*Calculateur!ER194*Calculateur!ET194*VLOOKUP('Données projet'!$B$15,Paramètres!$A$1:$I$89,3,0)*0.475*44/12</f>
        <v>0.17585183106273661</v>
      </c>
      <c r="EX194" s="21">
        <f>EXP(-LN(2)/2)*EX193+(1-EXP(-LN(2)/2))/(LN(2)/2)*ER194*EU194*VLOOKUP('Données projet'!$B$15,Paramètres!$A$1:$I$89,3,0)*0.475*44/12</f>
        <v>1.283243190605358E-23</v>
      </c>
      <c r="EY194" s="22">
        <f t="shared" si="181"/>
        <v>0.28036293204163532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497</v>
      </c>
      <c r="FF194" s="17">
        <f>FE194*VLOOKUP('Données projet'!$B$16,Paramètres!$A$1:$I$89,3,0)*VLOOKUP('Données projet'!$B$16,Paramètres!$A$1:$I$89,5,0)</f>
        <v>297.20600000000002</v>
      </c>
      <c r="FG194" s="13">
        <f t="shared" si="182"/>
        <v>70.590415164571112</v>
      </c>
      <c r="FH194" s="20">
        <f t="shared" si="183"/>
        <v>640.57875641162809</v>
      </c>
      <c r="FI194" s="59">
        <f t="shared" si="131"/>
        <v>933.91208974496135</v>
      </c>
      <c r="FJ194" s="59">
        <f ca="1">AVERAGE(OFFSET($FI$3,0,0,'Données projet'!$E$16+1,1))-AVERAGE(OFFSET($H$3,0,0,'Données projet'!$E$16+1,1))</f>
        <v>270.30888762640245</v>
      </c>
      <c r="FK194" s="59">
        <f t="shared" si="156"/>
        <v>202.23783851977691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>
        <f>EXP(-LN(2)/35)*FQ193+(1-EXP(-LN(2)/35))/(LN(2)/35)*FM194*FN194*VLOOKUP('Données projet'!$B$16,Paramètres!$A$1:$I$89,3,0)*0.475*44/12</f>
        <v>8.8319240263857998E-2</v>
      </c>
      <c r="FR194" s="21">
        <f>EXP(-LN(2)/25)*FR193+(1-EXP(-LN(2)/25))/(LN(2)/25)*Calculateur!FM194*Calculateur!FO194*VLOOKUP('Données projet'!$B$16,Paramètres!$A$1:$I$89,3,0)*0.475*44/12</f>
        <v>0.14161286662906655</v>
      </c>
      <c r="FS194" s="21">
        <f>EXP(-LN(2)/2)*FS193+(1-EXP(-LN(2)/2))/(LN(2)/2)*FM194*FP194*VLOOKUP('Données projet'!$B$16,Paramètres!$A$1:$I$89,3,0)*0.475*44/12</f>
        <v>1.0816419602556426E-23</v>
      </c>
      <c r="FT194" s="22">
        <f t="shared" si="184"/>
        <v>0.22993210689292454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-5.1159076974727213E-13</v>
      </c>
      <c r="GA194" s="17">
        <f>FZ194*VLOOKUP('Données projet'!$B$17,Paramètres!$A$1:$I$89,3,0)*VLOOKUP('Données projet'!$B$17,Paramètres!$A$1:$I$89,5,0)</f>
        <v>-4.0702161641092972E-13</v>
      </c>
      <c r="GB194" s="13" t="e">
        <f t="shared" si="185"/>
        <v>#NUM!</v>
      </c>
      <c r="GC194" s="20" t="e">
        <f t="shared" si="186"/>
        <v>#NUM!</v>
      </c>
      <c r="GD194" s="59" t="e">
        <f t="shared" si="134"/>
        <v>#NUM!</v>
      </c>
      <c r="GE194" s="59">
        <f ca="1">AVERAGE(OFFSET($GD$3,0,0,'Données projet'!$E$17+1,1))-AVERAGE(OFFSET($H$3,0,0,'Données projet'!$E$17+1,1))</f>
        <v>260.20517190557814</v>
      </c>
      <c r="GF194" s="59">
        <f t="shared" si="158"/>
        <v>307.22009971147133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>
        <f>EXP(-LN(2)/35)*GL193+(1-EXP(-LN(2)/35))/(LN(2)/35)*GH194*GI194*VLOOKUP('Données projet'!$B$17,Paramètres!$A$1:$I$89,3,0)*0.475*44/12</f>
        <v>0.13454817592853929</v>
      </c>
      <c r="GM194" s="21">
        <f>EXP(-LN(2)/25)*GM193+(1-EXP(-LN(2)/25))/(LN(2)/25)*Calculateur!GH194*Calculateur!GJ194*VLOOKUP('Données projet'!$B$17,Paramètres!$A$1:$I$89,3,0)*0.475*44/12</f>
        <v>0.23633920818914703</v>
      </c>
      <c r="GN194" s="21">
        <f>EXP(-LN(2)/2)*GN193+(1-EXP(-LN(2)/2))/(LN(2)/2)*GH194*GK194*VLOOKUP('Données projet'!$B$17,Paramètres!$A$1:$I$89,3,0)*0.475*44/12</f>
        <v>1.4060551820060303E-23</v>
      </c>
      <c r="GO194" s="21">
        <f t="shared" si="187"/>
        <v>0.37088738411768629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5.6843418860808015E-14</v>
      </c>
      <c r="GV194" s="17">
        <f>GU194*VLOOKUP('Données projet'!$B$18,Paramètres!$A$1:$I$89,3,0)*VLOOKUP('Données projet'!$B$18,Paramètres!$A$1:$I$89,5,0)</f>
        <v>4.5224624045658861E-14</v>
      </c>
      <c r="GW194" s="13">
        <f t="shared" si="188"/>
        <v>7.4514601661523691E-13</v>
      </c>
      <c r="GX194" s="20">
        <f t="shared" si="189"/>
        <v>1.3765621991510601E-12</v>
      </c>
      <c r="GY194" s="59">
        <f t="shared" si="137"/>
        <v>293.33333333333468</v>
      </c>
      <c r="GZ194" s="59">
        <f ca="1">AVERAGE(OFFSET($GY$3,0,0,'Données projet'!$E$18+1,1))-AVERAGE(OFFSET($H$3,0,0,'Données projet'!$E$18+1,1))</f>
        <v>199.58763537752952</v>
      </c>
      <c r="HA194" s="59">
        <f t="shared" si="160"/>
        <v>242.62852778451929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>
        <f>EXP(-LN(2)/35)*HG193+(1-EXP(-LN(2)/35))/(LN(2)/35)*HC194*HD194*VLOOKUP('Données projet'!$B$18,Paramètres!$A$1:$I$89,3,0)*0.475*44/12</f>
        <v>0</v>
      </c>
      <c r="HH194" s="21">
        <f>EXP(-LN(2)/25)*HH193+(1-EXP(-LN(2)/25))/(LN(2)/25)*Calculateur!HC194*Calculateur!HE194*VLOOKUP('Données projet'!$B$18,Paramètres!$A$1:$I$89,3,0)*0.475*44/12</f>
        <v>0.11843652867955141</v>
      </c>
      <c r="HI194" s="21">
        <f>EXP(-LN(2)/2)*HI193+(1-EXP(-LN(2)/2))/(LN(2)/2)*HC194*HF194*VLOOKUP('Données projet'!$B$18,Paramètres!$A$1:$I$89,3,0)*0.475*44/12</f>
        <v>6.2944895315468874E-24</v>
      </c>
      <c r="HJ194" s="22">
        <f t="shared" si="190"/>
        <v>0.11843652867955141</v>
      </c>
    </row>
    <row r="195" spans="1:218" x14ac:dyDescent="0.2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170.72639999999967</v>
      </c>
      <c r="D195" s="11">
        <f t="shared" si="140"/>
        <v>43.252672626882983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1651.7682799268139</v>
      </c>
      <c r="H195" s="67">
        <f t="shared" si="110"/>
        <v>666.01355149182064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-2.2737367544323206E-13</v>
      </c>
      <c r="O195" s="13">
        <f>N195*VLOOKUP('Données projet'!$B$9,Paramètres!$A$1:$I$89,3,0)*VLOOKUP('Données projet'!$B$9,Paramètres!$A$1:$I$89,5,0)</f>
        <v>-1.2710188457276673E-13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255.5374979188561</v>
      </c>
      <c r="T195" s="59">
        <f t="shared" si="142"/>
        <v>343.10418468620901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0.12491810380431616</v>
      </c>
      <c r="AA195" s="21">
        <f>EXP(-LN(2)/25)*AA194+(1-EXP(-LN(2)/25))/(LN(2)/25)*Calculateur!V195*Calculateur!X195*VLOOKUP('Données projet'!$B$9,Paramètres!$A$1:$I$89,3,0)*0.475*44/12</f>
        <v>0.17879919796515936</v>
      </c>
      <c r="AB195" s="21">
        <f>EXP(-LN(2)/2)*AB194+(1-EXP(-LN(2)/2))/(LN(2)/2)*V195*Y195*VLOOKUP('Données projet'!$B$9,Paramètres!$A$1:$I$89,3,0)*0.475*44/12</f>
        <v>7.0006449196098521E-25</v>
      </c>
      <c r="AC195" s="22">
        <f t="shared" si="163"/>
        <v>0.30371730176947553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1.1368683772161603E-13</v>
      </c>
      <c r="AJ195" s="13">
        <f>AI195*VLOOKUP('Données projet'!$B$10,Paramètres!$A$1:$I$89,3,0)*VLOOKUP('Données projet'!$B$10,Paramètres!$A$1:$I$89,5,0)</f>
        <v>6.3550942286383367E-14</v>
      </c>
      <c r="AK195" s="13">
        <f t="shared" si="164"/>
        <v>1.0064464192543978E-12</v>
      </c>
      <c r="AL195" s="20">
        <f t="shared" si="165"/>
        <v>1.8635787380168604E-12</v>
      </c>
      <c r="AM195" s="59">
        <f t="shared" si="113"/>
        <v>293.33333333333519</v>
      </c>
      <c r="AN195" s="59">
        <f ca="1">AVERAGE(OFFSET($AM$3,0,0,'Données projet'!$E$10+1,1))-AVERAGE(OFFSET($H$3,0,0,'Données projet'!$E$10+1,1))</f>
        <v>224.7049802939942</v>
      </c>
      <c r="AO195" s="59">
        <f t="shared" si="144"/>
        <v>203.48513862195352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9.0196976075501312E-2</v>
      </c>
      <c r="AV195" s="21">
        <f>EXP(-LN(2)/25)*AV194+(1-EXP(-LN(2)/25))/(LN(2)/25)*Calculateur!AQ195*Calculateur!AS195*VLOOKUP('Données projet'!$B$10,Paramètres!$A$1:$I$89,3,0)*0.475*44/12</f>
        <v>0.21872889630601899</v>
      </c>
      <c r="AW195" s="21">
        <f>EXP(-LN(2)/2)*AW194+(1-EXP(-LN(2)/2))/(LN(2)/2)*AQ195*AT195*VLOOKUP('Données projet'!$B$10,Paramètres!$A$1:$I$89,3,0)*0.475*44/12</f>
        <v>3.7060225059732741E-24</v>
      </c>
      <c r="AX195" s="21">
        <f t="shared" si="166"/>
        <v>0.30892587238152031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>
        <f>BD195*VLOOKUP('Données projet'!$B$11,Paramètres!$A$1:$I$89,3,0)*VLOOKUP('Données projet'!$B$11,Paramètres!$A$1:$I$89,5,0)</f>
        <v>0</v>
      </c>
      <c r="BF195" s="13" t="e">
        <f t="shared" si="167"/>
        <v>#NUM!</v>
      </c>
      <c r="BG195" s="20" t="e">
        <f t="shared" si="168"/>
        <v>#NUM!</v>
      </c>
      <c r="BH195" s="59" t="e">
        <f t="shared" si="116"/>
        <v>#NUM!</v>
      </c>
      <c r="BI195" s="59">
        <f ca="1">AVERAGE(OFFSET($BH$3,0,0,'Données projet'!$E$11+1,1))-AVERAGE(OFFSET($H$3,0,0,'Données projet'!$E$11+1,1))</f>
        <v>210.04871822652808</v>
      </c>
      <c r="BJ195" s="59">
        <f t="shared" si="146"/>
        <v>250.17540614049324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0.29514993653936361</v>
      </c>
      <c r="BQ195" s="21">
        <f>EXP(-LN(2)/25)*BQ194+(1-EXP(-LN(2)/25))/(LN(2)/25)*Calculateur!BL195*Calculateur!BN195*VLOOKUP('Données projet'!$B$11,Paramètres!$A$1:$I$89,3,0)*0.475*44/12</f>
        <v>0.31178123281271813</v>
      </c>
      <c r="BR195" s="21">
        <f>EXP(-LN(2)/2)*BR194+(1-EXP(-LN(2)/2))/(LN(2)/2)*BL195*BO195*VLOOKUP('Données projet'!$B$11,Paramètres!$A$1:$I$89,3,0)*0.475*44/12</f>
        <v>8.9144794443311926E-24</v>
      </c>
      <c r="BS195" s="22">
        <f t="shared" si="169"/>
        <v>0.6069311693520818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2.2737367544323206E-13</v>
      </c>
      <c r="BZ195" s="13">
        <f>BY195*VLOOKUP('Données projet'!$B$12,Paramètres!$A$1:$I$89,3,0)*VLOOKUP('Données projet'!$B$12,Paramètres!$A$1:$I$89,5,0)</f>
        <v>1.2414602679200471E-13</v>
      </c>
      <c r="CA195" s="13">
        <f t="shared" si="170"/>
        <v>1.8186582995804361E-12</v>
      </c>
      <c r="CB195" s="20">
        <f t="shared" si="171"/>
        <v>3.3837175350986671E-12</v>
      </c>
      <c r="CC195" s="59">
        <f t="shared" si="119"/>
        <v>293.33333333333672</v>
      </c>
      <c r="CD195" s="59">
        <f ca="1">AVERAGE(OFFSET($CC$3,0,0,'Données projet'!$E$12+1,1))-AVERAGE(OFFSET($H$3,0,0,'Données projet'!$E$12+1,1))</f>
        <v>168.72306536277267</v>
      </c>
      <c r="CE195" s="59">
        <f t="shared" si="148"/>
        <v>203.35476578922339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0.1229791402247349</v>
      </c>
      <c r="CL195" s="21">
        <f>EXP(-LN(2)/25)*CL194+(1-EXP(-LN(2)/25))/(LN(2)/25)*Calculateur!CG195*Calculateur!CI195*VLOOKUP('Données projet'!$B$12,Paramètres!$A$1:$I$89,3,0)*0.475*44/12</f>
        <v>0.25749603337656229</v>
      </c>
      <c r="CM195" s="21">
        <f>EXP(-LN(2)/2)*CM194+(1-EXP(-LN(2)/2))/(LN(2)/2)*CG195*CJ195*VLOOKUP('Données projet'!$B$12,Paramètres!$A$1:$I$89,3,0)*0.475*44/12</f>
        <v>8.2816688572638366E-24</v>
      </c>
      <c r="CN195" s="22">
        <f t="shared" si="172"/>
        <v>0.38047517360129718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1277.6923076923067</v>
      </c>
      <c r="CU195" s="17">
        <f>CT195*VLOOKUP('Données projet'!$B$13,Paramètres!$A$1:$I$89,3,0)*VLOOKUP('Données projet'!$B$13,Paramètres!$A$1:$I$89,5,0)</f>
        <v>614.5699999999996</v>
      </c>
      <c r="CV195" s="13">
        <f t="shared" si="173"/>
        <v>134.13240620831178</v>
      </c>
      <c r="CW195" s="20">
        <f t="shared" si="174"/>
        <v>1303.9900241461421</v>
      </c>
      <c r="CX195" s="59">
        <f t="shared" si="122"/>
        <v>1597.3233574794754</v>
      </c>
      <c r="CY195" s="59">
        <f ca="1">AVERAGE(OFFSET($CX$3,0,0,'Données projet'!$E$13+1,1))-AVERAGE(OFFSET($H$3,0,0,'Données projet'!$E$13+1,1))</f>
        <v>304.15237106473313</v>
      </c>
      <c r="CZ195" s="59">
        <f t="shared" si="150"/>
        <v>120.85458928724336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>
        <f>EXP(-LN(2)/35)*DF194+(1-EXP(-LN(2)/35))/(LN(2)/35)*DB195*DC195*VLOOKUP('Données projet'!$B$13,Paramètres!$A$1:$I$89,3,0)*0.475*44/12</f>
        <v>0</v>
      </c>
      <c r="DG195" s="21">
        <f>EXP(-LN(2)/25)*DG194+(1-EXP(-LN(2)/25))/(LN(2)/25)*Calculateur!DB195*Calculateur!DD195*VLOOKUP('Données projet'!$B$13,Paramètres!$A$1:$I$89,3,0)*0.475*44/12</f>
        <v>0</v>
      </c>
      <c r="DH195" s="21">
        <f>EXP(-LN(2)/2)*DH194+(1-EXP(-LN(2)/2))/(LN(2)/2)*DB195*DE195*VLOOKUP('Données projet'!$B$13,Paramètres!$A$1:$I$89,3,0)*0.475*44/12</f>
        <v>0</v>
      </c>
      <c r="DI195" s="22">
        <f t="shared" si="175"/>
        <v>0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425.38461538461536</v>
      </c>
      <c r="DP195" s="17">
        <f>DO195*VLOOKUP('Données projet'!$B$14,Paramètres!$A$1:$I$89,3,0)*VLOOKUP('Données projet'!$B$14,Paramètres!$A$1:$I$89,5,0)</f>
        <v>204.60999999999999</v>
      </c>
      <c r="DQ195" s="13">
        <f t="shared" si="176"/>
        <v>50.755958577224398</v>
      </c>
      <c r="DR195" s="20">
        <f t="shared" si="177"/>
        <v>444.76237785533249</v>
      </c>
      <c r="DS195" s="59">
        <f t="shared" si="125"/>
        <v>738.09571118866575</v>
      </c>
      <c r="DT195" s="59">
        <f ca="1">AVERAGE(OFFSET($DS$3,0,0,'Données projet'!$E$14+1,1))-AVERAGE(OFFSET($H$3,0,0,'Données projet'!$E$14+1,1))</f>
        <v>91.053246648097399</v>
      </c>
      <c r="DU195" s="59">
        <f t="shared" si="152"/>
        <v>64.716270355703955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>
        <f>EXP(-LN(2)/35)*EA194+(1-EXP(-LN(2)/35))/(LN(2)/35)*DW195*DX195*VLOOKUP('Données projet'!$B$14,Paramètres!$A$1:$I$89,3,0)*0.475*44/12</f>
        <v>0</v>
      </c>
      <c r="EB195" s="21">
        <f>EXP(-LN(2)/25)*EB194+(1-EXP(-LN(2)/25))/(LN(2)/25)*Calculateur!DW195*Calculateur!DY195*VLOOKUP('Données projet'!$B$14,Paramètres!$A$1:$I$89,3,0)*0.475*44/12</f>
        <v>0</v>
      </c>
      <c r="EC195" s="21">
        <f>EXP(-LN(2)/2)*EC194+(1-EXP(-LN(2)/2))/(LN(2)/2)*DW195*DZ195*VLOOKUP('Données projet'!$B$14,Paramètres!$A$1:$I$89,3,0)*0.475*44/12</f>
        <v>0</v>
      </c>
      <c r="ED195" s="22">
        <f t="shared" si="178"/>
        <v>0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553.99999999999955</v>
      </c>
      <c r="EK195" s="17">
        <f>EJ195*VLOOKUP('Données projet'!$B$15,Paramètres!$A$1:$I$89,3,0)*VLOOKUP('Données projet'!$B$15,Paramètres!$A$1:$I$89,5,0)</f>
        <v>331.29199999999975</v>
      </c>
      <c r="EL195" s="13">
        <f t="shared" si="179"/>
        <v>77.698110787752</v>
      </c>
      <c r="EM195" s="20">
        <f t="shared" si="180"/>
        <v>712.32444295533423</v>
      </c>
      <c r="EN195" s="59">
        <f t="shared" si="128"/>
        <v>1005.6577762886675</v>
      </c>
      <c r="EO195" s="59">
        <f ca="1">AVERAGE(OFFSET($EN$3,0,0,'Données projet'!$E$15+1,1))-AVERAGE(OFFSET($H$3,0,0,'Données projet'!$E$15+1,1))</f>
        <v>316.58509520829671</v>
      </c>
      <c r="EP195" s="59">
        <f t="shared" si="154"/>
        <v>240.71332110643596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>
        <f>EXP(-LN(2)/35)*EV194+(1-EXP(-LN(2)/35))/(LN(2)/35)*ER195*ES195*VLOOKUP('Données projet'!$B$15,Paramètres!$A$1:$I$89,3,0)*0.475*44/12</f>
        <v>0.10246170203417979</v>
      </c>
      <c r="EW195" s="21">
        <f>EXP(-LN(2)/25)*EW194+(1-EXP(-LN(2)/25))/(LN(2)/25)*Calculateur!ER195*Calculateur!ET195*VLOOKUP('Données projet'!$B$15,Paramètres!$A$1:$I$89,3,0)*0.475*44/12</f>
        <v>0.17104315349468019</v>
      </c>
      <c r="EX195" s="21">
        <f>EXP(-LN(2)/2)*EX194+(1-EXP(-LN(2)/2))/(LN(2)/2)*ER195*EU195*VLOOKUP('Données projet'!$B$15,Paramètres!$A$1:$I$89,3,0)*0.475*44/12</f>
        <v>9.0738996198850996E-24</v>
      </c>
      <c r="EY195" s="22">
        <f t="shared" si="181"/>
        <v>0.27350485552885995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497</v>
      </c>
      <c r="FF195" s="17">
        <f>FE195*VLOOKUP('Données projet'!$B$16,Paramètres!$A$1:$I$89,3,0)*VLOOKUP('Données projet'!$B$16,Paramètres!$A$1:$I$89,5,0)</f>
        <v>297.20600000000002</v>
      </c>
      <c r="FG195" s="13">
        <f t="shared" si="182"/>
        <v>70.590415164571112</v>
      </c>
      <c r="FH195" s="20">
        <f t="shared" si="183"/>
        <v>640.57875641162809</v>
      </c>
      <c r="FI195" s="59">
        <f t="shared" si="131"/>
        <v>933.91208974496135</v>
      </c>
      <c r="FJ195" s="59">
        <f ca="1">AVERAGE(OFFSET($FI$3,0,0,'Données projet'!$E$16+1,1))-AVERAGE(OFFSET($H$3,0,0,'Données projet'!$E$16+1,1))</f>
        <v>270.30888762640245</v>
      </c>
      <c r="FK195" s="59">
        <f t="shared" si="156"/>
        <v>202.23783851977691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>
        <f>EXP(-LN(2)/35)*FQ194+(1-EXP(-LN(2)/35))/(LN(2)/35)*FM195*FN195*VLOOKUP('Données projet'!$B$16,Paramètres!$A$1:$I$89,3,0)*0.475*44/12</f>
        <v>8.6587353831701144E-2</v>
      </c>
      <c r="FR195" s="21">
        <f>EXP(-LN(2)/25)*FR194+(1-EXP(-LN(2)/25))/(LN(2)/25)*Calculateur!FM195*Calculateur!FO195*VLOOKUP('Données projet'!$B$16,Paramètres!$A$1:$I$89,3,0)*0.475*44/12</f>
        <v>0.13774045534399773</v>
      </c>
      <c r="FS195" s="21">
        <f>EXP(-LN(2)/2)*FS194+(1-EXP(-LN(2)/2))/(LN(2)/2)*FM195*FP195*VLOOKUP('Données projet'!$B$16,Paramètres!$A$1:$I$89,3,0)*0.475*44/12</f>
        <v>7.6483636491267497E-24</v>
      </c>
      <c r="FT195" s="22">
        <f t="shared" si="184"/>
        <v>0.22432780917569889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-5.1159076974727213E-13</v>
      </c>
      <c r="GA195" s="17">
        <f>FZ195*VLOOKUP('Données projet'!$B$17,Paramètres!$A$1:$I$89,3,0)*VLOOKUP('Données projet'!$B$17,Paramètres!$A$1:$I$89,5,0)</f>
        <v>-4.0702161641092972E-13</v>
      </c>
      <c r="GB195" s="13" t="e">
        <f t="shared" si="185"/>
        <v>#NUM!</v>
      </c>
      <c r="GC195" s="20" t="e">
        <f t="shared" si="186"/>
        <v>#NUM!</v>
      </c>
      <c r="GD195" s="59" t="e">
        <f t="shared" si="134"/>
        <v>#NUM!</v>
      </c>
      <c r="GE195" s="59">
        <f ca="1">AVERAGE(OFFSET($GD$3,0,0,'Données projet'!$E$17+1,1))-AVERAGE(OFFSET($H$3,0,0,'Données projet'!$E$17+1,1))</f>
        <v>260.20517190557814</v>
      </c>
      <c r="GF195" s="59">
        <f t="shared" si="158"/>
        <v>307.22009971147133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>
        <f>EXP(-LN(2)/35)*GL194+(1-EXP(-LN(2)/35))/(LN(2)/35)*GH195*GI195*VLOOKUP('Données projet'!$B$17,Paramètres!$A$1:$I$89,3,0)*0.475*44/12</f>
        <v>0.13190976826486459</v>
      </c>
      <c r="GM195" s="21">
        <f>EXP(-LN(2)/25)*GM194+(1-EXP(-LN(2)/25))/(LN(2)/25)*Calculateur!GH195*Calculateur!GJ195*VLOOKUP('Données projet'!$B$17,Paramètres!$A$1:$I$89,3,0)*0.475*44/12</f>
        <v>0.22987650011267599</v>
      </c>
      <c r="GN195" s="21">
        <f>EXP(-LN(2)/2)*GN194+(1-EXP(-LN(2)/2))/(LN(2)/2)*GH195*GK195*VLOOKUP('Données projet'!$B$17,Paramètres!$A$1:$I$89,3,0)*0.475*44/12</f>
        <v>9.942311539189493E-24</v>
      </c>
      <c r="GO195" s="21">
        <f t="shared" si="187"/>
        <v>0.36178626837754058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5.6843418860808015E-14</v>
      </c>
      <c r="GV195" s="17">
        <f>GU195*VLOOKUP('Données projet'!$B$18,Paramètres!$A$1:$I$89,3,0)*VLOOKUP('Données projet'!$B$18,Paramètres!$A$1:$I$89,5,0)</f>
        <v>4.5224624045658861E-14</v>
      </c>
      <c r="GW195" s="13">
        <f t="shared" si="188"/>
        <v>7.4514601661523691E-13</v>
      </c>
      <c r="GX195" s="20">
        <f t="shared" si="189"/>
        <v>1.3765621991510601E-12</v>
      </c>
      <c r="GY195" s="59">
        <f t="shared" si="137"/>
        <v>293.33333333333468</v>
      </c>
      <c r="GZ195" s="59">
        <f ca="1">AVERAGE(OFFSET($GY$3,0,0,'Données projet'!$E$18+1,1))-AVERAGE(OFFSET($H$3,0,0,'Données projet'!$E$18+1,1))</f>
        <v>199.58763537752952</v>
      </c>
      <c r="HA195" s="59">
        <f t="shared" si="160"/>
        <v>242.62852778451929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>
        <f>EXP(-LN(2)/35)*HG194+(1-EXP(-LN(2)/35))/(LN(2)/35)*HC195*HD195*VLOOKUP('Données projet'!$B$18,Paramètres!$A$1:$I$89,3,0)*0.475*44/12</f>
        <v>0</v>
      </c>
      <c r="HH195" s="21">
        <f>EXP(-LN(2)/25)*HH194+(1-EXP(-LN(2)/25))/(LN(2)/25)*Calculateur!HC195*Calculateur!HE195*VLOOKUP('Données projet'!$B$18,Paramètres!$A$1:$I$89,3,0)*0.475*44/12</f>
        <v>0.11519787557450273</v>
      </c>
      <c r="HI195" s="21">
        <f>EXP(-LN(2)/2)*HI194+(1-EXP(-LN(2)/2))/(LN(2)/2)*HC195*HF195*VLOOKUP('Données projet'!$B$18,Paramètres!$A$1:$I$89,3,0)*0.475*44/12</f>
        <v>4.4508762318645389E-24</v>
      </c>
      <c r="HJ195" s="22">
        <f t="shared" si="190"/>
        <v>0.11519787557450273</v>
      </c>
    </row>
    <row r="196" spans="1:218" x14ac:dyDescent="0.2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171.61559999999966</v>
      </c>
      <c r="D196" s="11">
        <f t="shared" si="140"/>
        <v>43.451664809566452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1660.1683599334929</v>
      </c>
      <c r="H196" s="67">
        <f t="shared" ref="H196:H203" si="192">(B196+E196+F196)*44/12+(C196+D196)*0.475*44/12</f>
        <v>667.90881954332758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-2.2737367544323206E-13</v>
      </c>
      <c r="O196" s="13">
        <f>N196*VLOOKUP('Données projet'!$B$9,Paramètres!$A$1:$I$89,3,0)*VLOOKUP('Données projet'!$B$9,Paramètres!$A$1:$I$89,5,0)</f>
        <v>-1.2710188457276673E-13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255.5374979188561</v>
      </c>
      <c r="T196" s="59">
        <f t="shared" si="142"/>
        <v>343.10418468620901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0.12246853598123346</v>
      </c>
      <c r="AA196" s="21">
        <f>EXP(-LN(2)/25)*AA195+(1-EXP(-LN(2)/25))/(LN(2)/25)*Calculateur!V196*Calculateur!X196*VLOOKUP('Données projet'!$B$9,Paramètres!$A$1:$I$89,3,0)*0.475*44/12</f>
        <v>0.1739099244941609</v>
      </c>
      <c r="AB196" s="21">
        <f>EXP(-LN(2)/2)*AB195+(1-EXP(-LN(2)/2))/(LN(2)/2)*V196*Y196*VLOOKUP('Données projet'!$B$9,Paramètres!$A$1:$I$89,3,0)*0.475*44/12</f>
        <v>4.9502034953352792E-25</v>
      </c>
      <c r="AC196" s="22">
        <f t="shared" si="163"/>
        <v>0.29637846047539435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1.1368683772161603E-13</v>
      </c>
      <c r="AJ196" s="13">
        <f>AI196*VLOOKUP('Données projet'!$B$10,Paramètres!$A$1:$I$89,3,0)*VLOOKUP('Données projet'!$B$10,Paramètres!$A$1:$I$89,5,0)</f>
        <v>6.3550942286383367E-14</v>
      </c>
      <c r="AK196" s="13">
        <f t="shared" si="164"/>
        <v>1.0064464192543978E-12</v>
      </c>
      <c r="AL196" s="20">
        <f t="shared" si="165"/>
        <v>1.8635787380168604E-12</v>
      </c>
      <c r="AM196" s="59">
        <f t="shared" ref="AM196:AM203" si="193">AL196+(AD196+AE196)*44/12</f>
        <v>293.33333333333519</v>
      </c>
      <c r="AN196" s="59">
        <f ca="1">AVERAGE(OFFSET($AM$3,0,0,'Données projet'!$E$10+1,1))-AVERAGE(OFFSET($H$3,0,0,'Données projet'!$E$10+1,1))</f>
        <v>224.7049802939942</v>
      </c>
      <c r="AO196" s="59">
        <f t="shared" si="144"/>
        <v>203.48513862195352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8.8428268389383891E-2</v>
      </c>
      <c r="AV196" s="21">
        <f>EXP(-LN(2)/25)*AV195+(1-EXP(-LN(2)/25))/(LN(2)/25)*Calculateur!AQ196*Calculateur!AS196*VLOOKUP('Données projet'!$B$10,Paramètres!$A$1:$I$89,3,0)*0.475*44/12</f>
        <v>0.21274774313407815</v>
      </c>
      <c r="AW196" s="21">
        <f>EXP(-LN(2)/2)*AW195+(1-EXP(-LN(2)/2))/(LN(2)/2)*AQ196*AT196*VLOOKUP('Données projet'!$B$10,Paramètres!$A$1:$I$89,3,0)*0.475*44/12</f>
        <v>2.6205536452036644E-24</v>
      </c>
      <c r="AX196" s="21">
        <f t="shared" si="166"/>
        <v>0.30117601152346207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>
        <f>BD196*VLOOKUP('Données projet'!$B$11,Paramètres!$A$1:$I$89,3,0)*VLOOKUP('Données projet'!$B$11,Paramètres!$A$1:$I$89,5,0)</f>
        <v>0</v>
      </c>
      <c r="BF196" s="13" t="e">
        <f t="shared" si="167"/>
        <v>#NUM!</v>
      </c>
      <c r="BG196" s="20" t="e">
        <f t="shared" si="168"/>
        <v>#NUM!</v>
      </c>
      <c r="BH196" s="59" t="e">
        <f t="shared" ref="BH196:BH203" si="194">BG196+(AY196+AZ196)*44/12</f>
        <v>#NUM!</v>
      </c>
      <c r="BI196" s="59">
        <f ca="1">AVERAGE(OFFSET($BH$3,0,0,'Données projet'!$E$11+1,1))-AVERAGE(OFFSET($H$3,0,0,'Données projet'!$E$11+1,1))</f>
        <v>210.04871822652808</v>
      </c>
      <c r="BJ196" s="59">
        <f t="shared" si="146"/>
        <v>250.17540614049324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0.28936222630751213</v>
      </c>
      <c r="BQ196" s="21">
        <f>EXP(-LN(2)/25)*BQ195+(1-EXP(-LN(2)/25))/(LN(2)/25)*Calculateur!BL196*Calculateur!BN196*VLOOKUP('Données projet'!$B$11,Paramètres!$A$1:$I$89,3,0)*0.475*44/12</f>
        <v>0.30325555860559189</v>
      </c>
      <c r="BR196" s="21">
        <f>EXP(-LN(2)/2)*BR195+(1-EXP(-LN(2)/2))/(LN(2)/2)*BL196*BO196*VLOOKUP('Données projet'!$B$11,Paramètres!$A$1:$I$89,3,0)*0.475*44/12</f>
        <v>6.3034888658346724E-24</v>
      </c>
      <c r="BS196" s="22">
        <f t="shared" si="169"/>
        <v>0.59261778491310402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2.2737367544323206E-13</v>
      </c>
      <c r="BZ196" s="13">
        <f>BY196*VLOOKUP('Données projet'!$B$12,Paramètres!$A$1:$I$89,3,0)*VLOOKUP('Données projet'!$B$12,Paramètres!$A$1:$I$89,5,0)</f>
        <v>1.2414602679200471E-13</v>
      </c>
      <c r="CA196" s="13">
        <f t="shared" si="170"/>
        <v>1.8186582995804361E-12</v>
      </c>
      <c r="CB196" s="20">
        <f t="shared" si="171"/>
        <v>3.3837175350986671E-12</v>
      </c>
      <c r="CC196" s="59">
        <f t="shared" ref="CC196:CC203" si="195">CB196+(BT196+BU196)*44/12</f>
        <v>293.33333333333672</v>
      </c>
      <c r="CD196" s="59">
        <f ca="1">AVERAGE(OFFSET($CC$3,0,0,'Données projet'!$E$12+1,1))-AVERAGE(OFFSET($H$3,0,0,'Données projet'!$E$12+1,1))</f>
        <v>168.72306536277267</v>
      </c>
      <c r="CE196" s="59">
        <f t="shared" si="148"/>
        <v>203.35476578922339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0.12056759429479677</v>
      </c>
      <c r="CL196" s="21">
        <f>EXP(-LN(2)/25)*CL195+(1-EXP(-LN(2)/25))/(LN(2)/25)*Calculateur!CG196*Calculateur!CI196*VLOOKUP('Données projet'!$B$12,Paramètres!$A$1:$I$89,3,0)*0.475*44/12</f>
        <v>0.25045479080275229</v>
      </c>
      <c r="CM196" s="21">
        <f>EXP(-LN(2)/2)*CM195+(1-EXP(-LN(2)/2))/(LN(2)/2)*CG196*CJ196*VLOOKUP('Données projet'!$B$12,Paramètres!$A$1:$I$89,3,0)*0.475*44/12</f>
        <v>5.8560242085127049E-24</v>
      </c>
      <c r="CN196" s="22">
        <f t="shared" si="172"/>
        <v>0.37102238509754903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1277.6923076923067</v>
      </c>
      <c r="CU196" s="17">
        <f>CT196*VLOOKUP('Données projet'!$B$13,Paramètres!$A$1:$I$89,3,0)*VLOOKUP('Données projet'!$B$13,Paramètres!$A$1:$I$89,5,0)</f>
        <v>614.5699999999996</v>
      </c>
      <c r="CV196" s="13">
        <f t="shared" si="173"/>
        <v>134.13240620831178</v>
      </c>
      <c r="CW196" s="20">
        <f t="shared" si="174"/>
        <v>1303.9900241461421</v>
      </c>
      <c r="CX196" s="59">
        <f t="shared" ref="CX196:CX203" si="196">CW196+(CO196+CP196)*44/12</f>
        <v>1597.3233574794754</v>
      </c>
      <c r="CY196" s="59">
        <f ca="1">AVERAGE(OFFSET($CX$3,0,0,'Données projet'!$E$13+1,1))-AVERAGE(OFFSET($H$3,0,0,'Données projet'!$E$13+1,1))</f>
        <v>304.15237106473313</v>
      </c>
      <c r="CZ196" s="59">
        <f t="shared" si="150"/>
        <v>120.85458928724336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>
        <f>EXP(-LN(2)/35)*DF195+(1-EXP(-LN(2)/35))/(LN(2)/35)*DB196*DC196*VLOOKUP('Données projet'!$B$13,Paramètres!$A$1:$I$89,3,0)*0.475*44/12</f>
        <v>0</v>
      </c>
      <c r="DG196" s="21">
        <f>EXP(-LN(2)/25)*DG195+(1-EXP(-LN(2)/25))/(LN(2)/25)*Calculateur!DB196*Calculateur!DD196*VLOOKUP('Données projet'!$B$13,Paramètres!$A$1:$I$89,3,0)*0.475*44/12</f>
        <v>0</v>
      </c>
      <c r="DH196" s="21">
        <f>EXP(-LN(2)/2)*DH195+(1-EXP(-LN(2)/2))/(LN(2)/2)*DB196*DE196*VLOOKUP('Données projet'!$B$13,Paramètres!$A$1:$I$89,3,0)*0.475*44/12</f>
        <v>0</v>
      </c>
      <c r="DI196" s="22">
        <f t="shared" si="175"/>
        <v>0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425.38461538461536</v>
      </c>
      <c r="DP196" s="17">
        <f>DO196*VLOOKUP('Données projet'!$B$14,Paramètres!$A$1:$I$89,3,0)*VLOOKUP('Données projet'!$B$14,Paramètres!$A$1:$I$89,5,0)</f>
        <v>204.60999999999999</v>
      </c>
      <c r="DQ196" s="13">
        <f t="shared" si="176"/>
        <v>50.755958577224398</v>
      </c>
      <c r="DR196" s="20">
        <f t="shared" si="177"/>
        <v>444.76237785533249</v>
      </c>
      <c r="DS196" s="59">
        <f t="shared" ref="DS196:DS203" si="197">DR196+(DJ196+DK196)*44/12</f>
        <v>738.09571118866575</v>
      </c>
      <c r="DT196" s="59">
        <f ca="1">AVERAGE(OFFSET($DS$3,0,0,'Données projet'!$E$14+1,1))-AVERAGE(OFFSET($H$3,0,0,'Données projet'!$E$14+1,1))</f>
        <v>91.053246648097399</v>
      </c>
      <c r="DU196" s="59">
        <f t="shared" si="152"/>
        <v>64.716270355703955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>
        <f>EXP(-LN(2)/35)*EA195+(1-EXP(-LN(2)/35))/(LN(2)/35)*DW196*DX196*VLOOKUP('Données projet'!$B$14,Paramètres!$A$1:$I$89,3,0)*0.475*44/12</f>
        <v>0</v>
      </c>
      <c r="EB196" s="21">
        <f>EXP(-LN(2)/25)*EB195+(1-EXP(-LN(2)/25))/(LN(2)/25)*Calculateur!DW196*Calculateur!DY196*VLOOKUP('Données projet'!$B$14,Paramètres!$A$1:$I$89,3,0)*0.475*44/12</f>
        <v>0</v>
      </c>
      <c r="EC196" s="21">
        <f>EXP(-LN(2)/2)*EC195+(1-EXP(-LN(2)/2))/(LN(2)/2)*DW196*DZ196*VLOOKUP('Données projet'!$B$14,Paramètres!$A$1:$I$89,3,0)*0.475*44/12</f>
        <v>0</v>
      </c>
      <c r="ED196" s="22">
        <f t="shared" si="178"/>
        <v>0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553.99999999999955</v>
      </c>
      <c r="EK196" s="17">
        <f>EJ196*VLOOKUP('Données projet'!$B$15,Paramètres!$A$1:$I$89,3,0)*VLOOKUP('Données projet'!$B$15,Paramètres!$A$1:$I$89,5,0)</f>
        <v>331.29199999999975</v>
      </c>
      <c r="EL196" s="13">
        <f t="shared" si="179"/>
        <v>77.698110787752</v>
      </c>
      <c r="EM196" s="20">
        <f t="shared" si="180"/>
        <v>712.32444295533423</v>
      </c>
      <c r="EN196" s="59">
        <f t="shared" ref="EN196:EN203" si="198">EM196+(EE196+EF196)*44/12</f>
        <v>1005.6577762886675</v>
      </c>
      <c r="EO196" s="59">
        <f ca="1">AVERAGE(OFFSET($EN$3,0,0,'Données projet'!$E$15+1,1))-AVERAGE(OFFSET($H$3,0,0,'Données projet'!$E$15+1,1))</f>
        <v>316.58509520829671</v>
      </c>
      <c r="EP196" s="59">
        <f t="shared" si="154"/>
        <v>240.71332110643596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>
        <f>EXP(-LN(2)/35)*EV195+(1-EXP(-LN(2)/35))/(LN(2)/35)*ER196*ES196*VLOOKUP('Données projet'!$B$15,Paramètres!$A$1:$I$89,3,0)*0.475*44/12</f>
        <v>0.10045249055275685</v>
      </c>
      <c r="EW196" s="21">
        <f>EXP(-LN(2)/25)*EW195+(1-EXP(-LN(2)/25))/(LN(2)/25)*Calculateur!ER196*Calculateur!ET196*VLOOKUP('Données projet'!$B$15,Paramètres!$A$1:$I$89,3,0)*0.475*44/12</f>
        <v>0.16636596946759963</v>
      </c>
      <c r="EX196" s="21">
        <f>EXP(-LN(2)/2)*EX195+(1-EXP(-LN(2)/2))/(LN(2)/2)*ER196*EU196*VLOOKUP('Données projet'!$B$15,Paramètres!$A$1:$I$89,3,0)*0.475*44/12</f>
        <v>6.4162159530267899E-24</v>
      </c>
      <c r="EY196" s="22">
        <f t="shared" si="181"/>
        <v>0.26681846002035647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497</v>
      </c>
      <c r="FF196" s="17">
        <f>FE196*VLOOKUP('Données projet'!$B$16,Paramètres!$A$1:$I$89,3,0)*VLOOKUP('Données projet'!$B$16,Paramètres!$A$1:$I$89,5,0)</f>
        <v>297.20600000000002</v>
      </c>
      <c r="FG196" s="13">
        <f t="shared" si="182"/>
        <v>70.590415164571112</v>
      </c>
      <c r="FH196" s="20">
        <f t="shared" si="183"/>
        <v>640.57875641162809</v>
      </c>
      <c r="FI196" s="59">
        <f t="shared" ref="FI196:FI203" si="199">FH196+(EZ196+FA196)*44/12</f>
        <v>933.91208974496135</v>
      </c>
      <c r="FJ196" s="59">
        <f ca="1">AVERAGE(OFFSET($FI$3,0,0,'Données projet'!$E$16+1,1))-AVERAGE(OFFSET($H$3,0,0,'Données projet'!$E$16+1,1))</f>
        <v>270.30888762640245</v>
      </c>
      <c r="FK196" s="59">
        <f t="shared" si="156"/>
        <v>202.23783851977691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>
        <f>EXP(-LN(2)/35)*FQ195+(1-EXP(-LN(2)/35))/(LN(2)/35)*FM196*FN196*VLOOKUP('Données projet'!$B$16,Paramètres!$A$1:$I$89,3,0)*0.475*44/12</f>
        <v>8.4889428636132469E-2</v>
      </c>
      <c r="FR196" s="21">
        <f>EXP(-LN(2)/25)*FR195+(1-EXP(-LN(2)/25))/(LN(2)/25)*Calculateur!FM196*Calculateur!FO196*VLOOKUP('Données projet'!$B$16,Paramètres!$A$1:$I$89,3,0)*0.475*44/12</f>
        <v>0.13397393534916038</v>
      </c>
      <c r="FS196" s="21">
        <f>EXP(-LN(2)/2)*FS195+(1-EXP(-LN(2)/2))/(LN(2)/2)*FM196*FP196*VLOOKUP('Données projet'!$B$16,Paramètres!$A$1:$I$89,3,0)*0.475*44/12</f>
        <v>5.4082098012782128E-24</v>
      </c>
      <c r="FT196" s="22">
        <f t="shared" si="184"/>
        <v>0.21886336398529285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-5.1159076974727213E-13</v>
      </c>
      <c r="GA196" s="17">
        <f>FZ196*VLOOKUP('Données projet'!$B$17,Paramètres!$A$1:$I$89,3,0)*VLOOKUP('Données projet'!$B$17,Paramètres!$A$1:$I$89,5,0)</f>
        <v>-4.0702161641092972E-13</v>
      </c>
      <c r="GB196" s="13" t="e">
        <f t="shared" si="185"/>
        <v>#NUM!</v>
      </c>
      <c r="GC196" s="20" t="e">
        <f t="shared" si="186"/>
        <v>#NUM!</v>
      </c>
      <c r="GD196" s="59" t="e">
        <f t="shared" ref="GD196:GD203" si="200">GC196+(FU196+FV196)*44/12</f>
        <v>#NUM!</v>
      </c>
      <c r="GE196" s="59">
        <f ca="1">AVERAGE(OFFSET($GD$3,0,0,'Données projet'!$E$17+1,1))-AVERAGE(OFFSET($H$3,0,0,'Données projet'!$E$17+1,1))</f>
        <v>260.20517190557814</v>
      </c>
      <c r="GF196" s="59">
        <f t="shared" si="158"/>
        <v>307.22009971147133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>
        <f>EXP(-LN(2)/35)*GL195+(1-EXP(-LN(2)/35))/(LN(2)/35)*GH196*GI196*VLOOKUP('Données projet'!$B$17,Paramètres!$A$1:$I$89,3,0)*0.475*44/12</f>
        <v>0.12932309816620477</v>
      </c>
      <c r="GM196" s="21">
        <f>EXP(-LN(2)/25)*GM195+(1-EXP(-LN(2)/25))/(LN(2)/25)*Calculateur!GH196*Calculateur!GJ196*VLOOKUP('Données projet'!$B$17,Paramètres!$A$1:$I$89,3,0)*0.475*44/12</f>
        <v>0.2235905151284151</v>
      </c>
      <c r="GN196" s="21">
        <f>EXP(-LN(2)/2)*GN195+(1-EXP(-LN(2)/2))/(LN(2)/2)*GH196*GK196*VLOOKUP('Données projet'!$B$17,Paramètres!$A$1:$I$89,3,0)*0.475*44/12</f>
        <v>7.0302759100301513E-24</v>
      </c>
      <c r="GO196" s="21">
        <f t="shared" si="187"/>
        <v>0.3529136132946199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5.6843418860808015E-14</v>
      </c>
      <c r="GV196" s="17">
        <f>GU196*VLOOKUP('Données projet'!$B$18,Paramètres!$A$1:$I$89,3,0)*VLOOKUP('Données projet'!$B$18,Paramètres!$A$1:$I$89,5,0)</f>
        <v>4.5224624045658861E-14</v>
      </c>
      <c r="GW196" s="13">
        <f t="shared" si="188"/>
        <v>7.4514601661523691E-13</v>
      </c>
      <c r="GX196" s="20">
        <f t="shared" si="189"/>
        <v>1.3765621991510601E-12</v>
      </c>
      <c r="GY196" s="59">
        <f t="shared" ref="GY196:GY203" si="201">GX196+(GP196+GQ196)*44/12</f>
        <v>293.33333333333468</v>
      </c>
      <c r="GZ196" s="59">
        <f ca="1">AVERAGE(OFFSET($GY$3,0,0,'Données projet'!$E$18+1,1))-AVERAGE(OFFSET($H$3,0,0,'Données projet'!$E$18+1,1))</f>
        <v>199.58763537752952</v>
      </c>
      <c r="HA196" s="59">
        <f t="shared" si="160"/>
        <v>242.62852778451929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>
        <f>EXP(-LN(2)/35)*HG195+(1-EXP(-LN(2)/35))/(LN(2)/35)*HC196*HD196*VLOOKUP('Données projet'!$B$18,Paramètres!$A$1:$I$89,3,0)*0.475*44/12</f>
        <v>0</v>
      </c>
      <c r="HH196" s="21">
        <f>EXP(-LN(2)/25)*HH195+(1-EXP(-LN(2)/25))/(LN(2)/25)*Calculateur!HC196*Calculateur!HE196*VLOOKUP('Données projet'!$B$18,Paramètres!$A$1:$I$89,3,0)*0.475*44/12</f>
        <v>0.11204778360892496</v>
      </c>
      <c r="HI196" s="21">
        <f>EXP(-LN(2)/2)*HI195+(1-EXP(-LN(2)/2))/(LN(2)/2)*HC196*HF196*VLOOKUP('Données projet'!$B$18,Paramètres!$A$1:$I$89,3,0)*0.475*44/12</f>
        <v>3.1472447657734437E-24</v>
      </c>
      <c r="HJ196" s="22">
        <f t="shared" si="190"/>
        <v>0.11204778360892496</v>
      </c>
    </row>
    <row r="197" spans="1:218" x14ac:dyDescent="0.2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172.50479999999965</v>
      </c>
      <c r="D197" s="11">
        <f t="shared" ref="D197:D203" si="202">IFERROR(EXP(-1.0587+0.8836*LN(C197)+0.284),0)</f>
        <v>43.650537013927277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1668.5675137917167</v>
      </c>
      <c r="H197" s="67">
        <f t="shared" si="192"/>
        <v>669.80387863258932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-2.2737367544323206E-13</v>
      </c>
      <c r="O197" s="13">
        <f>N197*VLOOKUP('Données projet'!$B$9,Paramètres!$A$1:$I$89,3,0)*VLOOKUP('Données projet'!$B$9,Paramètres!$A$1:$I$89,5,0)</f>
        <v>-1.2710188457276673E-13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255.5374979188561</v>
      </c>
      <c r="T197" s="59">
        <f t="shared" ref="T197:T203" si="204">$T$3</f>
        <v>343.10418468620901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0.12006700268907256</v>
      </c>
      <c r="AA197" s="21">
        <f>EXP(-LN(2)/25)*AA196+(1-EXP(-LN(2)/25))/(LN(2)/25)*Calculateur!V197*Calculateur!X197*VLOOKUP('Données projet'!$B$9,Paramètres!$A$1:$I$89,3,0)*0.475*44/12</f>
        <v>0.16915434846334262</v>
      </c>
      <c r="AB197" s="21">
        <f>EXP(-LN(2)/2)*AB196+(1-EXP(-LN(2)/2))/(LN(2)/2)*V197*Y197*VLOOKUP('Données projet'!$B$9,Paramètres!$A$1:$I$89,3,0)*0.475*44/12</f>
        <v>3.500322459804926E-25</v>
      </c>
      <c r="AC197" s="22">
        <f t="shared" si="163"/>
        <v>0.28922135115241521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1.1368683772161603E-13</v>
      </c>
      <c r="AJ197" s="13">
        <f>AI197*VLOOKUP('Données projet'!$B$10,Paramètres!$A$1:$I$89,3,0)*VLOOKUP('Données projet'!$B$10,Paramètres!$A$1:$I$89,5,0)</f>
        <v>6.3550942286383367E-14</v>
      </c>
      <c r="AK197" s="13">
        <f t="shared" si="164"/>
        <v>1.0064464192543978E-12</v>
      </c>
      <c r="AL197" s="20">
        <f t="shared" si="165"/>
        <v>1.8635787380168604E-12</v>
      </c>
      <c r="AM197" s="59">
        <f t="shared" si="193"/>
        <v>293.33333333333519</v>
      </c>
      <c r="AN197" s="59">
        <f ca="1">AVERAGE(OFFSET($AM$3,0,0,'Données projet'!$E$10+1,1))-AVERAGE(OFFSET($H$3,0,0,'Données projet'!$E$10+1,1))</f>
        <v>224.7049802939942</v>
      </c>
      <c r="AO197" s="59">
        <f t="shared" ref="AO197:AO203" si="205">$AO$3</f>
        <v>203.48513862195352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8.6694243982186059E-2</v>
      </c>
      <c r="AV197" s="21">
        <f>EXP(-LN(2)/25)*AV196+(1-EXP(-LN(2)/25))/(LN(2)/25)*Calculateur!AQ197*Calculateur!AS197*VLOOKUP('Données projet'!$B$10,Paramètres!$A$1:$I$89,3,0)*0.475*44/12</f>
        <v>0.20693014491015921</v>
      </c>
      <c r="AW197" s="21">
        <f>EXP(-LN(2)/2)*AW196+(1-EXP(-LN(2)/2))/(LN(2)/2)*AQ197*AT197*VLOOKUP('Données projet'!$B$10,Paramètres!$A$1:$I$89,3,0)*0.475*44/12</f>
        <v>1.853011252986637E-24</v>
      </c>
      <c r="AX197" s="21">
        <f t="shared" si="166"/>
        <v>0.29362438889234527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>
        <f>BD197*VLOOKUP('Données projet'!$B$11,Paramètres!$A$1:$I$89,3,0)*VLOOKUP('Données projet'!$B$11,Paramètres!$A$1:$I$89,5,0)</f>
        <v>0</v>
      </c>
      <c r="BF197" s="13" t="e">
        <f t="shared" si="167"/>
        <v>#NUM!</v>
      </c>
      <c r="BG197" s="20" t="e">
        <f t="shared" si="168"/>
        <v>#NUM!</v>
      </c>
      <c r="BH197" s="59" t="e">
        <f t="shared" si="194"/>
        <v>#NUM!</v>
      </c>
      <c r="BI197" s="59">
        <f ca="1">AVERAGE(OFFSET($BH$3,0,0,'Données projet'!$E$11+1,1))-AVERAGE(OFFSET($H$3,0,0,'Données projet'!$E$11+1,1))</f>
        <v>210.04871822652808</v>
      </c>
      <c r="BJ197" s="59">
        <f t="shared" ref="BJ197:BJ203" si="206">$BJ$3</f>
        <v>250.17540614049324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0.2836880095431526</v>
      </c>
      <c r="BQ197" s="21">
        <f>EXP(-LN(2)/25)*BQ196+(1-EXP(-LN(2)/25))/(LN(2)/25)*Calculateur!BL197*Calculateur!BN197*VLOOKUP('Données projet'!$B$11,Paramètres!$A$1:$I$89,3,0)*0.475*44/12</f>
        <v>0.29496301940800523</v>
      </c>
      <c r="BR197" s="21">
        <f>EXP(-LN(2)/2)*BR196+(1-EXP(-LN(2)/2))/(LN(2)/2)*BL197*BO197*VLOOKUP('Données projet'!$B$11,Paramètres!$A$1:$I$89,3,0)*0.475*44/12</f>
        <v>4.4572397221655963E-24</v>
      </c>
      <c r="BS197" s="22">
        <f t="shared" si="169"/>
        <v>0.57865102895115783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2.2737367544323206E-13</v>
      </c>
      <c r="BZ197" s="13">
        <f>BY197*VLOOKUP('Données projet'!$B$12,Paramètres!$A$1:$I$89,3,0)*VLOOKUP('Données projet'!$B$12,Paramètres!$A$1:$I$89,5,0)</f>
        <v>1.2414602679200471E-13</v>
      </c>
      <c r="CA197" s="13">
        <f t="shared" si="170"/>
        <v>1.8186582995804361E-12</v>
      </c>
      <c r="CB197" s="20">
        <f t="shared" si="171"/>
        <v>3.3837175350986671E-12</v>
      </c>
      <c r="CC197" s="59">
        <f t="shared" si="195"/>
        <v>293.33333333333672</v>
      </c>
      <c r="CD197" s="59">
        <f ca="1">AVERAGE(OFFSET($CC$3,0,0,'Données projet'!$E$12+1,1))-AVERAGE(OFFSET($H$3,0,0,'Données projet'!$E$12+1,1))</f>
        <v>168.72306536277267</v>
      </c>
      <c r="CE197" s="59">
        <f t="shared" ref="CE197:CE203" si="207">$CE$3</f>
        <v>203.35476578922339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0.11820333730964695</v>
      </c>
      <c r="CL197" s="21">
        <f>EXP(-LN(2)/25)*CL196+(1-EXP(-LN(2)/25))/(LN(2)/25)*Calculateur!CG197*Calculateur!CI197*VLOOKUP('Données projet'!$B$12,Paramètres!$A$1:$I$89,3,0)*0.475*44/12</f>
        <v>0.24360609137740599</v>
      </c>
      <c r="CM197" s="21">
        <f>EXP(-LN(2)/2)*CM196+(1-EXP(-LN(2)/2))/(LN(2)/2)*CG197*CJ197*VLOOKUP('Données projet'!$B$12,Paramètres!$A$1:$I$89,3,0)*0.475*44/12</f>
        <v>4.1408344286319183E-24</v>
      </c>
      <c r="CN197" s="22">
        <f t="shared" si="172"/>
        <v>0.36180942868705296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1277.6923076923067</v>
      </c>
      <c r="CU197" s="17">
        <f>CT197*VLOOKUP('Données projet'!$B$13,Paramètres!$A$1:$I$89,3,0)*VLOOKUP('Données projet'!$B$13,Paramètres!$A$1:$I$89,5,0)</f>
        <v>614.5699999999996</v>
      </c>
      <c r="CV197" s="13">
        <f t="shared" si="173"/>
        <v>134.13240620831178</v>
      </c>
      <c r="CW197" s="20">
        <f t="shared" si="174"/>
        <v>1303.9900241461421</v>
      </c>
      <c r="CX197" s="59">
        <f t="shared" si="196"/>
        <v>1597.3233574794754</v>
      </c>
      <c r="CY197" s="59">
        <f ca="1">AVERAGE(OFFSET($CX$3,0,0,'Données projet'!$E$13+1,1))-AVERAGE(OFFSET($H$3,0,0,'Données projet'!$E$13+1,1))</f>
        <v>304.15237106473313</v>
      </c>
      <c r="CZ197" s="59">
        <f t="shared" ref="CZ197:CZ203" si="208">$CZ$3</f>
        <v>120.85458928724336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>
        <f>EXP(-LN(2)/35)*DF196+(1-EXP(-LN(2)/35))/(LN(2)/35)*DB197*DC197*VLOOKUP('Données projet'!$B$13,Paramètres!$A$1:$I$89,3,0)*0.475*44/12</f>
        <v>0</v>
      </c>
      <c r="DG197" s="21">
        <f>EXP(-LN(2)/25)*DG196+(1-EXP(-LN(2)/25))/(LN(2)/25)*Calculateur!DB197*Calculateur!DD197*VLOOKUP('Données projet'!$B$13,Paramètres!$A$1:$I$89,3,0)*0.475*44/12</f>
        <v>0</v>
      </c>
      <c r="DH197" s="21">
        <f>EXP(-LN(2)/2)*DH196+(1-EXP(-LN(2)/2))/(LN(2)/2)*DB197*DE197*VLOOKUP('Données projet'!$B$13,Paramètres!$A$1:$I$89,3,0)*0.475*44/12</f>
        <v>0</v>
      </c>
      <c r="DI197" s="22">
        <f t="shared" si="175"/>
        <v>0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425.38461538461536</v>
      </c>
      <c r="DP197" s="17">
        <f>DO197*VLOOKUP('Données projet'!$B$14,Paramètres!$A$1:$I$89,3,0)*VLOOKUP('Données projet'!$B$14,Paramètres!$A$1:$I$89,5,0)</f>
        <v>204.60999999999999</v>
      </c>
      <c r="DQ197" s="13">
        <f t="shared" si="176"/>
        <v>50.755958577224398</v>
      </c>
      <c r="DR197" s="20">
        <f t="shared" si="177"/>
        <v>444.76237785533249</v>
      </c>
      <c r="DS197" s="59">
        <f t="shared" si="197"/>
        <v>738.09571118866575</v>
      </c>
      <c r="DT197" s="59">
        <f ca="1">AVERAGE(OFFSET($DS$3,0,0,'Données projet'!$E$14+1,1))-AVERAGE(OFFSET($H$3,0,0,'Données projet'!$E$14+1,1))</f>
        <v>91.053246648097399</v>
      </c>
      <c r="DU197" s="59">
        <f t="shared" ref="DU197:DU203" si="209">$DU$3</f>
        <v>64.716270355703955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>
        <f>EXP(-LN(2)/35)*EA196+(1-EXP(-LN(2)/35))/(LN(2)/35)*DW197*DX197*VLOOKUP('Données projet'!$B$14,Paramètres!$A$1:$I$89,3,0)*0.475*44/12</f>
        <v>0</v>
      </c>
      <c r="EB197" s="21">
        <f>EXP(-LN(2)/25)*EB196+(1-EXP(-LN(2)/25))/(LN(2)/25)*Calculateur!DW197*Calculateur!DY197*VLOOKUP('Données projet'!$B$14,Paramètres!$A$1:$I$89,3,0)*0.475*44/12</f>
        <v>0</v>
      </c>
      <c r="EC197" s="21">
        <f>EXP(-LN(2)/2)*EC196+(1-EXP(-LN(2)/2))/(LN(2)/2)*DW197*DZ197*VLOOKUP('Données projet'!$B$14,Paramètres!$A$1:$I$89,3,0)*0.475*44/12</f>
        <v>0</v>
      </c>
      <c r="ED197" s="22">
        <f t="shared" si="178"/>
        <v>0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553.99999999999955</v>
      </c>
      <c r="EK197" s="17">
        <f>EJ197*VLOOKUP('Données projet'!$B$15,Paramètres!$A$1:$I$89,3,0)*VLOOKUP('Données projet'!$B$15,Paramètres!$A$1:$I$89,5,0)</f>
        <v>331.29199999999975</v>
      </c>
      <c r="EL197" s="13">
        <f t="shared" si="179"/>
        <v>77.698110787752</v>
      </c>
      <c r="EM197" s="20">
        <f t="shared" si="180"/>
        <v>712.32444295533423</v>
      </c>
      <c r="EN197" s="59">
        <f t="shared" si="198"/>
        <v>1005.6577762886675</v>
      </c>
      <c r="EO197" s="59">
        <f ca="1">AVERAGE(OFFSET($EN$3,0,0,'Données projet'!$E$15+1,1))-AVERAGE(OFFSET($H$3,0,0,'Données projet'!$E$15+1,1))</f>
        <v>316.58509520829671</v>
      </c>
      <c r="EP197" s="59">
        <f t="shared" ref="EP197:EP203" si="210">$EP$3</f>
        <v>240.71332110643596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>
        <f>EXP(-LN(2)/35)*EV196+(1-EXP(-LN(2)/35))/(LN(2)/35)*ER197*ES197*VLOOKUP('Données projet'!$B$15,Paramètres!$A$1:$I$89,3,0)*0.475*44/12</f>
        <v>9.8482678482986613E-2</v>
      </c>
      <c r="EW197" s="21">
        <f>EXP(-LN(2)/25)*EW196+(1-EXP(-LN(2)/25))/(LN(2)/25)*Calculateur!ER197*Calculateur!ET197*VLOOKUP('Données projet'!$B$15,Paramètres!$A$1:$I$89,3,0)*0.475*44/12</f>
        <v>0.16181668328370202</v>
      </c>
      <c r="EX197" s="21">
        <f>EXP(-LN(2)/2)*EX196+(1-EXP(-LN(2)/2))/(LN(2)/2)*ER197*EU197*VLOOKUP('Données projet'!$B$15,Paramètres!$A$1:$I$89,3,0)*0.475*44/12</f>
        <v>4.5369498099425498E-24</v>
      </c>
      <c r="EY197" s="22">
        <f t="shared" si="181"/>
        <v>0.26029936176668866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497</v>
      </c>
      <c r="FF197" s="17">
        <f>FE197*VLOOKUP('Données projet'!$B$16,Paramètres!$A$1:$I$89,3,0)*VLOOKUP('Données projet'!$B$16,Paramètres!$A$1:$I$89,5,0)</f>
        <v>297.20600000000002</v>
      </c>
      <c r="FG197" s="13">
        <f t="shared" si="182"/>
        <v>70.590415164571112</v>
      </c>
      <c r="FH197" s="20">
        <f t="shared" si="183"/>
        <v>640.57875641162809</v>
      </c>
      <c r="FI197" s="59">
        <f t="shared" si="199"/>
        <v>933.91208974496135</v>
      </c>
      <c r="FJ197" s="59">
        <f ca="1">AVERAGE(OFFSET($FI$3,0,0,'Données projet'!$E$16+1,1))-AVERAGE(OFFSET($H$3,0,0,'Données projet'!$E$16+1,1))</f>
        <v>270.30888762640245</v>
      </c>
      <c r="FK197" s="59">
        <f t="shared" ref="FK197:FK203" si="211">$FK$3</f>
        <v>202.23783851977691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>
        <f>EXP(-LN(2)/35)*FQ196+(1-EXP(-LN(2)/35))/(LN(2)/35)*FM197*FN197*VLOOKUP('Données projet'!$B$16,Paramètres!$A$1:$I$89,3,0)*0.475*44/12</f>
        <v>8.3224798718016788E-2</v>
      </c>
      <c r="FR197" s="21">
        <f>EXP(-LN(2)/25)*FR196+(1-EXP(-LN(2)/25))/(LN(2)/25)*Calculateur!FM197*Calculateur!FO197*VLOOKUP('Données projet'!$B$16,Paramètres!$A$1:$I$89,3,0)*0.475*44/12</f>
        <v>0.13031041104165453</v>
      </c>
      <c r="FS197" s="21">
        <f>EXP(-LN(2)/2)*FS196+(1-EXP(-LN(2)/2))/(LN(2)/2)*FM197*FP197*VLOOKUP('Données projet'!$B$16,Paramètres!$A$1:$I$89,3,0)*0.475*44/12</f>
        <v>3.8241818245633749E-24</v>
      </c>
      <c r="FT197" s="22">
        <f t="shared" si="184"/>
        <v>0.21353520975967133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-5.1159076974727213E-13</v>
      </c>
      <c r="GA197" s="17">
        <f>FZ197*VLOOKUP('Données projet'!$B$17,Paramètres!$A$1:$I$89,3,0)*VLOOKUP('Données projet'!$B$17,Paramètres!$A$1:$I$89,5,0)</f>
        <v>-4.0702161641092972E-13</v>
      </c>
      <c r="GB197" s="13" t="e">
        <f t="shared" si="185"/>
        <v>#NUM!</v>
      </c>
      <c r="GC197" s="20" t="e">
        <f t="shared" si="186"/>
        <v>#NUM!</v>
      </c>
      <c r="GD197" s="59" t="e">
        <f t="shared" si="200"/>
        <v>#NUM!</v>
      </c>
      <c r="GE197" s="59">
        <f ca="1">AVERAGE(OFFSET($GD$3,0,0,'Données projet'!$E$17+1,1))-AVERAGE(OFFSET($H$3,0,0,'Données projet'!$E$17+1,1))</f>
        <v>260.20517190557814</v>
      </c>
      <c r="GF197" s="59">
        <f t="shared" ref="GF197:GF203" si="212">$GF$3</f>
        <v>307.22009971147133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>
        <f>EXP(-LN(2)/35)*GL196+(1-EXP(-LN(2)/35))/(LN(2)/35)*GH197*GI197*VLOOKUP('Données projet'!$B$17,Paramètres!$A$1:$I$89,3,0)*0.475*44/12</f>
        <v>0.1267871510904667</v>
      </c>
      <c r="GM197" s="21">
        <f>EXP(-LN(2)/25)*GM196+(1-EXP(-LN(2)/25))/(LN(2)/25)*Calculateur!GH197*Calculateur!GJ197*VLOOKUP('Données projet'!$B$17,Paramètres!$A$1:$I$89,3,0)*0.475*44/12</f>
        <v>0.21747642073411441</v>
      </c>
      <c r="GN197" s="21">
        <f>EXP(-LN(2)/2)*GN196+(1-EXP(-LN(2)/2))/(LN(2)/2)*GH197*GK197*VLOOKUP('Données projet'!$B$17,Paramètres!$A$1:$I$89,3,0)*0.475*44/12</f>
        <v>4.9711557695947465E-24</v>
      </c>
      <c r="GO197" s="21">
        <f t="shared" si="187"/>
        <v>0.34426357182458112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5.6843418860808015E-14</v>
      </c>
      <c r="GV197" s="17">
        <f>GU197*VLOOKUP('Données projet'!$B$18,Paramètres!$A$1:$I$89,3,0)*VLOOKUP('Données projet'!$B$18,Paramètres!$A$1:$I$89,5,0)</f>
        <v>4.5224624045658861E-14</v>
      </c>
      <c r="GW197" s="13">
        <f t="shared" si="188"/>
        <v>7.4514601661523691E-13</v>
      </c>
      <c r="GX197" s="20">
        <f t="shared" si="189"/>
        <v>1.3765621991510601E-12</v>
      </c>
      <c r="GY197" s="59">
        <f t="shared" si="201"/>
        <v>293.33333333333468</v>
      </c>
      <c r="GZ197" s="59">
        <f ca="1">AVERAGE(OFFSET($GY$3,0,0,'Données projet'!$E$18+1,1))-AVERAGE(OFFSET($H$3,0,0,'Données projet'!$E$18+1,1))</f>
        <v>199.58763537752952</v>
      </c>
      <c r="HA197" s="59">
        <f t="shared" ref="HA197:HA203" si="213">$HA$3</f>
        <v>242.62852778451929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>
        <f>EXP(-LN(2)/35)*HG196+(1-EXP(-LN(2)/35))/(LN(2)/35)*HC197*HD197*VLOOKUP('Données projet'!$B$18,Paramètres!$A$1:$I$89,3,0)*0.475*44/12</f>
        <v>0</v>
      </c>
      <c r="HH197" s="21">
        <f>EXP(-LN(2)/25)*HH196+(1-EXP(-LN(2)/25))/(LN(2)/25)*Calculateur!HC197*Calculateur!HE197*VLOOKUP('Données projet'!$B$18,Paramètres!$A$1:$I$89,3,0)*0.475*44/12</f>
        <v>0.10898383107380206</v>
      </c>
      <c r="HI197" s="21">
        <f>EXP(-LN(2)/2)*HI196+(1-EXP(-LN(2)/2))/(LN(2)/2)*HC197*HF197*VLOOKUP('Données projet'!$B$18,Paramètres!$A$1:$I$89,3,0)*0.475*44/12</f>
        <v>2.2254381159322694E-24</v>
      </c>
      <c r="HJ197" s="22">
        <f t="shared" si="190"/>
        <v>0.10898383107380206</v>
      </c>
    </row>
    <row r="198" spans="1:218" x14ac:dyDescent="0.2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173.39399999999964</v>
      </c>
      <c r="D198" s="11">
        <f t="shared" si="202"/>
        <v>43.849289930196555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1676.9657468295848</v>
      </c>
      <c r="H198" s="67">
        <f t="shared" si="192"/>
        <v>671.69872996175832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-2.2737367544323206E-13</v>
      </c>
      <c r="O198" s="13">
        <f>N198*VLOOKUP('Données projet'!$B$9,Paramètres!$A$1:$I$89,3,0)*VLOOKUP('Données projet'!$B$9,Paramètres!$A$1:$I$89,5,0)</f>
        <v>-1.2710188457276673E-13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255.5374979188561</v>
      </c>
      <c r="T198" s="59">
        <f t="shared" si="204"/>
        <v>343.10418468620901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0.11771256199998026</v>
      </c>
      <c r="AA198" s="21">
        <f>EXP(-LN(2)/25)*AA197+(1-EXP(-LN(2)/25))/(LN(2)/25)*Calculateur!V198*Calculateur!X198*VLOOKUP('Données projet'!$B$9,Paramètres!$A$1:$I$89,3,0)*0.475*44/12</f>
        <v>0.16452881390917193</v>
      </c>
      <c r="AB198" s="21">
        <f>EXP(-LN(2)/2)*AB197+(1-EXP(-LN(2)/2))/(LN(2)/2)*V198*Y198*VLOOKUP('Données projet'!$B$9,Paramètres!$A$1:$I$89,3,0)*0.475*44/12</f>
        <v>2.4751017476676396E-25</v>
      </c>
      <c r="AC198" s="22">
        <f t="shared" si="163"/>
        <v>0.28224137590915221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1.1368683772161603E-13</v>
      </c>
      <c r="AJ198" s="13">
        <f>AI198*VLOOKUP('Données projet'!$B$10,Paramètres!$A$1:$I$89,3,0)*VLOOKUP('Données projet'!$B$10,Paramètres!$A$1:$I$89,5,0)</f>
        <v>6.3550942286383367E-14</v>
      </c>
      <c r="AK198" s="13">
        <f t="shared" si="164"/>
        <v>1.0064464192543978E-12</v>
      </c>
      <c r="AL198" s="20">
        <f t="shared" si="165"/>
        <v>1.8635787380168604E-12</v>
      </c>
      <c r="AM198" s="59">
        <f t="shared" si="193"/>
        <v>293.33333333333519</v>
      </c>
      <c r="AN198" s="59">
        <f ca="1">AVERAGE(OFFSET($AM$3,0,0,'Données projet'!$E$10+1,1))-AVERAGE(OFFSET($H$3,0,0,'Données projet'!$E$10+1,1))</f>
        <v>224.7049802939942</v>
      </c>
      <c r="AO198" s="59">
        <f t="shared" si="205"/>
        <v>203.48513862195352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8.4994222735962924E-2</v>
      </c>
      <c r="AV198" s="21">
        <f>EXP(-LN(2)/25)*AV197+(1-EXP(-LN(2)/25))/(LN(2)/25)*Calculateur!AQ198*Calculateur!AS198*VLOOKUP('Données projet'!$B$10,Paramètres!$A$1:$I$89,3,0)*0.475*44/12</f>
        <v>0.20127162921560754</v>
      </c>
      <c r="AW198" s="21">
        <f>EXP(-LN(2)/2)*AW197+(1-EXP(-LN(2)/2))/(LN(2)/2)*AQ198*AT198*VLOOKUP('Données projet'!$B$10,Paramètres!$A$1:$I$89,3,0)*0.475*44/12</f>
        <v>1.3102768226018322E-24</v>
      </c>
      <c r="AX198" s="21">
        <f t="shared" si="166"/>
        <v>0.28626585195157045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>
        <f>BD198*VLOOKUP('Données projet'!$B$11,Paramètres!$A$1:$I$89,3,0)*VLOOKUP('Données projet'!$B$11,Paramètres!$A$1:$I$89,5,0)</f>
        <v>0</v>
      </c>
      <c r="BF198" s="13" t="e">
        <f t="shared" si="167"/>
        <v>#NUM!</v>
      </c>
      <c r="BG198" s="20" t="e">
        <f t="shared" si="168"/>
        <v>#NUM!</v>
      </c>
      <c r="BH198" s="59" t="e">
        <f t="shared" si="194"/>
        <v>#NUM!</v>
      </c>
      <c r="BI198" s="59">
        <f ca="1">AVERAGE(OFFSET($BH$3,0,0,'Données projet'!$E$11+1,1))-AVERAGE(OFFSET($H$3,0,0,'Données projet'!$E$11+1,1))</f>
        <v>210.04871822652808</v>
      </c>
      <c r="BJ198" s="59">
        <f t="shared" si="206"/>
        <v>250.17540614049324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0.27812506070861165</v>
      </c>
      <c r="BQ198" s="21">
        <f>EXP(-LN(2)/25)*BQ197+(1-EXP(-LN(2)/25))/(LN(2)/25)*Calculateur!BL198*Calculateur!BN198*VLOOKUP('Données projet'!$B$11,Paramètres!$A$1:$I$89,3,0)*0.475*44/12</f>
        <v>0.28689724013086226</v>
      </c>
      <c r="BR198" s="21">
        <f>EXP(-LN(2)/2)*BR197+(1-EXP(-LN(2)/2))/(LN(2)/2)*BL198*BO198*VLOOKUP('Données projet'!$B$11,Paramètres!$A$1:$I$89,3,0)*0.475*44/12</f>
        <v>3.1517444329173362E-24</v>
      </c>
      <c r="BS198" s="22">
        <f t="shared" si="169"/>
        <v>0.56502230083947391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2.2737367544323206E-13</v>
      </c>
      <c r="BZ198" s="13">
        <f>BY198*VLOOKUP('Données projet'!$B$12,Paramètres!$A$1:$I$89,3,0)*VLOOKUP('Données projet'!$B$12,Paramètres!$A$1:$I$89,5,0)</f>
        <v>1.2414602679200471E-13</v>
      </c>
      <c r="CA198" s="13">
        <f t="shared" si="170"/>
        <v>1.8186582995804361E-12</v>
      </c>
      <c r="CB198" s="20">
        <f t="shared" si="171"/>
        <v>3.3837175350986671E-12</v>
      </c>
      <c r="CC198" s="59">
        <f t="shared" si="195"/>
        <v>293.33333333333672</v>
      </c>
      <c r="CD198" s="59">
        <f ca="1">AVERAGE(OFFSET($CC$3,0,0,'Données projet'!$E$12+1,1))-AVERAGE(OFFSET($H$3,0,0,'Données projet'!$E$12+1,1))</f>
        <v>168.72306536277267</v>
      </c>
      <c r="CE198" s="59">
        <f t="shared" si="207"/>
        <v>203.35476578922339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0.11588544196192156</v>
      </c>
      <c r="CL198" s="21">
        <f>EXP(-LN(2)/25)*CL197+(1-EXP(-LN(2)/25))/(LN(2)/25)*Calculateur!CG198*Calculateur!CI198*VLOOKUP('Données projet'!$B$12,Paramètres!$A$1:$I$89,3,0)*0.475*44/12</f>
        <v>0.23694466999800326</v>
      </c>
      <c r="CM198" s="21">
        <f>EXP(-LN(2)/2)*CM197+(1-EXP(-LN(2)/2))/(LN(2)/2)*CG198*CJ198*VLOOKUP('Données projet'!$B$12,Paramètres!$A$1:$I$89,3,0)*0.475*44/12</f>
        <v>2.9280121042563524E-24</v>
      </c>
      <c r="CN198" s="22">
        <f t="shared" si="172"/>
        <v>0.35283011195992481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1277.6923076923067</v>
      </c>
      <c r="CU198" s="17">
        <f>CT198*VLOOKUP('Données projet'!$B$13,Paramètres!$A$1:$I$89,3,0)*VLOOKUP('Données projet'!$B$13,Paramètres!$A$1:$I$89,5,0)</f>
        <v>614.5699999999996</v>
      </c>
      <c r="CV198" s="13">
        <f t="shared" si="173"/>
        <v>134.13240620831178</v>
      </c>
      <c r="CW198" s="20">
        <f t="shared" si="174"/>
        <v>1303.9900241461421</v>
      </c>
      <c r="CX198" s="59">
        <f t="shared" si="196"/>
        <v>1597.3233574794754</v>
      </c>
      <c r="CY198" s="59">
        <f ca="1">AVERAGE(OFFSET($CX$3,0,0,'Données projet'!$E$13+1,1))-AVERAGE(OFFSET($H$3,0,0,'Données projet'!$E$13+1,1))</f>
        <v>304.15237106473313</v>
      </c>
      <c r="CZ198" s="59">
        <f t="shared" si="208"/>
        <v>120.85458928724336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>
        <f>EXP(-LN(2)/35)*DF197+(1-EXP(-LN(2)/35))/(LN(2)/35)*DB198*DC198*VLOOKUP('Données projet'!$B$13,Paramètres!$A$1:$I$89,3,0)*0.475*44/12</f>
        <v>0</v>
      </c>
      <c r="DG198" s="21">
        <f>EXP(-LN(2)/25)*DG197+(1-EXP(-LN(2)/25))/(LN(2)/25)*Calculateur!DB198*Calculateur!DD198*VLOOKUP('Données projet'!$B$13,Paramètres!$A$1:$I$89,3,0)*0.475*44/12</f>
        <v>0</v>
      </c>
      <c r="DH198" s="21">
        <f>EXP(-LN(2)/2)*DH197+(1-EXP(-LN(2)/2))/(LN(2)/2)*DB198*DE198*VLOOKUP('Données projet'!$B$13,Paramètres!$A$1:$I$89,3,0)*0.475*44/12</f>
        <v>0</v>
      </c>
      <c r="DI198" s="22">
        <f t="shared" si="175"/>
        <v>0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425.38461538461536</v>
      </c>
      <c r="DP198" s="17">
        <f>DO198*VLOOKUP('Données projet'!$B$14,Paramètres!$A$1:$I$89,3,0)*VLOOKUP('Données projet'!$B$14,Paramètres!$A$1:$I$89,5,0)</f>
        <v>204.60999999999999</v>
      </c>
      <c r="DQ198" s="13">
        <f t="shared" si="176"/>
        <v>50.755958577224398</v>
      </c>
      <c r="DR198" s="20">
        <f t="shared" si="177"/>
        <v>444.76237785533249</v>
      </c>
      <c r="DS198" s="59">
        <f t="shared" si="197"/>
        <v>738.09571118866575</v>
      </c>
      <c r="DT198" s="59">
        <f ca="1">AVERAGE(OFFSET($DS$3,0,0,'Données projet'!$E$14+1,1))-AVERAGE(OFFSET($H$3,0,0,'Données projet'!$E$14+1,1))</f>
        <v>91.053246648097399</v>
      </c>
      <c r="DU198" s="59">
        <f t="shared" si="209"/>
        <v>64.716270355703955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>
        <f>EXP(-LN(2)/35)*EA197+(1-EXP(-LN(2)/35))/(LN(2)/35)*DW198*DX198*VLOOKUP('Données projet'!$B$14,Paramètres!$A$1:$I$89,3,0)*0.475*44/12</f>
        <v>0</v>
      </c>
      <c r="EB198" s="21">
        <f>EXP(-LN(2)/25)*EB197+(1-EXP(-LN(2)/25))/(LN(2)/25)*Calculateur!DW198*Calculateur!DY198*VLOOKUP('Données projet'!$B$14,Paramètres!$A$1:$I$89,3,0)*0.475*44/12</f>
        <v>0</v>
      </c>
      <c r="EC198" s="21">
        <f>EXP(-LN(2)/2)*EC197+(1-EXP(-LN(2)/2))/(LN(2)/2)*DW198*DZ198*VLOOKUP('Données projet'!$B$14,Paramètres!$A$1:$I$89,3,0)*0.475*44/12</f>
        <v>0</v>
      </c>
      <c r="ED198" s="22">
        <f t="shared" si="178"/>
        <v>0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553.99999999999955</v>
      </c>
      <c r="EK198" s="17">
        <f>EJ198*VLOOKUP('Données projet'!$B$15,Paramètres!$A$1:$I$89,3,0)*VLOOKUP('Données projet'!$B$15,Paramètres!$A$1:$I$89,5,0)</f>
        <v>331.29199999999975</v>
      </c>
      <c r="EL198" s="13">
        <f t="shared" si="179"/>
        <v>77.698110787752</v>
      </c>
      <c r="EM198" s="20">
        <f t="shared" si="180"/>
        <v>712.32444295533423</v>
      </c>
      <c r="EN198" s="59">
        <f t="shared" si="198"/>
        <v>1005.6577762886675</v>
      </c>
      <c r="EO198" s="59">
        <f ca="1">AVERAGE(OFFSET($EN$3,0,0,'Données projet'!$E$15+1,1))-AVERAGE(OFFSET($H$3,0,0,'Données projet'!$E$15+1,1))</f>
        <v>316.58509520829671</v>
      </c>
      <c r="EP198" s="59">
        <f t="shared" si="210"/>
        <v>240.71332110643596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>
        <f>EXP(-LN(2)/35)*EV197+(1-EXP(-LN(2)/35))/(LN(2)/35)*ER198*ES198*VLOOKUP('Données projet'!$B$15,Paramètres!$A$1:$I$89,3,0)*0.475*44/12</f>
        <v>9.6551493226437843E-2</v>
      </c>
      <c r="EW198" s="21">
        <f>EXP(-LN(2)/25)*EW197+(1-EXP(-LN(2)/25))/(LN(2)/25)*Calculateur!ER198*Calculateur!ET198*VLOOKUP('Données projet'!$B$15,Paramètres!$A$1:$I$89,3,0)*0.475*44/12</f>
        <v>0.15739179756973964</v>
      </c>
      <c r="EX198" s="21">
        <f>EXP(-LN(2)/2)*EX197+(1-EXP(-LN(2)/2))/(LN(2)/2)*ER198*EU198*VLOOKUP('Données projet'!$B$15,Paramètres!$A$1:$I$89,3,0)*0.475*44/12</f>
        <v>3.208107976513395E-24</v>
      </c>
      <c r="EY198" s="22">
        <f t="shared" si="181"/>
        <v>0.2539432907961775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497</v>
      </c>
      <c r="FF198" s="17">
        <f>FE198*VLOOKUP('Données projet'!$B$16,Paramètres!$A$1:$I$89,3,0)*VLOOKUP('Données projet'!$B$16,Paramètres!$A$1:$I$89,5,0)</f>
        <v>297.20600000000002</v>
      </c>
      <c r="FG198" s="13">
        <f t="shared" si="182"/>
        <v>70.590415164571112</v>
      </c>
      <c r="FH198" s="20">
        <f t="shared" si="183"/>
        <v>640.57875641162809</v>
      </c>
      <c r="FI198" s="59">
        <f t="shared" si="199"/>
        <v>933.91208974496135</v>
      </c>
      <c r="FJ198" s="59">
        <f ca="1">AVERAGE(OFFSET($FI$3,0,0,'Données projet'!$E$16+1,1))-AVERAGE(OFFSET($H$3,0,0,'Données projet'!$E$16+1,1))</f>
        <v>270.30888762640245</v>
      </c>
      <c r="FK198" s="59">
        <f t="shared" si="211"/>
        <v>202.23783851977691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>
        <f>EXP(-LN(2)/35)*FQ197+(1-EXP(-LN(2)/35))/(LN(2)/35)*FM198*FN198*VLOOKUP('Données projet'!$B$16,Paramètres!$A$1:$I$89,3,0)*0.475*44/12</f>
        <v>8.1592811177271352E-2</v>
      </c>
      <c r="FR198" s="21">
        <f>EXP(-LN(2)/25)*FR197+(1-EXP(-LN(2)/25))/(LN(2)/25)*Calculateur!FM198*Calculateur!FO198*VLOOKUP('Données projet'!$B$16,Paramètres!$A$1:$I$89,3,0)*0.475*44/12</f>
        <v>0.1267470659989938</v>
      </c>
      <c r="FS198" s="21">
        <f>EXP(-LN(2)/2)*FS197+(1-EXP(-LN(2)/2))/(LN(2)/2)*FM198*FP198*VLOOKUP('Données projet'!$B$16,Paramètres!$A$1:$I$89,3,0)*0.475*44/12</f>
        <v>2.7041049006391064E-24</v>
      </c>
      <c r="FT198" s="22">
        <f t="shared" si="184"/>
        <v>0.20833987717626515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-5.1159076974727213E-13</v>
      </c>
      <c r="GA198" s="17">
        <f>FZ198*VLOOKUP('Données projet'!$B$17,Paramètres!$A$1:$I$89,3,0)*VLOOKUP('Données projet'!$B$17,Paramètres!$A$1:$I$89,5,0)</f>
        <v>-4.0702161641092972E-13</v>
      </c>
      <c r="GB198" s="13" t="e">
        <f t="shared" si="185"/>
        <v>#NUM!</v>
      </c>
      <c r="GC198" s="20" t="e">
        <f t="shared" si="186"/>
        <v>#NUM!</v>
      </c>
      <c r="GD198" s="59" t="e">
        <f t="shared" si="200"/>
        <v>#NUM!</v>
      </c>
      <c r="GE198" s="59">
        <f ca="1">AVERAGE(OFFSET($GD$3,0,0,'Données projet'!$E$17+1,1))-AVERAGE(OFFSET($H$3,0,0,'Données projet'!$E$17+1,1))</f>
        <v>260.20517190557814</v>
      </c>
      <c r="GF198" s="59">
        <f t="shared" si="212"/>
        <v>307.22009971147133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>
        <f>EXP(-LN(2)/35)*GL197+(1-EXP(-LN(2)/35))/(LN(2)/35)*GH198*GI198*VLOOKUP('Données projet'!$B$17,Paramètres!$A$1:$I$89,3,0)*0.475*44/12</f>
        <v>0.12430093239010886</v>
      </c>
      <c r="GM198" s="21">
        <f>EXP(-LN(2)/25)*GM197+(1-EXP(-LN(2)/25))/(LN(2)/25)*Calculateur!GH198*Calculateur!GJ198*VLOOKUP('Données projet'!$B$17,Paramètres!$A$1:$I$89,3,0)*0.475*44/12</f>
        <v>0.21152951657255215</v>
      </c>
      <c r="GN198" s="21">
        <f>EXP(-LN(2)/2)*GN197+(1-EXP(-LN(2)/2))/(LN(2)/2)*GH198*GK198*VLOOKUP('Données projet'!$B$17,Paramètres!$A$1:$I$89,3,0)*0.475*44/12</f>
        <v>3.5151379550150756E-24</v>
      </c>
      <c r="GO198" s="21">
        <f t="shared" si="187"/>
        <v>0.33583044896266101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5.6843418860808015E-14</v>
      </c>
      <c r="GV198" s="17">
        <f>GU198*VLOOKUP('Données projet'!$B$18,Paramètres!$A$1:$I$89,3,0)*VLOOKUP('Données projet'!$B$18,Paramètres!$A$1:$I$89,5,0)</f>
        <v>4.5224624045658861E-14</v>
      </c>
      <c r="GW198" s="13">
        <f t="shared" si="188"/>
        <v>7.4514601661523691E-13</v>
      </c>
      <c r="GX198" s="20">
        <f t="shared" si="189"/>
        <v>1.3765621991510601E-12</v>
      </c>
      <c r="GY198" s="59">
        <f t="shared" si="201"/>
        <v>293.33333333333468</v>
      </c>
      <c r="GZ198" s="59">
        <f ca="1">AVERAGE(OFFSET($GY$3,0,0,'Données projet'!$E$18+1,1))-AVERAGE(OFFSET($H$3,0,0,'Données projet'!$E$18+1,1))</f>
        <v>199.58763537752952</v>
      </c>
      <c r="HA198" s="59">
        <f t="shared" si="213"/>
        <v>242.62852778451929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>
        <f>EXP(-LN(2)/35)*HG197+(1-EXP(-LN(2)/35))/(LN(2)/35)*HC198*HD198*VLOOKUP('Données projet'!$B$18,Paramètres!$A$1:$I$89,3,0)*0.475*44/12</f>
        <v>0</v>
      </c>
      <c r="HH198" s="21">
        <f>EXP(-LN(2)/25)*HH197+(1-EXP(-LN(2)/25))/(LN(2)/25)*Calculateur!HC198*Calculateur!HE198*VLOOKUP('Données projet'!$B$18,Paramètres!$A$1:$I$89,3,0)*0.475*44/12</f>
        <v>0.10600366248187836</v>
      </c>
      <c r="HI198" s="21">
        <f>EXP(-LN(2)/2)*HI197+(1-EXP(-LN(2)/2))/(LN(2)/2)*HC198*HF198*VLOOKUP('Données projet'!$B$18,Paramètres!$A$1:$I$89,3,0)*0.475*44/12</f>
        <v>1.5736223828867218E-24</v>
      </c>
      <c r="HJ198" s="22">
        <f t="shared" si="190"/>
        <v>0.10600366248187836</v>
      </c>
    </row>
    <row r="199" spans="1:218" x14ac:dyDescent="0.2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174.28319999999962</v>
      </c>
      <c r="D199" s="11">
        <f t="shared" si="202"/>
        <v>44.047924241116036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1685.3630643173844</v>
      </c>
      <c r="H199" s="67">
        <f t="shared" si="192"/>
        <v>673.59337471994309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-2.2737367544323206E-13</v>
      </c>
      <c r="O199" s="13">
        <f>N199*VLOOKUP('Données projet'!$B$9,Paramètres!$A$1:$I$89,3,0)*VLOOKUP('Données projet'!$B$9,Paramètres!$A$1:$I$89,5,0)</f>
        <v>-1.2710188457276673E-13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255.5374979188561</v>
      </c>
      <c r="T199" s="59">
        <f t="shared" si="204"/>
        <v>343.10418468620901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0.11540429045673405</v>
      </c>
      <c r="AA199" s="21">
        <f>EXP(-LN(2)/25)*AA198+(1-EXP(-LN(2)/25))/(LN(2)/25)*Calculateur!V199*Calculateur!X199*VLOOKUP('Données projet'!$B$9,Paramètres!$A$1:$I$89,3,0)*0.475*44/12</f>
        <v>0.16002976484063133</v>
      </c>
      <c r="AB199" s="21">
        <f>EXP(-LN(2)/2)*AB198+(1-EXP(-LN(2)/2))/(LN(2)/2)*V199*Y199*VLOOKUP('Données projet'!$B$9,Paramètres!$A$1:$I$89,3,0)*0.475*44/12</f>
        <v>1.750161229902463E-25</v>
      </c>
      <c r="AC199" s="22">
        <f t="shared" si="163"/>
        <v>0.27543405529736537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1.1368683772161603E-13</v>
      </c>
      <c r="AJ199" s="13">
        <f>AI199*VLOOKUP('Données projet'!$B$10,Paramètres!$A$1:$I$89,3,0)*VLOOKUP('Données projet'!$B$10,Paramètres!$A$1:$I$89,5,0)</f>
        <v>6.3550942286383367E-14</v>
      </c>
      <c r="AK199" s="13">
        <f t="shared" si="164"/>
        <v>1.0064464192543978E-12</v>
      </c>
      <c r="AL199" s="20">
        <f t="shared" si="165"/>
        <v>1.8635787380168604E-12</v>
      </c>
      <c r="AM199" s="59">
        <f t="shared" si="193"/>
        <v>293.33333333333519</v>
      </c>
      <c r="AN199" s="59">
        <f ca="1">AVERAGE(OFFSET($AM$3,0,0,'Données projet'!$E$10+1,1))-AVERAGE(OFFSET($H$3,0,0,'Données projet'!$E$10+1,1))</f>
        <v>224.7049802939942</v>
      </c>
      <c r="AO199" s="59">
        <f t="shared" si="205"/>
        <v>203.48513862195352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8.3327537869467658E-2</v>
      </c>
      <c r="AV199" s="21">
        <f>EXP(-LN(2)/25)*AV198+(1-EXP(-LN(2)/25))/(LN(2)/25)*Calculateur!AQ199*Calculateur!AS199*VLOOKUP('Données projet'!$B$10,Paramètres!$A$1:$I$89,3,0)*0.475*44/12</f>
        <v>0.19576784593029178</v>
      </c>
      <c r="AW199" s="21">
        <f>EXP(-LN(2)/2)*AW198+(1-EXP(-LN(2)/2))/(LN(2)/2)*AQ199*AT199*VLOOKUP('Données projet'!$B$10,Paramètres!$A$1:$I$89,3,0)*0.475*44/12</f>
        <v>9.2650562649331851E-25</v>
      </c>
      <c r="AX199" s="21">
        <f t="shared" si="166"/>
        <v>0.27909538379975946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>
        <f>BD199*VLOOKUP('Données projet'!$B$11,Paramètres!$A$1:$I$89,3,0)*VLOOKUP('Données projet'!$B$11,Paramètres!$A$1:$I$89,5,0)</f>
        <v>0</v>
      </c>
      <c r="BF199" s="13" t="e">
        <f t="shared" si="167"/>
        <v>#NUM!</v>
      </c>
      <c r="BG199" s="20" t="e">
        <f t="shared" si="168"/>
        <v>#NUM!</v>
      </c>
      <c r="BH199" s="59" t="e">
        <f t="shared" si="194"/>
        <v>#NUM!</v>
      </c>
      <c r="BI199" s="59">
        <f ca="1">AVERAGE(OFFSET($BH$3,0,0,'Données projet'!$E$11+1,1))-AVERAGE(OFFSET($H$3,0,0,'Données projet'!$E$11+1,1))</f>
        <v>210.04871822652808</v>
      </c>
      <c r="BJ199" s="59">
        <f t="shared" si="206"/>
        <v>250.17540614049324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0.27267119790765232</v>
      </c>
      <c r="BQ199" s="21">
        <f>EXP(-LN(2)/25)*BQ198+(1-EXP(-LN(2)/25))/(LN(2)/25)*Calculateur!BL199*Calculateur!BN199*VLOOKUP('Données projet'!$B$11,Paramètres!$A$1:$I$89,3,0)*0.475*44/12</f>
        <v>0.27905202001221369</v>
      </c>
      <c r="BR199" s="21">
        <f>EXP(-LN(2)/2)*BR198+(1-EXP(-LN(2)/2))/(LN(2)/2)*BL199*BO199*VLOOKUP('Données projet'!$B$11,Paramètres!$A$1:$I$89,3,0)*0.475*44/12</f>
        <v>2.2286198610827981E-24</v>
      </c>
      <c r="BS199" s="22">
        <f t="shared" si="169"/>
        <v>0.551723217919866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2.2737367544323206E-13</v>
      </c>
      <c r="BZ199" s="13">
        <f>BY199*VLOOKUP('Données projet'!$B$12,Paramètres!$A$1:$I$89,3,0)*VLOOKUP('Données projet'!$B$12,Paramètres!$A$1:$I$89,5,0)</f>
        <v>1.2414602679200471E-13</v>
      </c>
      <c r="CA199" s="13">
        <f t="shared" si="170"/>
        <v>1.8186582995804361E-12</v>
      </c>
      <c r="CB199" s="20">
        <f t="shared" si="171"/>
        <v>3.3837175350986671E-12</v>
      </c>
      <c r="CC199" s="59">
        <f t="shared" si="195"/>
        <v>293.33333333333672</v>
      </c>
      <c r="CD199" s="59">
        <f ca="1">AVERAGE(OFFSET($CC$3,0,0,'Données projet'!$E$12+1,1))-AVERAGE(OFFSET($H$3,0,0,'Données projet'!$E$12+1,1))</f>
        <v>168.72306536277267</v>
      </c>
      <c r="CE199" s="59">
        <f t="shared" si="207"/>
        <v>203.35476578922339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0.11361299912818849</v>
      </c>
      <c r="CL199" s="21">
        <f>EXP(-LN(2)/25)*CL198+(1-EXP(-LN(2)/25))/(LN(2)/25)*Calculateur!CG199*Calculateur!CI199*VLOOKUP('Données projet'!$B$12,Paramètres!$A$1:$I$89,3,0)*0.475*44/12</f>
        <v>0.23046540553652922</v>
      </c>
      <c r="CM199" s="21">
        <f>EXP(-LN(2)/2)*CM198+(1-EXP(-LN(2)/2))/(LN(2)/2)*CG199*CJ199*VLOOKUP('Données projet'!$B$12,Paramètres!$A$1:$I$89,3,0)*0.475*44/12</f>
        <v>2.0704172143159592E-24</v>
      </c>
      <c r="CN199" s="22">
        <f t="shared" si="172"/>
        <v>0.34407840466471773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1277.6923076923067</v>
      </c>
      <c r="CU199" s="17">
        <f>CT199*VLOOKUP('Données projet'!$B$13,Paramètres!$A$1:$I$89,3,0)*VLOOKUP('Données projet'!$B$13,Paramètres!$A$1:$I$89,5,0)</f>
        <v>614.5699999999996</v>
      </c>
      <c r="CV199" s="13">
        <f t="shared" si="173"/>
        <v>134.13240620831178</v>
      </c>
      <c r="CW199" s="20">
        <f t="shared" si="174"/>
        <v>1303.9900241461421</v>
      </c>
      <c r="CX199" s="59">
        <f t="shared" si="196"/>
        <v>1597.3233574794754</v>
      </c>
      <c r="CY199" s="59">
        <f ca="1">AVERAGE(OFFSET($CX$3,0,0,'Données projet'!$E$13+1,1))-AVERAGE(OFFSET($H$3,0,0,'Données projet'!$E$13+1,1))</f>
        <v>304.15237106473313</v>
      </c>
      <c r="CZ199" s="59">
        <f t="shared" si="208"/>
        <v>120.85458928724336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>
        <f>EXP(-LN(2)/35)*DF198+(1-EXP(-LN(2)/35))/(LN(2)/35)*DB199*DC199*VLOOKUP('Données projet'!$B$13,Paramètres!$A$1:$I$89,3,0)*0.475*44/12</f>
        <v>0</v>
      </c>
      <c r="DG199" s="21">
        <f>EXP(-LN(2)/25)*DG198+(1-EXP(-LN(2)/25))/(LN(2)/25)*Calculateur!DB199*Calculateur!DD199*VLOOKUP('Données projet'!$B$13,Paramètres!$A$1:$I$89,3,0)*0.475*44/12</f>
        <v>0</v>
      </c>
      <c r="DH199" s="21">
        <f>EXP(-LN(2)/2)*DH198+(1-EXP(-LN(2)/2))/(LN(2)/2)*DB199*DE199*VLOOKUP('Données projet'!$B$13,Paramètres!$A$1:$I$89,3,0)*0.475*44/12</f>
        <v>0</v>
      </c>
      <c r="DI199" s="22">
        <f t="shared" si="175"/>
        <v>0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425.38461538461536</v>
      </c>
      <c r="DP199" s="17">
        <f>DO199*VLOOKUP('Données projet'!$B$14,Paramètres!$A$1:$I$89,3,0)*VLOOKUP('Données projet'!$B$14,Paramètres!$A$1:$I$89,5,0)</f>
        <v>204.60999999999999</v>
      </c>
      <c r="DQ199" s="13">
        <f t="shared" si="176"/>
        <v>50.755958577224398</v>
      </c>
      <c r="DR199" s="20">
        <f t="shared" si="177"/>
        <v>444.76237785533249</v>
      </c>
      <c r="DS199" s="59">
        <f t="shared" si="197"/>
        <v>738.09571118866575</v>
      </c>
      <c r="DT199" s="59">
        <f ca="1">AVERAGE(OFFSET($DS$3,0,0,'Données projet'!$E$14+1,1))-AVERAGE(OFFSET($H$3,0,0,'Données projet'!$E$14+1,1))</f>
        <v>91.053246648097399</v>
      </c>
      <c r="DU199" s="59">
        <f t="shared" si="209"/>
        <v>64.716270355703955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>
        <f>EXP(-LN(2)/35)*EA198+(1-EXP(-LN(2)/35))/(LN(2)/35)*DW199*DX199*VLOOKUP('Données projet'!$B$14,Paramètres!$A$1:$I$89,3,0)*0.475*44/12</f>
        <v>0</v>
      </c>
      <c r="EB199" s="21">
        <f>EXP(-LN(2)/25)*EB198+(1-EXP(-LN(2)/25))/(LN(2)/25)*Calculateur!DW199*Calculateur!DY199*VLOOKUP('Données projet'!$B$14,Paramètres!$A$1:$I$89,3,0)*0.475*44/12</f>
        <v>0</v>
      </c>
      <c r="EC199" s="21">
        <f>EXP(-LN(2)/2)*EC198+(1-EXP(-LN(2)/2))/(LN(2)/2)*DW199*DZ199*VLOOKUP('Données projet'!$B$14,Paramètres!$A$1:$I$89,3,0)*0.475*44/12</f>
        <v>0</v>
      </c>
      <c r="ED199" s="22">
        <f t="shared" si="178"/>
        <v>0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553.99999999999955</v>
      </c>
      <c r="EK199" s="17">
        <f>EJ199*VLOOKUP('Données projet'!$B$15,Paramètres!$A$1:$I$89,3,0)*VLOOKUP('Données projet'!$B$15,Paramètres!$A$1:$I$89,5,0)</f>
        <v>331.29199999999975</v>
      </c>
      <c r="EL199" s="13">
        <f t="shared" si="179"/>
        <v>77.698110787752</v>
      </c>
      <c r="EM199" s="20">
        <f t="shared" si="180"/>
        <v>712.32444295533423</v>
      </c>
      <c r="EN199" s="59">
        <f t="shared" si="198"/>
        <v>1005.6577762886675</v>
      </c>
      <c r="EO199" s="59">
        <f ca="1">AVERAGE(OFFSET($EN$3,0,0,'Données projet'!$E$15+1,1))-AVERAGE(OFFSET($H$3,0,0,'Données projet'!$E$15+1,1))</f>
        <v>316.58509520829671</v>
      </c>
      <c r="EP199" s="59">
        <f t="shared" si="210"/>
        <v>240.71332110643596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>
        <f>EXP(-LN(2)/35)*EV198+(1-EXP(-LN(2)/35))/(LN(2)/35)*ER199*ES199*VLOOKUP('Données projet'!$B$15,Paramètres!$A$1:$I$89,3,0)*0.475*44/12</f>
        <v>9.46581773348633E-2</v>
      </c>
      <c r="EW199" s="21">
        <f>EXP(-LN(2)/25)*EW198+(1-EXP(-LN(2)/25))/(LN(2)/25)*Calculateur!ER199*Calculateur!ET199*VLOOKUP('Données projet'!$B$15,Paramètres!$A$1:$I$89,3,0)*0.475*44/12</f>
        <v>0.15308791058832019</v>
      </c>
      <c r="EX199" s="21">
        <f>EXP(-LN(2)/2)*EX198+(1-EXP(-LN(2)/2))/(LN(2)/2)*ER199*EU199*VLOOKUP('Données projet'!$B$15,Paramètres!$A$1:$I$89,3,0)*0.475*44/12</f>
        <v>2.2684749049712749E-24</v>
      </c>
      <c r="EY199" s="22">
        <f t="shared" si="181"/>
        <v>0.24774608792318348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497</v>
      </c>
      <c r="FF199" s="17">
        <f>FE199*VLOOKUP('Données projet'!$B$16,Paramètres!$A$1:$I$89,3,0)*VLOOKUP('Données projet'!$B$16,Paramètres!$A$1:$I$89,5,0)</f>
        <v>297.20600000000002</v>
      </c>
      <c r="FG199" s="13">
        <f t="shared" si="182"/>
        <v>70.590415164571112</v>
      </c>
      <c r="FH199" s="20">
        <f t="shared" si="183"/>
        <v>640.57875641162809</v>
      </c>
      <c r="FI199" s="59">
        <f t="shared" si="199"/>
        <v>933.91208974496135</v>
      </c>
      <c r="FJ199" s="59">
        <f ca="1">AVERAGE(OFFSET($FI$3,0,0,'Données projet'!$E$16+1,1))-AVERAGE(OFFSET($H$3,0,0,'Données projet'!$E$16+1,1))</f>
        <v>270.30888762640245</v>
      </c>
      <c r="FK199" s="59">
        <f t="shared" si="211"/>
        <v>202.23783851977691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>
        <f>EXP(-LN(2)/35)*FQ198+(1-EXP(-LN(2)/35))/(LN(2)/35)*FM199*FN199*VLOOKUP('Données projet'!$B$16,Paramètres!$A$1:$I$89,3,0)*0.475*44/12</f>
        <v>7.9992825916785831E-2</v>
      </c>
      <c r="FR199" s="21">
        <f>EXP(-LN(2)/25)*FR198+(1-EXP(-LN(2)/25))/(LN(2)/25)*Calculateur!FM199*Calculateur!FO199*VLOOKUP('Données projet'!$B$16,Paramètres!$A$1:$I$89,3,0)*0.475*44/12</f>
        <v>0.1232811608139128</v>
      </c>
      <c r="FS199" s="21">
        <f>EXP(-LN(2)/2)*FS198+(1-EXP(-LN(2)/2))/(LN(2)/2)*FM199*FP199*VLOOKUP('Données projet'!$B$16,Paramètres!$A$1:$I$89,3,0)*0.475*44/12</f>
        <v>1.9120909122816874E-24</v>
      </c>
      <c r="FT199" s="22">
        <f t="shared" si="184"/>
        <v>0.20327398673069863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-5.1159076974727213E-13</v>
      </c>
      <c r="GA199" s="17">
        <f>FZ199*VLOOKUP('Données projet'!$B$17,Paramètres!$A$1:$I$89,3,0)*VLOOKUP('Données projet'!$B$17,Paramètres!$A$1:$I$89,5,0)</f>
        <v>-4.0702161641092972E-13</v>
      </c>
      <c r="GB199" s="13" t="e">
        <f t="shared" si="185"/>
        <v>#NUM!</v>
      </c>
      <c r="GC199" s="20" t="e">
        <f t="shared" si="186"/>
        <v>#NUM!</v>
      </c>
      <c r="GD199" s="59" t="e">
        <f t="shared" si="200"/>
        <v>#NUM!</v>
      </c>
      <c r="GE199" s="59">
        <f ca="1">AVERAGE(OFFSET($GD$3,0,0,'Données projet'!$E$17+1,1))-AVERAGE(OFFSET($H$3,0,0,'Données projet'!$E$17+1,1))</f>
        <v>260.20517190557814</v>
      </c>
      <c r="GF199" s="59">
        <f t="shared" si="212"/>
        <v>307.22009971147133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>
        <f>EXP(-LN(2)/35)*GL198+(1-EXP(-LN(2)/35))/(LN(2)/35)*GH199*GI199*VLOOKUP('Données projet'!$B$17,Paramètres!$A$1:$I$89,3,0)*0.475*44/12</f>
        <v>0.12186346692202137</v>
      </c>
      <c r="GM199" s="21">
        <f>EXP(-LN(2)/25)*GM198+(1-EXP(-LN(2)/25))/(LN(2)/25)*Calculateur!GH199*Calculateur!GJ199*VLOOKUP('Données projet'!$B$17,Paramètres!$A$1:$I$89,3,0)*0.475*44/12</f>
        <v>0.2057452308180219</v>
      </c>
      <c r="GN199" s="21">
        <f>EXP(-LN(2)/2)*GN198+(1-EXP(-LN(2)/2))/(LN(2)/2)*GH199*GK199*VLOOKUP('Données projet'!$B$17,Paramètres!$A$1:$I$89,3,0)*0.475*44/12</f>
        <v>2.4855778847973732E-24</v>
      </c>
      <c r="GO199" s="21">
        <f t="shared" si="187"/>
        <v>0.32760869774004325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5.6843418860808015E-14</v>
      </c>
      <c r="GV199" s="17">
        <f>GU199*VLOOKUP('Données projet'!$B$18,Paramètres!$A$1:$I$89,3,0)*VLOOKUP('Données projet'!$B$18,Paramètres!$A$1:$I$89,5,0)</f>
        <v>4.5224624045658861E-14</v>
      </c>
      <c r="GW199" s="13">
        <f t="shared" si="188"/>
        <v>7.4514601661523691E-13</v>
      </c>
      <c r="GX199" s="20">
        <f t="shared" si="189"/>
        <v>1.3765621991510601E-12</v>
      </c>
      <c r="GY199" s="59">
        <f t="shared" si="201"/>
        <v>293.33333333333468</v>
      </c>
      <c r="GZ199" s="59">
        <f ca="1">AVERAGE(OFFSET($GY$3,0,0,'Données projet'!$E$18+1,1))-AVERAGE(OFFSET($H$3,0,0,'Données projet'!$E$18+1,1))</f>
        <v>199.58763537752952</v>
      </c>
      <c r="HA199" s="59">
        <f t="shared" si="213"/>
        <v>242.62852778451929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>
        <f>EXP(-LN(2)/35)*HG198+(1-EXP(-LN(2)/35))/(LN(2)/35)*HC199*HD199*VLOOKUP('Données projet'!$B$18,Paramètres!$A$1:$I$89,3,0)*0.475*44/12</f>
        <v>0</v>
      </c>
      <c r="HH199" s="21">
        <f>EXP(-LN(2)/25)*HH198+(1-EXP(-LN(2)/25))/(LN(2)/25)*Calculateur!HC199*Calculateur!HE199*VLOOKUP('Données projet'!$B$18,Paramètres!$A$1:$I$89,3,0)*0.475*44/12</f>
        <v>0.10310498675682106</v>
      </c>
      <c r="HI199" s="21">
        <f>EXP(-LN(2)/2)*HI198+(1-EXP(-LN(2)/2))/(LN(2)/2)*HC199*HF199*VLOOKUP('Données projet'!$B$18,Paramètres!$A$1:$I$89,3,0)*0.475*44/12</f>
        <v>1.1127190579661347E-24</v>
      </c>
      <c r="HJ199" s="22">
        <f t="shared" si="190"/>
        <v>0.10310498675682106</v>
      </c>
    </row>
    <row r="200" spans="1:218" x14ac:dyDescent="0.2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175.17239999999961</v>
      </c>
      <c r="D200" s="11">
        <f t="shared" si="202"/>
        <v>44.246440622057428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1693.7594714685104</v>
      </c>
      <c r="H200" s="67">
        <f t="shared" si="192"/>
        <v>675.48781408341597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-2.2737367544323206E-13</v>
      </c>
      <c r="O200" s="13">
        <f>N200*VLOOKUP('Données projet'!$B$9,Paramètres!$A$1:$I$89,3,0)*VLOOKUP('Données projet'!$B$9,Paramètres!$A$1:$I$89,5,0)</f>
        <v>-1.2710188457276673E-13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255.5374979188561</v>
      </c>
      <c r="T200" s="59">
        <f t="shared" si="204"/>
        <v>343.10418468620901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0.11314128271054427</v>
      </c>
      <c r="AA200" s="21">
        <f>EXP(-LN(2)/25)*AA199+(1-EXP(-LN(2)/25))/(LN(2)/25)*Calculateur!V200*Calculateur!X200*VLOOKUP('Données projet'!$B$9,Paramètres!$A$1:$I$89,3,0)*0.475*44/12</f>
        <v>0.15565374250546468</v>
      </c>
      <c r="AB200" s="21">
        <f>EXP(-LN(2)/2)*AB199+(1-EXP(-LN(2)/2))/(LN(2)/2)*V200*Y200*VLOOKUP('Données projet'!$B$9,Paramètres!$A$1:$I$89,3,0)*0.475*44/12</f>
        <v>1.2375508738338198E-25</v>
      </c>
      <c r="AC200" s="22">
        <f t="shared" si="163"/>
        <v>0.26879502521600895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1.1368683772161603E-13</v>
      </c>
      <c r="AJ200" s="13">
        <f>AI200*VLOOKUP('Données projet'!$B$10,Paramètres!$A$1:$I$89,3,0)*VLOOKUP('Données projet'!$B$10,Paramètres!$A$1:$I$89,5,0)</f>
        <v>6.3550942286383367E-14</v>
      </c>
      <c r="AK200" s="13">
        <f t="shared" si="164"/>
        <v>1.0064464192543978E-12</v>
      </c>
      <c r="AL200" s="20">
        <f t="shared" si="165"/>
        <v>1.8635787380168604E-12</v>
      </c>
      <c r="AM200" s="59">
        <f t="shared" si="193"/>
        <v>293.33333333333519</v>
      </c>
      <c r="AN200" s="59">
        <f ca="1">AVERAGE(OFFSET($AM$3,0,0,'Données projet'!$E$10+1,1))-AVERAGE(OFFSET($H$3,0,0,'Données projet'!$E$10+1,1))</f>
        <v>224.7049802939942</v>
      </c>
      <c r="AO200" s="59">
        <f t="shared" si="205"/>
        <v>203.48513862195352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8.169353567662696E-2</v>
      </c>
      <c r="AV200" s="21">
        <f>EXP(-LN(2)/25)*AV199+(1-EXP(-LN(2)/25))/(LN(2)/25)*Calculateur!AQ200*Calculateur!AS200*VLOOKUP('Données projet'!$B$10,Paramètres!$A$1:$I$89,3,0)*0.475*44/12</f>
        <v>0.19041456388834438</v>
      </c>
      <c r="AW200" s="21">
        <f>EXP(-LN(2)/2)*AW199+(1-EXP(-LN(2)/2))/(LN(2)/2)*AQ200*AT200*VLOOKUP('Données projet'!$B$10,Paramètres!$A$1:$I$89,3,0)*0.475*44/12</f>
        <v>6.551384113009161E-25</v>
      </c>
      <c r="AX200" s="21">
        <f t="shared" si="166"/>
        <v>0.27210809956497134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>
        <f>BD200*VLOOKUP('Données projet'!$B$11,Paramètres!$A$1:$I$89,3,0)*VLOOKUP('Données projet'!$B$11,Paramètres!$A$1:$I$89,5,0)</f>
        <v>0</v>
      </c>
      <c r="BF200" s="13" t="e">
        <f t="shared" si="167"/>
        <v>#NUM!</v>
      </c>
      <c r="BG200" s="20" t="e">
        <f t="shared" si="168"/>
        <v>#NUM!</v>
      </c>
      <c r="BH200" s="59" t="e">
        <f t="shared" si="194"/>
        <v>#NUM!</v>
      </c>
      <c r="BI200" s="59">
        <f ca="1">AVERAGE(OFFSET($BH$3,0,0,'Données projet'!$E$11+1,1))-AVERAGE(OFFSET($H$3,0,0,'Données projet'!$E$11+1,1))</f>
        <v>210.04871822652808</v>
      </c>
      <c r="BJ200" s="59">
        <f t="shared" si="206"/>
        <v>250.17540614049324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0.26732428202969194</v>
      </c>
      <c r="BQ200" s="21">
        <f>EXP(-LN(2)/25)*BQ199+(1-EXP(-LN(2)/25))/(LN(2)/25)*Calculateur!BL200*Calculateur!BN200*VLOOKUP('Données projet'!$B$11,Paramètres!$A$1:$I$89,3,0)*0.475*44/12</f>
        <v>0.27142132785027173</v>
      </c>
      <c r="BR200" s="21">
        <f>EXP(-LN(2)/2)*BR199+(1-EXP(-LN(2)/2))/(LN(2)/2)*BL200*BO200*VLOOKUP('Données projet'!$B$11,Paramètres!$A$1:$I$89,3,0)*0.475*44/12</f>
        <v>1.5758722164586681E-24</v>
      </c>
      <c r="BS200" s="22">
        <f t="shared" si="169"/>
        <v>0.53874560987996367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2.2737367544323206E-13</v>
      </c>
      <c r="BZ200" s="13">
        <f>BY200*VLOOKUP('Données projet'!$B$12,Paramètres!$A$1:$I$89,3,0)*VLOOKUP('Données projet'!$B$12,Paramètres!$A$1:$I$89,5,0)</f>
        <v>1.2414602679200471E-13</v>
      </c>
      <c r="CA200" s="13">
        <f t="shared" si="170"/>
        <v>1.8186582995804361E-12</v>
      </c>
      <c r="CB200" s="20">
        <f t="shared" si="171"/>
        <v>3.3837175350986671E-12</v>
      </c>
      <c r="CC200" s="59">
        <f t="shared" si="195"/>
        <v>293.33333333333672</v>
      </c>
      <c r="CD200" s="59">
        <f ca="1">AVERAGE(OFFSET($CC$3,0,0,'Données projet'!$E$12+1,1))-AVERAGE(OFFSET($H$3,0,0,'Données projet'!$E$12+1,1))</f>
        <v>168.72306536277267</v>
      </c>
      <c r="CE200" s="59">
        <f t="shared" si="207"/>
        <v>203.35476578922339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0.11138511751237166</v>
      </c>
      <c r="CL200" s="21">
        <f>EXP(-LN(2)/25)*CL199+(1-EXP(-LN(2)/25))/(LN(2)/25)*Calculateur!CG200*Calculateur!CI200*VLOOKUP('Données projet'!$B$12,Paramètres!$A$1:$I$89,3,0)*0.475*44/12</f>
        <v>0.22416331690248389</v>
      </c>
      <c r="CM200" s="21">
        <f>EXP(-LN(2)/2)*CM199+(1-EXP(-LN(2)/2))/(LN(2)/2)*CG200*CJ200*VLOOKUP('Données projet'!$B$12,Paramètres!$A$1:$I$89,3,0)*0.475*44/12</f>
        <v>1.4640060521281762E-24</v>
      </c>
      <c r="CN200" s="22">
        <f t="shared" si="172"/>
        <v>0.33554843441485555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1277.6923076923067</v>
      </c>
      <c r="CU200" s="17">
        <f>CT200*VLOOKUP('Données projet'!$B$13,Paramètres!$A$1:$I$89,3,0)*VLOOKUP('Données projet'!$B$13,Paramètres!$A$1:$I$89,5,0)</f>
        <v>614.5699999999996</v>
      </c>
      <c r="CV200" s="13">
        <f t="shared" si="173"/>
        <v>134.13240620831178</v>
      </c>
      <c r="CW200" s="20">
        <f t="shared" si="174"/>
        <v>1303.9900241461421</v>
      </c>
      <c r="CX200" s="59">
        <f t="shared" si="196"/>
        <v>1597.3233574794754</v>
      </c>
      <c r="CY200" s="59">
        <f ca="1">AVERAGE(OFFSET($CX$3,0,0,'Données projet'!$E$13+1,1))-AVERAGE(OFFSET($H$3,0,0,'Données projet'!$E$13+1,1))</f>
        <v>304.15237106473313</v>
      </c>
      <c r="CZ200" s="59">
        <f t="shared" si="208"/>
        <v>120.85458928724336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>
        <f>EXP(-LN(2)/35)*DF199+(1-EXP(-LN(2)/35))/(LN(2)/35)*DB200*DC200*VLOOKUP('Données projet'!$B$13,Paramètres!$A$1:$I$89,3,0)*0.475*44/12</f>
        <v>0</v>
      </c>
      <c r="DG200" s="21">
        <f>EXP(-LN(2)/25)*DG199+(1-EXP(-LN(2)/25))/(LN(2)/25)*Calculateur!DB200*Calculateur!DD200*VLOOKUP('Données projet'!$B$13,Paramètres!$A$1:$I$89,3,0)*0.475*44/12</f>
        <v>0</v>
      </c>
      <c r="DH200" s="21">
        <f>EXP(-LN(2)/2)*DH199+(1-EXP(-LN(2)/2))/(LN(2)/2)*DB200*DE200*VLOOKUP('Données projet'!$B$13,Paramètres!$A$1:$I$89,3,0)*0.475*44/12</f>
        <v>0</v>
      </c>
      <c r="DI200" s="22">
        <f t="shared" si="175"/>
        <v>0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425.38461538461536</v>
      </c>
      <c r="DP200" s="17">
        <f>DO200*VLOOKUP('Données projet'!$B$14,Paramètres!$A$1:$I$89,3,0)*VLOOKUP('Données projet'!$B$14,Paramètres!$A$1:$I$89,5,0)</f>
        <v>204.60999999999999</v>
      </c>
      <c r="DQ200" s="13">
        <f t="shared" si="176"/>
        <v>50.755958577224398</v>
      </c>
      <c r="DR200" s="20">
        <f t="shared" si="177"/>
        <v>444.76237785533249</v>
      </c>
      <c r="DS200" s="59">
        <f t="shared" si="197"/>
        <v>738.09571118866575</v>
      </c>
      <c r="DT200" s="59">
        <f ca="1">AVERAGE(OFFSET($DS$3,0,0,'Données projet'!$E$14+1,1))-AVERAGE(OFFSET($H$3,0,0,'Données projet'!$E$14+1,1))</f>
        <v>91.053246648097399</v>
      </c>
      <c r="DU200" s="59">
        <f t="shared" si="209"/>
        <v>64.716270355703955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>
        <f>EXP(-LN(2)/35)*EA199+(1-EXP(-LN(2)/35))/(LN(2)/35)*DW200*DX200*VLOOKUP('Données projet'!$B$14,Paramètres!$A$1:$I$89,3,0)*0.475*44/12</f>
        <v>0</v>
      </c>
      <c r="EB200" s="21">
        <f>EXP(-LN(2)/25)*EB199+(1-EXP(-LN(2)/25))/(LN(2)/25)*Calculateur!DW200*Calculateur!DY200*VLOOKUP('Données projet'!$B$14,Paramètres!$A$1:$I$89,3,0)*0.475*44/12</f>
        <v>0</v>
      </c>
      <c r="EC200" s="21">
        <f>EXP(-LN(2)/2)*EC199+(1-EXP(-LN(2)/2))/(LN(2)/2)*DW200*DZ200*VLOOKUP('Données projet'!$B$14,Paramètres!$A$1:$I$89,3,0)*0.475*44/12</f>
        <v>0</v>
      </c>
      <c r="ED200" s="22">
        <f t="shared" si="178"/>
        <v>0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553.99999999999955</v>
      </c>
      <c r="EK200" s="17">
        <f>EJ200*VLOOKUP('Données projet'!$B$15,Paramètres!$A$1:$I$89,3,0)*VLOOKUP('Données projet'!$B$15,Paramètres!$A$1:$I$89,5,0)</f>
        <v>331.29199999999975</v>
      </c>
      <c r="EL200" s="13">
        <f t="shared" si="179"/>
        <v>77.698110787752</v>
      </c>
      <c r="EM200" s="20">
        <f t="shared" si="180"/>
        <v>712.32444295533423</v>
      </c>
      <c r="EN200" s="59">
        <f t="shared" si="198"/>
        <v>1005.6577762886675</v>
      </c>
      <c r="EO200" s="59">
        <f ca="1">AVERAGE(OFFSET($EN$3,0,0,'Données projet'!$E$15+1,1))-AVERAGE(OFFSET($H$3,0,0,'Données projet'!$E$15+1,1))</f>
        <v>316.58509520829671</v>
      </c>
      <c r="EP200" s="59">
        <f t="shared" si="210"/>
        <v>240.71332110643596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>
        <f>EXP(-LN(2)/35)*EV199+(1-EXP(-LN(2)/35))/(LN(2)/35)*ER200*ES200*VLOOKUP('Données projet'!$B$15,Paramètres!$A$1:$I$89,3,0)*0.475*44/12</f>
        <v>9.2801988213113876E-2</v>
      </c>
      <c r="EW200" s="21">
        <f>EXP(-LN(2)/25)*EW199+(1-EXP(-LN(2)/25))/(LN(2)/25)*Calculateur!ER200*Calculateur!ET200*VLOOKUP('Données projet'!$B$15,Paramètres!$A$1:$I$89,3,0)*0.475*44/12</f>
        <v>0.14890171362273924</v>
      </c>
      <c r="EX200" s="21">
        <f>EXP(-LN(2)/2)*EX199+(1-EXP(-LN(2)/2))/(LN(2)/2)*ER200*EU200*VLOOKUP('Données projet'!$B$15,Paramètres!$A$1:$I$89,3,0)*0.475*44/12</f>
        <v>1.6040539882566975E-24</v>
      </c>
      <c r="EY200" s="22">
        <f t="shared" si="181"/>
        <v>0.2417037018358531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497</v>
      </c>
      <c r="FF200" s="17">
        <f>FE200*VLOOKUP('Données projet'!$B$16,Paramètres!$A$1:$I$89,3,0)*VLOOKUP('Données projet'!$B$16,Paramètres!$A$1:$I$89,5,0)</f>
        <v>297.20600000000002</v>
      </c>
      <c r="FG200" s="13">
        <f t="shared" si="182"/>
        <v>70.590415164571112</v>
      </c>
      <c r="FH200" s="20">
        <f t="shared" si="183"/>
        <v>640.57875641162809</v>
      </c>
      <c r="FI200" s="59">
        <f t="shared" si="199"/>
        <v>933.91208974496135</v>
      </c>
      <c r="FJ200" s="59">
        <f ca="1">AVERAGE(OFFSET($FI$3,0,0,'Données projet'!$E$16+1,1))-AVERAGE(OFFSET($H$3,0,0,'Données projet'!$E$16+1,1))</f>
        <v>270.30888762640245</v>
      </c>
      <c r="FK200" s="59">
        <f t="shared" si="211"/>
        <v>202.23783851977691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>
        <f>EXP(-LN(2)/35)*FQ199+(1-EXP(-LN(2)/35))/(LN(2)/35)*FM200*FN200*VLOOKUP('Données projet'!$B$16,Paramètres!$A$1:$I$89,3,0)*0.475*44/12</f>
        <v>7.842421539136378E-2</v>
      </c>
      <c r="FR200" s="21">
        <f>EXP(-LN(2)/25)*FR199+(1-EXP(-LN(2)/25))/(LN(2)/25)*Calculateur!FM200*Calculateur!FO200*VLOOKUP('Données projet'!$B$16,Paramètres!$A$1:$I$89,3,0)*0.475*44/12</f>
        <v>0.11991003098838186</v>
      </c>
      <c r="FS200" s="21">
        <f>EXP(-LN(2)/2)*FS199+(1-EXP(-LN(2)/2))/(LN(2)/2)*FM200*FP200*VLOOKUP('Données projet'!$B$16,Paramètres!$A$1:$I$89,3,0)*0.475*44/12</f>
        <v>1.3520524503195532E-24</v>
      </c>
      <c r="FT200" s="22">
        <f t="shared" si="184"/>
        <v>0.19833424637974564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-5.1159076974727213E-13</v>
      </c>
      <c r="GA200" s="17">
        <f>FZ200*VLOOKUP('Données projet'!$B$17,Paramètres!$A$1:$I$89,3,0)*VLOOKUP('Données projet'!$B$17,Paramètres!$A$1:$I$89,5,0)</f>
        <v>-4.0702161641092972E-13</v>
      </c>
      <c r="GB200" s="13" t="e">
        <f t="shared" si="185"/>
        <v>#NUM!</v>
      </c>
      <c r="GC200" s="20" t="e">
        <f t="shared" si="186"/>
        <v>#NUM!</v>
      </c>
      <c r="GD200" s="59" t="e">
        <f t="shared" si="200"/>
        <v>#NUM!</v>
      </c>
      <c r="GE200" s="59">
        <f ca="1">AVERAGE(OFFSET($GD$3,0,0,'Données projet'!$E$17+1,1))-AVERAGE(OFFSET($H$3,0,0,'Données projet'!$E$17+1,1))</f>
        <v>260.20517190557814</v>
      </c>
      <c r="GF200" s="59">
        <f t="shared" si="212"/>
        <v>307.22009971147133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>
        <f>EXP(-LN(2)/35)*GL199+(1-EXP(-LN(2)/35))/(LN(2)/35)*GH200*GI200*VLOOKUP('Données projet'!$B$17,Paramètres!$A$1:$I$89,3,0)*0.475*44/12</f>
        <v>0.11947379866505593</v>
      </c>
      <c r="GM200" s="21">
        <f>EXP(-LN(2)/25)*GM199+(1-EXP(-LN(2)/25))/(LN(2)/25)*Calculateur!GH200*Calculateur!GJ200*VLOOKUP('Données projet'!$B$17,Paramètres!$A$1:$I$89,3,0)*0.475*44/12</f>
        <v>0.20011911666163165</v>
      </c>
      <c r="GN200" s="21">
        <f>EXP(-LN(2)/2)*GN199+(1-EXP(-LN(2)/2))/(LN(2)/2)*GH200*GK200*VLOOKUP('Données projet'!$B$17,Paramètres!$A$1:$I$89,3,0)*0.475*44/12</f>
        <v>1.7575689775075378E-24</v>
      </c>
      <c r="GO200" s="21">
        <f t="shared" si="187"/>
        <v>0.3195929153266876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5.6843418860808015E-14</v>
      </c>
      <c r="GV200" s="17">
        <f>GU200*VLOOKUP('Données projet'!$B$18,Paramètres!$A$1:$I$89,3,0)*VLOOKUP('Données projet'!$B$18,Paramètres!$A$1:$I$89,5,0)</f>
        <v>4.5224624045658861E-14</v>
      </c>
      <c r="GW200" s="13">
        <f t="shared" si="188"/>
        <v>7.4514601661523691E-13</v>
      </c>
      <c r="GX200" s="20">
        <f t="shared" si="189"/>
        <v>1.3765621991510601E-12</v>
      </c>
      <c r="GY200" s="59">
        <f t="shared" si="201"/>
        <v>293.33333333333468</v>
      </c>
      <c r="GZ200" s="59">
        <f ca="1">AVERAGE(OFFSET($GY$3,0,0,'Données projet'!$E$18+1,1))-AVERAGE(OFFSET($H$3,0,0,'Données projet'!$E$18+1,1))</f>
        <v>199.58763537752952</v>
      </c>
      <c r="HA200" s="59">
        <f t="shared" si="213"/>
        <v>242.62852778451929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>
        <f>EXP(-LN(2)/35)*HG199+(1-EXP(-LN(2)/35))/(LN(2)/35)*HC200*HD200*VLOOKUP('Données projet'!$B$18,Paramètres!$A$1:$I$89,3,0)*0.475*44/12</f>
        <v>0</v>
      </c>
      <c r="HH200" s="21">
        <f>EXP(-LN(2)/25)*HH199+(1-EXP(-LN(2)/25))/(LN(2)/25)*Calculateur!HC200*Calculateur!HE200*VLOOKUP('Données projet'!$B$18,Paramètres!$A$1:$I$89,3,0)*0.475*44/12</f>
        <v>0.10028557547190019</v>
      </c>
      <c r="HI200" s="21">
        <f>EXP(-LN(2)/2)*HI199+(1-EXP(-LN(2)/2))/(LN(2)/2)*HC200*HF200*VLOOKUP('Données projet'!$B$18,Paramètres!$A$1:$I$89,3,0)*0.475*44/12</f>
        <v>7.8681119144336092E-25</v>
      </c>
      <c r="HJ200" s="22">
        <f t="shared" si="190"/>
        <v>0.10028557547190019</v>
      </c>
    </row>
    <row r="201" spans="1:218" x14ac:dyDescent="0.2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176.0615999999996</v>
      </c>
      <c r="D201" s="11">
        <f t="shared" si="202"/>
        <v>44.44483974113885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1702.154973440367</v>
      </c>
      <c r="H201" s="67">
        <f t="shared" si="192"/>
        <v>677.3820492158161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-2.2737367544323206E-13</v>
      </c>
      <c r="O201" s="13">
        <f>N201*VLOOKUP('Données projet'!$B$9,Paramètres!$A$1:$I$89,3,0)*VLOOKUP('Données projet'!$B$9,Paramètres!$A$1:$I$89,5,0)</f>
        <v>-1.2710188457276673E-13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255.5374979188561</v>
      </c>
      <c r="T201" s="59">
        <f t="shared" si="204"/>
        <v>343.10418468620901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0.11092265116595884</v>
      </c>
      <c r="AA201" s="21">
        <f>EXP(-LN(2)/25)*AA200+(1-EXP(-LN(2)/25))/(LN(2)/25)*Calculateur!V201*Calculateur!X201*VLOOKUP('Données projet'!$B$9,Paramètres!$A$1:$I$89,3,0)*0.475*44/12</f>
        <v>0.15139738273117817</v>
      </c>
      <c r="AB201" s="21">
        <f>EXP(-LN(2)/2)*AB200+(1-EXP(-LN(2)/2))/(LN(2)/2)*V201*Y201*VLOOKUP('Données projet'!$B$9,Paramètres!$A$1:$I$89,3,0)*0.475*44/12</f>
        <v>8.7508061495123151E-26</v>
      </c>
      <c r="AC201" s="22">
        <f t="shared" si="163"/>
        <v>0.26232003389713698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1.1368683772161603E-13</v>
      </c>
      <c r="AJ201" s="13">
        <f>AI201*VLOOKUP('Données projet'!$B$10,Paramètres!$A$1:$I$89,3,0)*VLOOKUP('Données projet'!$B$10,Paramètres!$A$1:$I$89,5,0)</f>
        <v>6.3550942286383367E-14</v>
      </c>
      <c r="AK201" s="13">
        <f t="shared" si="164"/>
        <v>1.0064464192543978E-12</v>
      </c>
      <c r="AL201" s="20">
        <f t="shared" si="165"/>
        <v>1.8635787380168604E-12</v>
      </c>
      <c r="AM201" s="59">
        <f t="shared" si="193"/>
        <v>293.33333333333519</v>
      </c>
      <c r="AN201" s="59">
        <f ca="1">AVERAGE(OFFSET($AM$3,0,0,'Données projet'!$E$10+1,1))-AVERAGE(OFFSET($H$3,0,0,'Données projet'!$E$10+1,1))</f>
        <v>224.7049802939942</v>
      </c>
      <c r="AO201" s="59">
        <f t="shared" si="205"/>
        <v>203.48513862195352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8.0091575270144946E-2</v>
      </c>
      <c r="AV201" s="21">
        <f>EXP(-LN(2)/25)*AV200+(1-EXP(-LN(2)/25))/(LN(2)/25)*Calculateur!AQ201*Calculateur!AS201*VLOOKUP('Données projet'!$B$10,Paramètres!$A$1:$I$89,3,0)*0.475*44/12</f>
        <v>0.18520766762535087</v>
      </c>
      <c r="AW201" s="21">
        <f>EXP(-LN(2)/2)*AW200+(1-EXP(-LN(2)/2))/(LN(2)/2)*AQ201*AT201*VLOOKUP('Données projet'!$B$10,Paramètres!$A$1:$I$89,3,0)*0.475*44/12</f>
        <v>4.6325281324665926E-25</v>
      </c>
      <c r="AX201" s="21">
        <f t="shared" si="166"/>
        <v>0.26529924289549583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>
        <f>BD201*VLOOKUP('Données projet'!$B$11,Paramètres!$A$1:$I$89,3,0)*VLOOKUP('Données projet'!$B$11,Paramètres!$A$1:$I$89,5,0)</f>
        <v>0</v>
      </c>
      <c r="BF201" s="13" t="e">
        <f t="shared" si="167"/>
        <v>#NUM!</v>
      </c>
      <c r="BG201" s="20" t="e">
        <f t="shared" si="168"/>
        <v>#NUM!</v>
      </c>
      <c r="BH201" s="59" t="e">
        <f t="shared" si="194"/>
        <v>#NUM!</v>
      </c>
      <c r="BI201" s="59">
        <f ca="1">AVERAGE(OFFSET($BH$3,0,0,'Données projet'!$E$11+1,1))-AVERAGE(OFFSET($H$3,0,0,'Données projet'!$E$11+1,1))</f>
        <v>210.04871822652808</v>
      </c>
      <c r="BJ201" s="59">
        <f t="shared" si="206"/>
        <v>250.17540614049324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0.26208221591080172</v>
      </c>
      <c r="BQ201" s="21">
        <f>EXP(-LN(2)/25)*BQ200+(1-EXP(-LN(2)/25))/(LN(2)/25)*Calculateur!BL201*Calculateur!BN201*VLOOKUP('Données projet'!$B$11,Paramètres!$A$1:$I$89,3,0)*0.475*44/12</f>
        <v>0.26399929736677874</v>
      </c>
      <c r="BR201" s="21">
        <f>EXP(-LN(2)/2)*BR200+(1-EXP(-LN(2)/2))/(LN(2)/2)*BL201*BO201*VLOOKUP('Données projet'!$B$11,Paramètres!$A$1:$I$89,3,0)*0.475*44/12</f>
        <v>1.1143099305413991E-24</v>
      </c>
      <c r="BS201" s="22">
        <f t="shared" si="169"/>
        <v>0.52608151327758046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2.2737367544323206E-13</v>
      </c>
      <c r="BZ201" s="13">
        <f>BY201*VLOOKUP('Données projet'!$B$12,Paramètres!$A$1:$I$89,3,0)*VLOOKUP('Données projet'!$B$12,Paramètres!$A$1:$I$89,5,0)</f>
        <v>1.2414602679200471E-13</v>
      </c>
      <c r="CA201" s="13">
        <f t="shared" si="170"/>
        <v>1.8186582995804361E-12</v>
      </c>
      <c r="CB201" s="20">
        <f t="shared" si="171"/>
        <v>3.3837175350986671E-12</v>
      </c>
      <c r="CC201" s="59">
        <f t="shared" si="195"/>
        <v>293.33333333333672</v>
      </c>
      <c r="CD201" s="59">
        <f ca="1">AVERAGE(OFFSET($CC$3,0,0,'Données projet'!$E$12+1,1))-AVERAGE(OFFSET($H$3,0,0,'Données projet'!$E$12+1,1))</f>
        <v>168.72306536277267</v>
      </c>
      <c r="CE201" s="59">
        <f t="shared" si="207"/>
        <v>203.35476578922339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0.1092009232961674</v>
      </c>
      <c r="CL201" s="21">
        <f>EXP(-LN(2)/25)*CL200+(1-EXP(-LN(2)/25))/(LN(2)/25)*Calculateur!CG201*Calculateur!CI201*VLOOKUP('Données projet'!$B$12,Paramètres!$A$1:$I$89,3,0)*0.475*44/12</f>
        <v>0.21803355921354897</v>
      </c>
      <c r="CM201" s="21">
        <f>EXP(-LN(2)/2)*CM200+(1-EXP(-LN(2)/2))/(LN(2)/2)*CG201*CJ201*VLOOKUP('Données projet'!$B$12,Paramètres!$A$1:$I$89,3,0)*0.475*44/12</f>
        <v>1.0352086071579796E-24</v>
      </c>
      <c r="CN201" s="22">
        <f t="shared" si="172"/>
        <v>0.32723448250971637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1277.6923076923067</v>
      </c>
      <c r="CU201" s="17">
        <f>CT201*VLOOKUP('Données projet'!$B$13,Paramètres!$A$1:$I$89,3,0)*VLOOKUP('Données projet'!$B$13,Paramètres!$A$1:$I$89,5,0)</f>
        <v>614.5699999999996</v>
      </c>
      <c r="CV201" s="13">
        <f t="shared" si="173"/>
        <v>134.13240620831178</v>
      </c>
      <c r="CW201" s="20">
        <f t="shared" si="174"/>
        <v>1303.9900241461421</v>
      </c>
      <c r="CX201" s="59">
        <f t="shared" si="196"/>
        <v>1597.3233574794754</v>
      </c>
      <c r="CY201" s="59">
        <f ca="1">AVERAGE(OFFSET($CX$3,0,0,'Données projet'!$E$13+1,1))-AVERAGE(OFFSET($H$3,0,0,'Données projet'!$E$13+1,1))</f>
        <v>304.15237106473313</v>
      </c>
      <c r="CZ201" s="59">
        <f t="shared" si="208"/>
        <v>120.85458928724336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>
        <f>EXP(-LN(2)/35)*DF200+(1-EXP(-LN(2)/35))/(LN(2)/35)*DB201*DC201*VLOOKUP('Données projet'!$B$13,Paramètres!$A$1:$I$89,3,0)*0.475*44/12</f>
        <v>0</v>
      </c>
      <c r="DG201" s="21">
        <f>EXP(-LN(2)/25)*DG200+(1-EXP(-LN(2)/25))/(LN(2)/25)*Calculateur!DB201*Calculateur!DD201*VLOOKUP('Données projet'!$B$13,Paramètres!$A$1:$I$89,3,0)*0.475*44/12</f>
        <v>0</v>
      </c>
      <c r="DH201" s="21">
        <f>EXP(-LN(2)/2)*DH200+(1-EXP(-LN(2)/2))/(LN(2)/2)*DB201*DE201*VLOOKUP('Données projet'!$B$13,Paramètres!$A$1:$I$89,3,0)*0.475*44/12</f>
        <v>0</v>
      </c>
      <c r="DI201" s="22">
        <f t="shared" si="175"/>
        <v>0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425.38461538461536</v>
      </c>
      <c r="DP201" s="17">
        <f>DO201*VLOOKUP('Données projet'!$B$14,Paramètres!$A$1:$I$89,3,0)*VLOOKUP('Données projet'!$B$14,Paramètres!$A$1:$I$89,5,0)</f>
        <v>204.60999999999999</v>
      </c>
      <c r="DQ201" s="13">
        <f t="shared" si="176"/>
        <v>50.755958577224398</v>
      </c>
      <c r="DR201" s="20">
        <f t="shared" si="177"/>
        <v>444.76237785533249</v>
      </c>
      <c r="DS201" s="59">
        <f t="shared" si="197"/>
        <v>738.09571118866575</v>
      </c>
      <c r="DT201" s="59">
        <f ca="1">AVERAGE(OFFSET($DS$3,0,0,'Données projet'!$E$14+1,1))-AVERAGE(OFFSET($H$3,0,0,'Données projet'!$E$14+1,1))</f>
        <v>91.053246648097399</v>
      </c>
      <c r="DU201" s="59">
        <f t="shared" si="209"/>
        <v>64.716270355703955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>
        <f>EXP(-LN(2)/35)*EA200+(1-EXP(-LN(2)/35))/(LN(2)/35)*DW201*DX201*VLOOKUP('Données projet'!$B$14,Paramètres!$A$1:$I$89,3,0)*0.475*44/12</f>
        <v>0</v>
      </c>
      <c r="EB201" s="21">
        <f>EXP(-LN(2)/25)*EB200+(1-EXP(-LN(2)/25))/(LN(2)/25)*Calculateur!DW201*Calculateur!DY201*VLOOKUP('Données projet'!$B$14,Paramètres!$A$1:$I$89,3,0)*0.475*44/12</f>
        <v>0</v>
      </c>
      <c r="EC201" s="21">
        <f>EXP(-LN(2)/2)*EC200+(1-EXP(-LN(2)/2))/(LN(2)/2)*DW201*DZ201*VLOOKUP('Données projet'!$B$14,Paramètres!$A$1:$I$89,3,0)*0.475*44/12</f>
        <v>0</v>
      </c>
      <c r="ED201" s="22">
        <f t="shared" si="178"/>
        <v>0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553.99999999999955</v>
      </c>
      <c r="EK201" s="17">
        <f>EJ201*VLOOKUP('Données projet'!$B$15,Paramètres!$A$1:$I$89,3,0)*VLOOKUP('Données projet'!$B$15,Paramètres!$A$1:$I$89,5,0)</f>
        <v>331.29199999999975</v>
      </c>
      <c r="EL201" s="13">
        <f t="shared" si="179"/>
        <v>77.698110787752</v>
      </c>
      <c r="EM201" s="20">
        <f t="shared" si="180"/>
        <v>712.32444295533423</v>
      </c>
      <c r="EN201" s="59">
        <f t="shared" si="198"/>
        <v>1005.6577762886675</v>
      </c>
      <c r="EO201" s="59">
        <f ca="1">AVERAGE(OFFSET($EN$3,0,0,'Données projet'!$E$15+1,1))-AVERAGE(OFFSET($H$3,0,0,'Données projet'!$E$15+1,1))</f>
        <v>316.58509520829671</v>
      </c>
      <c r="EP201" s="59">
        <f t="shared" si="210"/>
        <v>240.71332110643596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>
        <f>EXP(-LN(2)/35)*EV200+(1-EXP(-LN(2)/35))/(LN(2)/35)*ER201*ES201*VLOOKUP('Données projet'!$B$15,Paramètres!$A$1:$I$89,3,0)*0.475*44/12</f>
        <v>9.0982197827878378E-2</v>
      </c>
      <c r="EW201" s="21">
        <f>EXP(-LN(2)/25)*EW200+(1-EXP(-LN(2)/25))/(LN(2)/25)*Calculateur!ER201*Calculateur!ET201*VLOOKUP('Données projet'!$B$15,Paramètres!$A$1:$I$89,3,0)*0.475*44/12</f>
        <v>0.14482998843332465</v>
      </c>
      <c r="EX201" s="21">
        <f>EXP(-LN(2)/2)*EX200+(1-EXP(-LN(2)/2))/(LN(2)/2)*ER201*EU201*VLOOKUP('Données projet'!$B$15,Paramètres!$A$1:$I$89,3,0)*0.475*44/12</f>
        <v>1.1342374524856374E-24</v>
      </c>
      <c r="EY201" s="22">
        <f t="shared" si="181"/>
        <v>0.23581218626120304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497</v>
      </c>
      <c r="FF201" s="17">
        <f>FE201*VLOOKUP('Données projet'!$B$16,Paramètres!$A$1:$I$89,3,0)*VLOOKUP('Données projet'!$B$16,Paramètres!$A$1:$I$89,5,0)</f>
        <v>297.20600000000002</v>
      </c>
      <c r="FG201" s="13">
        <f t="shared" si="182"/>
        <v>70.590415164571112</v>
      </c>
      <c r="FH201" s="20">
        <f t="shared" si="183"/>
        <v>640.57875641162809</v>
      </c>
      <c r="FI201" s="59">
        <f t="shared" si="199"/>
        <v>933.91208974496135</v>
      </c>
      <c r="FJ201" s="59">
        <f ca="1">AVERAGE(OFFSET($FI$3,0,0,'Données projet'!$E$16+1,1))-AVERAGE(OFFSET($H$3,0,0,'Données projet'!$E$16+1,1))</f>
        <v>270.30888762640245</v>
      </c>
      <c r="FK201" s="59">
        <f t="shared" si="211"/>
        <v>202.23783851977691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>
        <f>EXP(-LN(2)/35)*FQ200+(1-EXP(-LN(2)/35))/(LN(2)/35)*FM201*FN201*VLOOKUP('Données projet'!$B$16,Paramètres!$A$1:$I$89,3,0)*0.475*44/12</f>
        <v>7.68863643615873E-2</v>
      </c>
      <c r="FR201" s="21">
        <f>EXP(-LN(2)/25)*FR200+(1-EXP(-LN(2)/25))/(LN(2)/25)*Calculateur!FM201*Calculateur!FO201*VLOOKUP('Données projet'!$B$16,Paramètres!$A$1:$I$89,3,0)*0.475*44/12</f>
        <v>0.1166310848852101</v>
      </c>
      <c r="FS201" s="21">
        <f>EXP(-LN(2)/2)*FS200+(1-EXP(-LN(2)/2))/(LN(2)/2)*FM201*FP201*VLOOKUP('Données projet'!$B$16,Paramètres!$A$1:$I$89,3,0)*0.475*44/12</f>
        <v>9.5604545614084372E-25</v>
      </c>
      <c r="FT201" s="22">
        <f t="shared" si="184"/>
        <v>0.1935174492467974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-5.1159076974727213E-13</v>
      </c>
      <c r="GA201" s="17">
        <f>FZ201*VLOOKUP('Données projet'!$B$17,Paramètres!$A$1:$I$89,3,0)*VLOOKUP('Données projet'!$B$17,Paramètres!$A$1:$I$89,5,0)</f>
        <v>-4.0702161641092972E-13</v>
      </c>
      <c r="GB201" s="13" t="e">
        <f t="shared" si="185"/>
        <v>#NUM!</v>
      </c>
      <c r="GC201" s="20" t="e">
        <f t="shared" si="186"/>
        <v>#NUM!</v>
      </c>
      <c r="GD201" s="59" t="e">
        <f t="shared" si="200"/>
        <v>#NUM!</v>
      </c>
      <c r="GE201" s="59">
        <f ca="1">AVERAGE(OFFSET($GD$3,0,0,'Données projet'!$E$17+1,1))-AVERAGE(OFFSET($H$3,0,0,'Données projet'!$E$17+1,1))</f>
        <v>260.20517190557814</v>
      </c>
      <c r="GF201" s="59">
        <f t="shared" si="212"/>
        <v>307.22009971147133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>
        <f>EXP(-LN(2)/35)*GL200+(1-EXP(-LN(2)/35))/(LN(2)/35)*GH201*GI201*VLOOKUP('Données projet'!$B$17,Paramètres!$A$1:$I$89,3,0)*0.475*44/12</f>
        <v>0.11713099034505588</v>
      </c>
      <c r="GM201" s="21">
        <f>EXP(-LN(2)/25)*GM200+(1-EXP(-LN(2)/25))/(LN(2)/25)*Calculateur!GH201*Calculateur!GJ201*VLOOKUP('Données projet'!$B$17,Paramètres!$A$1:$I$89,3,0)*0.475*44/12</f>
        <v>0.19464684889271236</v>
      </c>
      <c r="GN201" s="21">
        <f>EXP(-LN(2)/2)*GN200+(1-EXP(-LN(2)/2))/(LN(2)/2)*GH201*GK201*VLOOKUP('Données projet'!$B$17,Paramètres!$A$1:$I$89,3,0)*0.475*44/12</f>
        <v>1.2427889423986866E-24</v>
      </c>
      <c r="GO201" s="21">
        <f t="shared" si="187"/>
        <v>0.31177783923776825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5.6843418860808015E-14</v>
      </c>
      <c r="GV201" s="17">
        <f>GU201*VLOOKUP('Données projet'!$B$18,Paramètres!$A$1:$I$89,3,0)*VLOOKUP('Données projet'!$B$18,Paramètres!$A$1:$I$89,5,0)</f>
        <v>4.5224624045658861E-14</v>
      </c>
      <c r="GW201" s="13">
        <f t="shared" si="188"/>
        <v>7.4514601661523691E-13</v>
      </c>
      <c r="GX201" s="20">
        <f t="shared" si="189"/>
        <v>1.3765621991510601E-12</v>
      </c>
      <c r="GY201" s="59">
        <f t="shared" si="201"/>
        <v>293.33333333333468</v>
      </c>
      <c r="GZ201" s="59">
        <f ca="1">AVERAGE(OFFSET($GY$3,0,0,'Données projet'!$E$18+1,1))-AVERAGE(OFFSET($H$3,0,0,'Données projet'!$E$18+1,1))</f>
        <v>199.58763537752952</v>
      </c>
      <c r="HA201" s="59">
        <f t="shared" si="213"/>
        <v>242.62852778451929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>
        <f>EXP(-LN(2)/35)*HG200+(1-EXP(-LN(2)/35))/(LN(2)/35)*HC201*HD201*VLOOKUP('Données projet'!$B$18,Paramètres!$A$1:$I$89,3,0)*0.475*44/12</f>
        <v>0</v>
      </c>
      <c r="HH201" s="21">
        <f>EXP(-LN(2)/25)*HH200+(1-EXP(-LN(2)/25))/(LN(2)/25)*Calculateur!HC201*Calculateur!HE201*VLOOKUP('Données projet'!$B$18,Paramètres!$A$1:$I$89,3,0)*0.475*44/12</f>
        <v>9.7543261136831871E-2</v>
      </c>
      <c r="HI201" s="21">
        <f>EXP(-LN(2)/2)*HI200+(1-EXP(-LN(2)/2))/(LN(2)/2)*HC201*HF201*VLOOKUP('Données projet'!$B$18,Paramètres!$A$1:$I$89,3,0)*0.475*44/12</f>
        <v>5.5635952898306736E-25</v>
      </c>
      <c r="HJ201" s="22">
        <f t="shared" si="190"/>
        <v>9.7543261136831871E-2</v>
      </c>
    </row>
    <row r="202" spans="1:218" x14ac:dyDescent="0.2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176.95079999999959</v>
      </c>
      <c r="D202" s="11">
        <f t="shared" si="202"/>
        <v>44.643122259339037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1710.5495753352454</v>
      </c>
      <c r="H202" s="67">
        <f t="shared" si="192"/>
        <v>679.27608126834809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-2.2737367544323206E-13</v>
      </c>
      <c r="O202" s="13">
        <f>N202*VLOOKUP('Données projet'!$B$9,Paramètres!$A$1:$I$89,3,0)*VLOOKUP('Données projet'!$B$9,Paramètres!$A$1:$I$89,5,0)</f>
        <v>-1.2710188457276673E-13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255.5374979188561</v>
      </c>
      <c r="T202" s="59">
        <f t="shared" si="204"/>
        <v>343.10418468620901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0.10874752563273112</v>
      </c>
      <c r="AA202" s="21">
        <f>EXP(-LN(2)/25)*AA201+(1-EXP(-LN(2)/25))/(LN(2)/25)*Calculateur!V202*Calculateur!X202*VLOOKUP('Données projet'!$B$9,Paramètres!$A$1:$I$89,3,0)*0.475*44/12</f>
        <v>0.14725741333875178</v>
      </c>
      <c r="AB202" s="21">
        <f>EXP(-LN(2)/2)*AB201+(1-EXP(-LN(2)/2))/(LN(2)/2)*V202*Y202*VLOOKUP('Données projet'!$B$9,Paramètres!$A$1:$I$89,3,0)*0.475*44/12</f>
        <v>6.187754369169099E-26</v>
      </c>
      <c r="AC202" s="22">
        <f t="shared" si="163"/>
        <v>0.25600493897148291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1.1368683772161603E-13</v>
      </c>
      <c r="AJ202" s="13">
        <f>AI202*VLOOKUP('Données projet'!$B$10,Paramètres!$A$1:$I$89,3,0)*VLOOKUP('Données projet'!$B$10,Paramètres!$A$1:$I$89,5,0)</f>
        <v>6.3550942286383367E-14</v>
      </c>
      <c r="AK202" s="13">
        <f t="shared" si="164"/>
        <v>1.0064464192543978E-12</v>
      </c>
      <c r="AL202" s="20">
        <f t="shared" si="165"/>
        <v>1.8635787380168604E-12</v>
      </c>
      <c r="AM202" s="59">
        <f t="shared" si="193"/>
        <v>293.33333333333519</v>
      </c>
      <c r="AN202" s="59">
        <f ca="1">AVERAGE(OFFSET($AM$3,0,0,'Données projet'!$E$10+1,1))-AVERAGE(OFFSET($H$3,0,0,'Données projet'!$E$10+1,1))</f>
        <v>224.7049802939942</v>
      </c>
      <c r="AO202" s="59">
        <f t="shared" si="205"/>
        <v>203.48513862195352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7.8521028330134676E-2</v>
      </c>
      <c r="AV202" s="21">
        <f>EXP(-LN(2)/25)*AV201+(1-EXP(-LN(2)/25))/(LN(2)/25)*Calculateur!AQ202*Calculateur!AS202*VLOOKUP('Données projet'!$B$10,Paramètres!$A$1:$I$89,3,0)*0.475*44/12</f>
        <v>0.18014315421448771</v>
      </c>
      <c r="AW202" s="21">
        <f>EXP(-LN(2)/2)*AW201+(1-EXP(-LN(2)/2))/(LN(2)/2)*AQ202*AT202*VLOOKUP('Données projet'!$B$10,Paramètres!$A$1:$I$89,3,0)*0.475*44/12</f>
        <v>3.2756920565045805E-25</v>
      </c>
      <c r="AX202" s="21">
        <f t="shared" si="166"/>
        <v>0.25866418254462237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>
        <f>BD202*VLOOKUP('Données projet'!$B$11,Paramètres!$A$1:$I$89,3,0)*VLOOKUP('Données projet'!$B$11,Paramètres!$A$1:$I$89,5,0)</f>
        <v>0</v>
      </c>
      <c r="BF202" s="13" t="e">
        <f t="shared" si="167"/>
        <v>#NUM!</v>
      </c>
      <c r="BG202" s="20" t="e">
        <f t="shared" si="168"/>
        <v>#NUM!</v>
      </c>
      <c r="BH202" s="59" t="e">
        <f t="shared" si="194"/>
        <v>#NUM!</v>
      </c>
      <c r="BI202" s="59">
        <f ca="1">AVERAGE(OFFSET($BH$3,0,0,'Données projet'!$E$11+1,1))-AVERAGE(OFFSET($H$3,0,0,'Données projet'!$E$11+1,1))</f>
        <v>210.04871822652808</v>
      </c>
      <c r="BJ202" s="59">
        <f t="shared" si="206"/>
        <v>250.17540614049324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0.25694294351115832</v>
      </c>
      <c r="BQ202" s="21">
        <f>EXP(-LN(2)/25)*BQ201+(1-EXP(-LN(2)/25))/(LN(2)/25)*Calculateur!BL202*Calculateur!BN202*VLOOKUP('Données projet'!$B$11,Paramètres!$A$1:$I$89,3,0)*0.475*44/12</f>
        <v>0.2567802226971645</v>
      </c>
      <c r="BR202" s="21">
        <f>EXP(-LN(2)/2)*BR201+(1-EXP(-LN(2)/2))/(LN(2)/2)*BL202*BO202*VLOOKUP('Données projet'!$B$11,Paramètres!$A$1:$I$89,3,0)*0.475*44/12</f>
        <v>7.8793610822933405E-25</v>
      </c>
      <c r="BS202" s="22">
        <f t="shared" si="169"/>
        <v>0.51372316620832281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2.2737367544323206E-13</v>
      </c>
      <c r="BZ202" s="13">
        <f>BY202*VLOOKUP('Données projet'!$B$12,Paramètres!$A$1:$I$89,3,0)*VLOOKUP('Données projet'!$B$12,Paramètres!$A$1:$I$89,5,0)</f>
        <v>1.2414602679200471E-13</v>
      </c>
      <c r="CA202" s="13">
        <f t="shared" si="170"/>
        <v>1.8186582995804361E-12</v>
      </c>
      <c r="CB202" s="20">
        <f t="shared" si="171"/>
        <v>3.3837175350986671E-12</v>
      </c>
      <c r="CC202" s="59">
        <f t="shared" si="195"/>
        <v>293.33333333333672</v>
      </c>
      <c r="CD202" s="59">
        <f ca="1">AVERAGE(OFFSET($CC$3,0,0,'Données projet'!$E$12+1,1))-AVERAGE(OFFSET($H$3,0,0,'Données projet'!$E$12+1,1))</f>
        <v>168.72306536277267</v>
      </c>
      <c r="CE202" s="59">
        <f t="shared" si="207"/>
        <v>203.35476578922339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0.10705955979631597</v>
      </c>
      <c r="CL202" s="21">
        <f>EXP(-LN(2)/25)*CL201+(1-EXP(-LN(2)/25))/(LN(2)/25)*Calculateur!CG202*Calculateur!CI202*VLOOKUP('Données projet'!$B$12,Paramètres!$A$1:$I$89,3,0)*0.475*44/12</f>
        <v>0.21207142007096791</v>
      </c>
      <c r="CM202" s="21">
        <f>EXP(-LN(2)/2)*CM201+(1-EXP(-LN(2)/2))/(LN(2)/2)*CG202*CJ202*VLOOKUP('Données projet'!$B$12,Paramètres!$A$1:$I$89,3,0)*0.475*44/12</f>
        <v>7.3200302606408811E-25</v>
      </c>
      <c r="CN202" s="22">
        <f t="shared" si="172"/>
        <v>0.31913097986728389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1277.6923076923067</v>
      </c>
      <c r="CU202" s="17">
        <f>CT202*VLOOKUP('Données projet'!$B$13,Paramètres!$A$1:$I$89,3,0)*VLOOKUP('Données projet'!$B$13,Paramètres!$A$1:$I$89,5,0)</f>
        <v>614.5699999999996</v>
      </c>
      <c r="CV202" s="13">
        <f t="shared" si="173"/>
        <v>134.13240620831178</v>
      </c>
      <c r="CW202" s="20">
        <f t="shared" si="174"/>
        <v>1303.9900241461421</v>
      </c>
      <c r="CX202" s="59">
        <f t="shared" si="196"/>
        <v>1597.3233574794754</v>
      </c>
      <c r="CY202" s="59">
        <f ca="1">AVERAGE(OFFSET($CX$3,0,0,'Données projet'!$E$13+1,1))-AVERAGE(OFFSET($H$3,0,0,'Données projet'!$E$13+1,1))</f>
        <v>304.15237106473313</v>
      </c>
      <c r="CZ202" s="59">
        <f t="shared" si="208"/>
        <v>120.85458928724336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>
        <f>EXP(-LN(2)/35)*DF201+(1-EXP(-LN(2)/35))/(LN(2)/35)*DB202*DC202*VLOOKUP('Données projet'!$B$13,Paramètres!$A$1:$I$89,3,0)*0.475*44/12</f>
        <v>0</v>
      </c>
      <c r="DG202" s="21">
        <f>EXP(-LN(2)/25)*DG201+(1-EXP(-LN(2)/25))/(LN(2)/25)*Calculateur!DB202*Calculateur!DD202*VLOOKUP('Données projet'!$B$13,Paramètres!$A$1:$I$89,3,0)*0.475*44/12</f>
        <v>0</v>
      </c>
      <c r="DH202" s="21">
        <f>EXP(-LN(2)/2)*DH201+(1-EXP(-LN(2)/2))/(LN(2)/2)*DB202*DE202*VLOOKUP('Données projet'!$B$13,Paramètres!$A$1:$I$89,3,0)*0.475*44/12</f>
        <v>0</v>
      </c>
      <c r="DI202" s="22">
        <f t="shared" si="175"/>
        <v>0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425.38461538461536</v>
      </c>
      <c r="DP202" s="17">
        <f>DO202*VLOOKUP('Données projet'!$B$14,Paramètres!$A$1:$I$89,3,0)*VLOOKUP('Données projet'!$B$14,Paramètres!$A$1:$I$89,5,0)</f>
        <v>204.60999999999999</v>
      </c>
      <c r="DQ202" s="13">
        <f t="shared" si="176"/>
        <v>50.755958577224398</v>
      </c>
      <c r="DR202" s="20">
        <f t="shared" si="177"/>
        <v>444.76237785533249</v>
      </c>
      <c r="DS202" s="59">
        <f t="shared" si="197"/>
        <v>738.09571118866575</v>
      </c>
      <c r="DT202" s="59">
        <f ca="1">AVERAGE(OFFSET($DS$3,0,0,'Données projet'!$E$14+1,1))-AVERAGE(OFFSET($H$3,0,0,'Données projet'!$E$14+1,1))</f>
        <v>91.053246648097399</v>
      </c>
      <c r="DU202" s="59">
        <f t="shared" si="209"/>
        <v>64.716270355703955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>
        <f>EXP(-LN(2)/35)*EA201+(1-EXP(-LN(2)/35))/(LN(2)/35)*DW202*DX202*VLOOKUP('Données projet'!$B$14,Paramètres!$A$1:$I$89,3,0)*0.475*44/12</f>
        <v>0</v>
      </c>
      <c r="EB202" s="21">
        <f>EXP(-LN(2)/25)*EB201+(1-EXP(-LN(2)/25))/(LN(2)/25)*Calculateur!DW202*Calculateur!DY202*VLOOKUP('Données projet'!$B$14,Paramètres!$A$1:$I$89,3,0)*0.475*44/12</f>
        <v>0</v>
      </c>
      <c r="EC202" s="21">
        <f>EXP(-LN(2)/2)*EC201+(1-EXP(-LN(2)/2))/(LN(2)/2)*DW202*DZ202*VLOOKUP('Données projet'!$B$14,Paramètres!$A$1:$I$89,3,0)*0.475*44/12</f>
        <v>0</v>
      </c>
      <c r="ED202" s="22">
        <f t="shared" si="178"/>
        <v>0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553.99999999999955</v>
      </c>
      <c r="EK202" s="17">
        <f>EJ202*VLOOKUP('Données projet'!$B$15,Paramètres!$A$1:$I$89,3,0)*VLOOKUP('Données projet'!$B$15,Paramètres!$A$1:$I$89,5,0)</f>
        <v>331.29199999999975</v>
      </c>
      <c r="EL202" s="13">
        <f t="shared" si="179"/>
        <v>77.698110787752</v>
      </c>
      <c r="EM202" s="20">
        <f t="shared" si="180"/>
        <v>712.32444295533423</v>
      </c>
      <c r="EN202" s="59">
        <f t="shared" si="198"/>
        <v>1005.6577762886675</v>
      </c>
      <c r="EO202" s="59">
        <f ca="1">AVERAGE(OFFSET($EN$3,0,0,'Données projet'!$E$15+1,1))-AVERAGE(OFFSET($H$3,0,0,'Données projet'!$E$15+1,1))</f>
        <v>316.58509520829671</v>
      </c>
      <c r="EP202" s="59">
        <f t="shared" si="210"/>
        <v>240.71332110643596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>
        <f>EXP(-LN(2)/35)*EV201+(1-EXP(-LN(2)/35))/(LN(2)/35)*ER202*ES202*VLOOKUP('Données projet'!$B$15,Paramètres!$A$1:$I$89,3,0)*0.475*44/12</f>
        <v>8.919809242213482E-2</v>
      </c>
      <c r="EW202" s="21">
        <f>EXP(-LN(2)/25)*EW201+(1-EXP(-LN(2)/25))/(LN(2)/25)*Calculateur!ER202*Calculateur!ET202*VLOOKUP('Données projet'!$B$15,Paramètres!$A$1:$I$89,3,0)*0.475*44/12</f>
        <v>0.14086960478333729</v>
      </c>
      <c r="EX202" s="21">
        <f>EXP(-LN(2)/2)*EX201+(1-EXP(-LN(2)/2))/(LN(2)/2)*ER202*EU202*VLOOKUP('Données projet'!$B$15,Paramètres!$A$1:$I$89,3,0)*0.475*44/12</f>
        <v>8.0202699412834874E-25</v>
      </c>
      <c r="EY202" s="22">
        <f t="shared" si="181"/>
        <v>0.2300676972054721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497</v>
      </c>
      <c r="FF202" s="17">
        <f>FE202*VLOOKUP('Données projet'!$B$16,Paramètres!$A$1:$I$89,3,0)*VLOOKUP('Données projet'!$B$16,Paramètres!$A$1:$I$89,5,0)</f>
        <v>297.20600000000002</v>
      </c>
      <c r="FG202" s="13">
        <f t="shared" si="182"/>
        <v>70.590415164571112</v>
      </c>
      <c r="FH202" s="20">
        <f t="shared" si="183"/>
        <v>640.57875641162809</v>
      </c>
      <c r="FI202" s="59">
        <f t="shared" si="199"/>
        <v>933.91208974496135</v>
      </c>
      <c r="FJ202" s="59">
        <f ca="1">AVERAGE(OFFSET($FI$3,0,0,'Données projet'!$E$16+1,1))-AVERAGE(OFFSET($H$3,0,0,'Données projet'!$E$16+1,1))</f>
        <v>270.30888762640245</v>
      </c>
      <c r="FK202" s="59">
        <f t="shared" si="211"/>
        <v>202.23783851977691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>
        <f>EXP(-LN(2)/35)*FQ201+(1-EXP(-LN(2)/35))/(LN(2)/35)*FM202*FN202*VLOOKUP('Données projet'!$B$16,Paramètres!$A$1:$I$89,3,0)*0.475*44/12</f>
        <v>7.5378669652508237E-2</v>
      </c>
      <c r="FR202" s="21">
        <f>EXP(-LN(2)/25)*FR201+(1-EXP(-LN(2)/25))/(LN(2)/25)*Calculateur!FM202*Calculateur!FO202*VLOOKUP('Données projet'!$B$16,Paramètres!$A$1:$I$89,3,0)*0.475*44/12</f>
        <v>0.11344180173566183</v>
      </c>
      <c r="FS202" s="21">
        <f>EXP(-LN(2)/2)*FS201+(1-EXP(-LN(2)/2))/(LN(2)/2)*FM202*FP202*VLOOKUP('Données projet'!$B$16,Paramètres!$A$1:$I$89,3,0)*0.475*44/12</f>
        <v>6.760262251597766E-25</v>
      </c>
      <c r="FT202" s="22">
        <f t="shared" si="184"/>
        <v>0.18882047138817007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-5.1159076974727213E-13</v>
      </c>
      <c r="GA202" s="17">
        <f>FZ202*VLOOKUP('Données projet'!$B$17,Paramètres!$A$1:$I$89,3,0)*VLOOKUP('Données projet'!$B$17,Paramètres!$A$1:$I$89,5,0)</f>
        <v>-4.0702161641092972E-13</v>
      </c>
      <c r="GB202" s="13" t="e">
        <f t="shared" si="185"/>
        <v>#NUM!</v>
      </c>
      <c r="GC202" s="20" t="e">
        <f t="shared" si="186"/>
        <v>#NUM!</v>
      </c>
      <c r="GD202" s="59" t="e">
        <f t="shared" si="200"/>
        <v>#NUM!</v>
      </c>
      <c r="GE202" s="59">
        <f ca="1">AVERAGE(OFFSET($GD$3,0,0,'Données projet'!$E$17+1,1))-AVERAGE(OFFSET($H$3,0,0,'Données projet'!$E$17+1,1))</f>
        <v>260.20517190557814</v>
      </c>
      <c r="GF202" s="59">
        <f t="shared" si="212"/>
        <v>307.22009971147133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>
        <f>EXP(-LN(2)/35)*GL201+(1-EXP(-LN(2)/35))/(LN(2)/35)*GH202*GI202*VLOOKUP('Données projet'!$B$17,Paramètres!$A$1:$I$89,3,0)*0.475*44/12</f>
        <v>0.11483412306723904</v>
      </c>
      <c r="GM202" s="21">
        <f>EXP(-LN(2)/25)*GM201+(1-EXP(-LN(2)/25))/(LN(2)/25)*Calculateur!GH202*Calculateur!GJ202*VLOOKUP('Données projet'!$B$17,Paramètres!$A$1:$I$89,3,0)*0.475*44/12</f>
        <v>0.18932422057370824</v>
      </c>
      <c r="GN202" s="21">
        <f>EXP(-LN(2)/2)*GN201+(1-EXP(-LN(2)/2))/(LN(2)/2)*GH202*GK202*VLOOKUP('Données projet'!$B$17,Paramètres!$A$1:$I$89,3,0)*0.475*44/12</f>
        <v>8.7878448875376891E-25</v>
      </c>
      <c r="GO202" s="21">
        <f t="shared" si="187"/>
        <v>0.30415834364094729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5.6843418860808015E-14</v>
      </c>
      <c r="GV202" s="17">
        <f>GU202*VLOOKUP('Données projet'!$B$18,Paramètres!$A$1:$I$89,3,0)*VLOOKUP('Données projet'!$B$18,Paramètres!$A$1:$I$89,5,0)</f>
        <v>4.5224624045658861E-14</v>
      </c>
      <c r="GW202" s="13">
        <f t="shared" si="188"/>
        <v>7.4514601661523691E-13</v>
      </c>
      <c r="GX202" s="20">
        <f t="shared" si="189"/>
        <v>1.3765621991510601E-12</v>
      </c>
      <c r="GY202" s="59">
        <f t="shared" si="201"/>
        <v>293.33333333333468</v>
      </c>
      <c r="GZ202" s="59">
        <f ca="1">AVERAGE(OFFSET($GY$3,0,0,'Données projet'!$E$18+1,1))-AVERAGE(OFFSET($H$3,0,0,'Données projet'!$E$18+1,1))</f>
        <v>199.58763537752952</v>
      </c>
      <c r="HA202" s="59">
        <f t="shared" si="213"/>
        <v>242.62852778451929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>
        <f>EXP(-LN(2)/35)*HG201+(1-EXP(-LN(2)/35))/(LN(2)/35)*HC202*HD202*VLOOKUP('Données projet'!$B$18,Paramètres!$A$1:$I$89,3,0)*0.475*44/12</f>
        <v>0</v>
      </c>
      <c r="HH202" s="21">
        <f>EXP(-LN(2)/25)*HH201+(1-EXP(-LN(2)/25))/(LN(2)/25)*Calculateur!HC202*Calculateur!HE202*VLOOKUP('Données projet'!$B$18,Paramètres!$A$1:$I$89,3,0)*0.475*44/12</f>
        <v>9.4875935531468045E-2</v>
      </c>
      <c r="HI202" s="21">
        <f>EXP(-LN(2)/2)*HI201+(1-EXP(-LN(2)/2))/(LN(2)/2)*HC202*HF202*VLOOKUP('Données projet'!$B$18,Paramètres!$A$1:$I$89,3,0)*0.475*44/12</f>
        <v>3.9340559572168046E-25</v>
      </c>
      <c r="HJ202" s="22">
        <f t="shared" si="190"/>
        <v>9.4875935531468045E-2</v>
      </c>
    </row>
    <row r="203" spans="1:218" ht="15.75" thickBot="1" x14ac:dyDescent="0.3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177.83999999999958</v>
      </c>
      <c r="D203" s="11">
        <f t="shared" si="202"/>
        <v>44.841288830609059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1718.9432822011897</v>
      </c>
      <c r="H203" s="67">
        <f t="shared" si="192"/>
        <v>681.16991137997661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-2.2737367544323206E-13</v>
      </c>
      <c r="O203" s="13">
        <f>N203*VLOOKUP('Données projet'!$B$9,Paramètres!$A$1:$I$89,3,0)*VLOOKUP('Données projet'!$B$9,Paramètres!$A$1:$I$89,5,0)</f>
        <v>-1.2710188457276673E-13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255.5374979188561</v>
      </c>
      <c r="T203" s="59">
        <f t="shared" si="204"/>
        <v>343.10418468620901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0.1066150529845144</v>
      </c>
      <c r="AA203" s="21">
        <f>EXP(-LN(2)/25)*AA202+(1-EXP(-LN(2)/25))/(LN(2)/25)*Calculateur!V203*Calculateur!X203*VLOOKUP('Données projet'!$B$9,Paramètres!$A$1:$I$89,3,0)*0.475*44/12</f>
        <v>0.1432306516270728</v>
      </c>
      <c r="AB203" s="21">
        <f>EXP(-LN(2)/2)*AB202+(1-EXP(-LN(2)/2))/(LN(2)/2)*V203*Y203*VLOOKUP('Données projet'!$B$9,Paramètres!$A$1:$I$89,3,0)*0.475*44/12</f>
        <v>4.3754030747561575E-26</v>
      </c>
      <c r="AC203" s="22">
        <f t="shared" si="163"/>
        <v>0.2498457046115872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1.1368683772161603E-13</v>
      </c>
      <c r="AJ203" s="13">
        <f>AI203*VLOOKUP('Données projet'!$B$10,Paramètres!$A$1:$I$89,3,0)*VLOOKUP('Données projet'!$B$10,Paramètres!$A$1:$I$89,5,0)</f>
        <v>6.3550942286383367E-14</v>
      </c>
      <c r="AK203" s="13">
        <f t="shared" si="164"/>
        <v>1.0064464192543978E-12</v>
      </c>
      <c r="AL203" s="20">
        <f t="shared" si="165"/>
        <v>1.8635787380168604E-12</v>
      </c>
      <c r="AM203" s="59">
        <f t="shared" si="193"/>
        <v>293.33333333333519</v>
      </c>
      <c r="AN203" s="59">
        <f ca="1">AVERAGE(OFFSET($AM$3,0,0,'Données projet'!$E$10+1,1))-AVERAGE(OFFSET($H$3,0,0,'Données projet'!$E$10+1,1))</f>
        <v>224.7049802939942</v>
      </c>
      <c r="AO203" s="59">
        <f t="shared" si="205"/>
        <v>203.48513862195352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7.698127885767897E-2</v>
      </c>
      <c r="AV203" s="21">
        <f>EXP(-LN(2)/25)*AV202+(1-EXP(-LN(2)/25))/(LN(2)/25)*Calculateur!AQ203*Calculateur!AS203*VLOOKUP('Données projet'!$B$10,Paramètres!$A$1:$I$89,3,0)*0.475*44/12</f>
        <v>0.17521713018917578</v>
      </c>
      <c r="AW203" s="21">
        <f>EXP(-LN(2)/2)*AW202+(1-EXP(-LN(2)/2))/(LN(2)/2)*AQ203*AT203*VLOOKUP('Données projet'!$B$10,Paramètres!$A$1:$I$89,3,0)*0.475*44/12</f>
        <v>2.3162640662332963E-25</v>
      </c>
      <c r="AX203" s="21">
        <f t="shared" si="166"/>
        <v>0.25219840904685475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>
        <f>BD203*VLOOKUP('Données projet'!$B$11,Paramètres!$A$1:$I$89,3,0)*VLOOKUP('Données projet'!$B$11,Paramètres!$A$1:$I$89,5,0)</f>
        <v>0</v>
      </c>
      <c r="BF203" s="13" t="e">
        <f t="shared" si="167"/>
        <v>#NUM!</v>
      </c>
      <c r="BG203" s="20" t="e">
        <f t="shared" si="168"/>
        <v>#NUM!</v>
      </c>
      <c r="BH203" s="59" t="e">
        <f t="shared" si="194"/>
        <v>#NUM!</v>
      </c>
      <c r="BI203" s="59">
        <f ca="1">AVERAGE(OFFSET($BH$3,0,0,'Données projet'!$E$11+1,1))-AVERAGE(OFFSET($H$3,0,0,'Données projet'!$E$11+1,1))</f>
        <v>210.04871822652808</v>
      </c>
      <c r="BJ203" s="59">
        <f t="shared" si="206"/>
        <v>250.17540614049324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0.25190444910862525</v>
      </c>
      <c r="BQ203" s="21">
        <f>EXP(-LN(2)/25)*BQ202+(1-EXP(-LN(2)/25))/(LN(2)/25)*Calculateur!BL203*Calculateur!BN203*VLOOKUP('Données projet'!$B$11,Paramètres!$A$1:$I$89,3,0)*0.475*44/12</f>
        <v>0.2497585540040255</v>
      </c>
      <c r="BR203" s="21">
        <f>EXP(-LN(2)/2)*BR202+(1-EXP(-LN(2)/2))/(LN(2)/2)*BL203*BO203*VLOOKUP('Données projet'!$B$11,Paramètres!$A$1:$I$89,3,0)*0.475*44/12</f>
        <v>5.5715496527069954E-25</v>
      </c>
      <c r="BS203" s="22">
        <f t="shared" si="169"/>
        <v>0.50166300311265077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2.2737367544323206E-13</v>
      </c>
      <c r="BZ203" s="13">
        <f>BY203*VLOOKUP('Données projet'!$B$12,Paramètres!$A$1:$I$89,3,0)*VLOOKUP('Données projet'!$B$12,Paramètres!$A$1:$I$89,5,0)</f>
        <v>1.2414602679200471E-13</v>
      </c>
      <c r="CA203" s="13">
        <f t="shared" si="170"/>
        <v>1.8186582995804361E-12</v>
      </c>
      <c r="CB203" s="20">
        <f t="shared" si="171"/>
        <v>3.3837175350986671E-12</v>
      </c>
      <c r="CC203" s="59">
        <f t="shared" si="195"/>
        <v>293.33333333333672</v>
      </c>
      <c r="CD203" s="59">
        <f ca="1">AVERAGE(OFFSET($CC$3,0,0,'Données projet'!$E$12+1,1))-AVERAGE(OFFSET($H$3,0,0,'Données projet'!$E$12+1,1))</f>
        <v>168.72306536277267</v>
      </c>
      <c r="CE203" s="59">
        <f t="shared" si="207"/>
        <v>203.35476578922339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0.10496018712859387</v>
      </c>
      <c r="CL203" s="21">
        <f>EXP(-LN(2)/25)*CL202+(1-EXP(-LN(2)/25))/(LN(2)/25)*Calculateur!CG203*Calculateur!CI203*VLOOKUP('Données projet'!$B$12,Paramètres!$A$1:$I$89,3,0)*0.475*44/12</f>
        <v>0.206272315936776</v>
      </c>
      <c r="CM203" s="21">
        <f>EXP(-LN(2)/2)*CM202+(1-EXP(-LN(2)/2))/(LN(2)/2)*CG203*CJ203*VLOOKUP('Données projet'!$B$12,Paramètres!$A$1:$I$89,3,0)*0.475*44/12</f>
        <v>5.1760430357898979E-25</v>
      </c>
      <c r="CN203" s="22">
        <f t="shared" si="172"/>
        <v>0.31123250306536987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1277.6923076923067</v>
      </c>
      <c r="CU203" s="17">
        <f>CT203*VLOOKUP('Données projet'!$B$13,Paramètres!$A$1:$I$89,3,0)*VLOOKUP('Données projet'!$B$13,Paramètres!$A$1:$I$89,5,0)</f>
        <v>614.5699999999996</v>
      </c>
      <c r="CV203" s="13">
        <f t="shared" si="173"/>
        <v>134.13240620831178</v>
      </c>
      <c r="CW203" s="20">
        <f t="shared" si="174"/>
        <v>1303.9900241461421</v>
      </c>
      <c r="CX203" s="59">
        <f t="shared" si="196"/>
        <v>1597.3233574794754</v>
      </c>
      <c r="CY203" s="59">
        <f ca="1">AVERAGE(OFFSET($CX$3,0,0,'Données projet'!$E$13+1,1))-AVERAGE(OFFSET($H$3,0,0,'Données projet'!$E$13+1,1))</f>
        <v>304.15237106473313</v>
      </c>
      <c r="CZ203" s="59">
        <f t="shared" si="208"/>
        <v>120.85458928724336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>
        <f>EXP(-LN(2)/35)*DF202+(1-EXP(-LN(2)/35))/(LN(2)/35)*DB203*DC203*VLOOKUP('Données projet'!$B$13,Paramètres!$A$1:$I$89,3,0)*0.475*44/12</f>
        <v>0</v>
      </c>
      <c r="DG203" s="21">
        <f>EXP(-LN(2)/25)*DG202+(1-EXP(-LN(2)/25))/(LN(2)/25)*Calculateur!DB203*Calculateur!DD203*VLOOKUP('Données projet'!$B$13,Paramètres!$A$1:$I$89,3,0)*0.475*44/12</f>
        <v>0</v>
      </c>
      <c r="DH203" s="21">
        <f>EXP(-LN(2)/2)*DH202+(1-EXP(-LN(2)/2))/(LN(2)/2)*DB203*DE203*VLOOKUP('Données projet'!$B$13,Paramètres!$A$1:$I$89,3,0)*0.475*44/12</f>
        <v>0</v>
      </c>
      <c r="DI203" s="22">
        <f t="shared" si="175"/>
        <v>0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425.38461538461536</v>
      </c>
      <c r="DP203" s="17">
        <f>DO203*VLOOKUP('Données projet'!$B$14,Paramètres!$A$1:$I$89,3,0)*VLOOKUP('Données projet'!$B$14,Paramètres!$A$1:$I$89,5,0)</f>
        <v>204.60999999999999</v>
      </c>
      <c r="DQ203" s="13">
        <f t="shared" si="176"/>
        <v>50.755958577224398</v>
      </c>
      <c r="DR203" s="20">
        <f t="shared" si="177"/>
        <v>444.76237785533249</v>
      </c>
      <c r="DS203" s="59">
        <f t="shared" si="197"/>
        <v>738.09571118866575</v>
      </c>
      <c r="DT203" s="59">
        <f ca="1">AVERAGE(OFFSET($DS$3,0,0,'Données projet'!$E$14+1,1))-AVERAGE(OFFSET($H$3,0,0,'Données projet'!$E$14+1,1))</f>
        <v>91.053246648097399</v>
      </c>
      <c r="DU203" s="59">
        <f t="shared" si="209"/>
        <v>64.716270355703955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>
        <f>EXP(-LN(2)/35)*EA202+(1-EXP(-LN(2)/35))/(LN(2)/35)*DW203*DX203*VLOOKUP('Données projet'!$B$14,Paramètres!$A$1:$I$89,3,0)*0.475*44/12</f>
        <v>0</v>
      </c>
      <c r="EB203" s="21">
        <f>EXP(-LN(2)/25)*EB202+(1-EXP(-LN(2)/25))/(LN(2)/25)*Calculateur!DW203*Calculateur!DY203*VLOOKUP('Données projet'!$B$14,Paramètres!$A$1:$I$89,3,0)*0.475*44/12</f>
        <v>0</v>
      </c>
      <c r="EC203" s="21">
        <f>EXP(-LN(2)/2)*EC202+(1-EXP(-LN(2)/2))/(LN(2)/2)*DW203*DZ203*VLOOKUP('Données projet'!$B$14,Paramètres!$A$1:$I$89,3,0)*0.475*44/12</f>
        <v>0</v>
      </c>
      <c r="ED203" s="22">
        <f t="shared" si="178"/>
        <v>0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553.99999999999955</v>
      </c>
      <c r="EK203" s="17">
        <f>EJ203*VLOOKUP('Données projet'!$B$15,Paramètres!$A$1:$I$89,3,0)*VLOOKUP('Données projet'!$B$15,Paramètres!$A$1:$I$89,5,0)</f>
        <v>331.29199999999975</v>
      </c>
      <c r="EL203" s="13">
        <f t="shared" si="179"/>
        <v>77.698110787752</v>
      </c>
      <c r="EM203" s="20">
        <f t="shared" si="180"/>
        <v>712.32444295533423</v>
      </c>
      <c r="EN203" s="59">
        <f t="shared" si="198"/>
        <v>1005.6577762886675</v>
      </c>
      <c r="EO203" s="59">
        <f ca="1">AVERAGE(OFFSET($EN$3,0,0,'Données projet'!$E$15+1,1))-AVERAGE(OFFSET($H$3,0,0,'Données projet'!$E$15+1,1))</f>
        <v>316.58509520829671</v>
      </c>
      <c r="EP203" s="59">
        <f t="shared" si="210"/>
        <v>240.71332110643596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>
        <f>EXP(-LN(2)/35)*EV202+(1-EXP(-LN(2)/35))/(LN(2)/35)*ER203*ES203*VLOOKUP('Données projet'!$B$15,Paramètres!$A$1:$I$89,3,0)*0.475*44/12</f>
        <v>8.7448972235201039E-2</v>
      </c>
      <c r="EW203" s="21">
        <f>EXP(-LN(2)/25)*EW202+(1-EXP(-LN(2)/25))/(LN(2)/25)*Calculateur!ER203*Calculateur!ET203*VLOOKUP('Données projet'!$B$15,Paramètres!$A$1:$I$89,3,0)*0.475*44/12</f>
        <v>0.13701751803252638</v>
      </c>
      <c r="EX203" s="21">
        <f>EXP(-LN(2)/2)*EX202+(1-EXP(-LN(2)/2))/(LN(2)/2)*ER203*EU203*VLOOKUP('Données projet'!$B$15,Paramètres!$A$1:$I$89,3,0)*0.475*44/12</f>
        <v>5.6711872624281872E-25</v>
      </c>
      <c r="EY203" s="22">
        <f t="shared" si="181"/>
        <v>0.22446649026772741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497</v>
      </c>
      <c r="FF203" s="17">
        <f>FE203*VLOOKUP('Données projet'!$B$16,Paramètres!$A$1:$I$89,3,0)*VLOOKUP('Données projet'!$B$16,Paramètres!$A$1:$I$89,5,0)</f>
        <v>297.20600000000002</v>
      </c>
      <c r="FG203" s="13">
        <f t="shared" si="182"/>
        <v>70.590415164571112</v>
      </c>
      <c r="FH203" s="20">
        <f t="shared" si="183"/>
        <v>640.57875641162809</v>
      </c>
      <c r="FI203" s="59">
        <f t="shared" si="199"/>
        <v>933.91208974496135</v>
      </c>
      <c r="FJ203" s="59">
        <f ca="1">AVERAGE(OFFSET($FI$3,0,0,'Données projet'!$E$16+1,1))-AVERAGE(OFFSET($H$3,0,0,'Données projet'!$E$16+1,1))</f>
        <v>270.30888762640245</v>
      </c>
      <c r="FK203" s="59">
        <f t="shared" si="211"/>
        <v>202.23783851977691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>
        <f>EXP(-LN(2)/35)*FQ202+(1-EXP(-LN(2)/35))/(LN(2)/35)*FM203*FN203*VLOOKUP('Données projet'!$B$16,Paramètres!$A$1:$I$89,3,0)*0.475*44/12</f>
        <v>7.390053991707124E-2</v>
      </c>
      <c r="FR203" s="21">
        <f>EXP(-LN(2)/25)*FR202+(1-EXP(-LN(2)/25))/(LN(2)/25)*Calculateur!FM203*Calculateur!FO203*VLOOKUP('Données projet'!$B$16,Paramètres!$A$1:$I$89,3,0)*0.475*44/12</f>
        <v>0.11033972970155508</v>
      </c>
      <c r="FS203" s="21">
        <f>EXP(-LN(2)/2)*FS202+(1-EXP(-LN(2)/2))/(LN(2)/2)*FM203*FP203*VLOOKUP('Données projet'!$B$16,Paramètres!$A$1:$I$89,3,0)*0.475*44/12</f>
        <v>4.7802272807042186E-25</v>
      </c>
      <c r="FT203" s="22">
        <f t="shared" si="184"/>
        <v>0.18424026961862633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-5.1159076974727213E-13</v>
      </c>
      <c r="GA203" s="17">
        <f>FZ203*VLOOKUP('Données projet'!$B$17,Paramètres!$A$1:$I$89,3,0)*VLOOKUP('Données projet'!$B$17,Paramètres!$A$1:$I$89,5,0)</f>
        <v>-4.0702161641092972E-13</v>
      </c>
      <c r="GB203" s="13" t="e">
        <f t="shared" si="185"/>
        <v>#NUM!</v>
      </c>
      <c r="GC203" s="20" t="e">
        <f t="shared" si="186"/>
        <v>#NUM!</v>
      </c>
      <c r="GD203" s="59" t="e">
        <f t="shared" si="200"/>
        <v>#NUM!</v>
      </c>
      <c r="GE203" s="59">
        <f ca="1">AVERAGE(OFFSET($GD$3,0,0,'Données projet'!$E$17+1,1))-AVERAGE(OFFSET($H$3,0,0,'Données projet'!$E$17+1,1))</f>
        <v>260.20517190557814</v>
      </c>
      <c r="GF203" s="59">
        <f t="shared" si="212"/>
        <v>307.22009971147133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>
        <f>EXP(-LN(2)/35)*GL202+(1-EXP(-LN(2)/35))/(LN(2)/35)*GH203*GI203*VLOOKUP('Données projet'!$B$17,Paramètres!$A$1:$I$89,3,0)*0.475*44/12</f>
        <v>0.11258229595578949</v>
      </c>
      <c r="GM203" s="21">
        <f>EXP(-LN(2)/25)*GM202+(1-EXP(-LN(2)/25))/(LN(2)/25)*Calculateur!GH203*Calculateur!GJ203*VLOOKUP('Données projet'!$B$17,Paramètres!$A$1:$I$89,3,0)*0.475*44/12</f>
        <v>0.18414713980599212</v>
      </c>
      <c r="GN203" s="21">
        <f>EXP(-LN(2)/2)*GN202+(1-EXP(-LN(2)/2))/(LN(2)/2)*GH203*GK203*VLOOKUP('Données projet'!$B$17,Paramètres!$A$1:$I$89,3,0)*0.475*44/12</f>
        <v>6.2139447119934331E-25</v>
      </c>
      <c r="GO203" s="21">
        <f t="shared" si="187"/>
        <v>0.29672943576178162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5.6843418860808015E-14</v>
      </c>
      <c r="GV203" s="17">
        <f>GU203*VLOOKUP('Données projet'!$B$18,Paramètres!$A$1:$I$89,3,0)*VLOOKUP('Données projet'!$B$18,Paramètres!$A$1:$I$89,5,0)</f>
        <v>4.5224624045658861E-14</v>
      </c>
      <c r="GW203" s="13">
        <f t="shared" si="188"/>
        <v>7.4514601661523691E-13</v>
      </c>
      <c r="GX203" s="20">
        <f t="shared" si="189"/>
        <v>1.3765621991510601E-12</v>
      </c>
      <c r="GY203" s="59">
        <f t="shared" si="201"/>
        <v>293.33333333333468</v>
      </c>
      <c r="GZ203" s="59">
        <f ca="1">AVERAGE(OFFSET($GY$3,0,0,'Données projet'!$E$18+1,1))-AVERAGE(OFFSET($H$3,0,0,'Données projet'!$E$18+1,1))</f>
        <v>199.58763537752952</v>
      </c>
      <c r="HA203" s="59">
        <f t="shared" si="213"/>
        <v>242.62852778451929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>
        <f>EXP(-LN(2)/35)*HG202+(1-EXP(-LN(2)/35))/(LN(2)/35)*HC203*HD203*VLOOKUP('Données projet'!$B$18,Paramètres!$A$1:$I$89,3,0)*0.475*44/12</f>
        <v>0</v>
      </c>
      <c r="HH203" s="21">
        <f>EXP(-LN(2)/25)*HH202+(1-EXP(-LN(2)/25))/(LN(2)/25)*Calculateur!HC203*Calculateur!HE203*VLOOKUP('Données projet'!$B$18,Paramètres!$A$1:$I$89,3,0)*0.475*44/12</f>
        <v>9.2281548085051443E-2</v>
      </c>
      <c r="HI203" s="21">
        <f>EXP(-LN(2)/2)*HI202+(1-EXP(-LN(2)/2))/(LN(2)/2)*HC203*HF203*VLOOKUP('Données projet'!$B$18,Paramètres!$A$1:$I$89,3,0)*0.475*44/12</f>
        <v>2.7817976449153368E-25</v>
      </c>
      <c r="HJ203" s="22">
        <f t="shared" si="190"/>
        <v>9.2281548085051443E-2</v>
      </c>
    </row>
    <row r="204" spans="1:218" ht="15.75" thickBot="1" x14ac:dyDescent="0.3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.75" thickBot="1" x14ac:dyDescent="0.3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1.3477630745024085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1.3009230512021859</v>
      </c>
      <c r="BA205" s="82">
        <f>EXP(LN('Données projet'!B88)/'Données projet'!A88)</f>
        <v>1.4309690811052556</v>
      </c>
      <c r="BV205" s="82">
        <f>EXP(LN('Données projet'!B114)/'Données projet'!A114)</f>
        <v>1.3682730833261529</v>
      </c>
      <c r="CQ205" s="82">
        <f>EXP(LN('Données projet'!B140)/'Données projet'!A140)</f>
        <v>1.1452412085359691</v>
      </c>
      <c r="DL205" s="82">
        <f>EXP(LN('Données projet'!B166)/'Données projet'!A166)</f>
        <v>1.1344495846045681</v>
      </c>
      <c r="EG205" s="82">
        <f>EXP(LN('Données projet'!B192)/'Données projet'!A192)</f>
        <v>1.2625985704272813</v>
      </c>
      <c r="FB205" s="82">
        <f>EXP(LN('Données projet'!B218)/'Données projet'!A218)</f>
        <v>1.2501898326862695</v>
      </c>
      <c r="FW205" s="82">
        <f>EXP(LN('Données projet'!B244)/'Données projet'!A244)</f>
        <v>1.2709816152101407</v>
      </c>
      <c r="GR205" s="82">
        <f>EXP(LN('Données projet'!B270)/'Données projet'!A270)</f>
        <v>1.2557008269631629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RowHeight="15" x14ac:dyDescent="0.25"/>
  <cols>
    <col min="1" max="1" width="23.42578125" style="4" bestFit="1" customWidth="1"/>
    <col min="2" max="2" width="27.7109375" style="4" bestFit="1" customWidth="1"/>
    <col min="3" max="3" width="11.85546875" style="4" bestFit="1" customWidth="1"/>
    <col min="4" max="4" width="40" style="4" bestFit="1" customWidth="1"/>
    <col min="5" max="5" width="11.85546875" style="4" bestFit="1" customWidth="1"/>
    <col min="6" max="6" width="13.7109375" style="4" bestFit="1" customWidth="1"/>
    <col min="7" max="7" width="11.42578125" style="4" bestFit="1" customWidth="1"/>
    <col min="8" max="8" width="39" style="4" bestFit="1" customWidth="1"/>
    <col min="9" max="9" width="16.7109375" style="4" customWidth="1"/>
    <col min="10" max="14" width="11.42578125" style="4"/>
    <col min="15" max="15" width="23.42578125" style="4" bestFit="1" customWidth="1"/>
    <col min="16" max="16384" width="11.42578125" style="4"/>
  </cols>
  <sheetData>
    <row r="1" spans="1:16" ht="45.75" thickBot="1" x14ac:dyDescent="0.3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25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1" t="s">
        <v>238</v>
      </c>
      <c r="P2" s="121">
        <v>0</v>
      </c>
    </row>
    <row r="3" spans="1:16" ht="15.75" thickBot="1" x14ac:dyDescent="0.3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2"/>
      <c r="P3" s="128">
        <v>0.2</v>
      </c>
    </row>
    <row r="4" spans="1:16" ht="15.75" thickBot="1" x14ac:dyDescent="0.3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25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1" t="s">
        <v>237</v>
      </c>
      <c r="P5" s="121">
        <v>0</v>
      </c>
    </row>
    <row r="6" spans="1:16" x14ac:dyDescent="0.25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3"/>
      <c r="P6" s="129">
        <v>0.05</v>
      </c>
    </row>
    <row r="7" spans="1:16" x14ac:dyDescent="0.25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3"/>
      <c r="P7" s="129">
        <v>0.1</v>
      </c>
    </row>
    <row r="8" spans="1:16" ht="15.75" thickBot="1" x14ac:dyDescent="0.3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2"/>
      <c r="P8" s="128">
        <v>0.15</v>
      </c>
    </row>
    <row r="9" spans="1:16" ht="15.75" thickBot="1" x14ac:dyDescent="0.3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25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1" t="s">
        <v>236</v>
      </c>
      <c r="P10" s="121">
        <v>0</v>
      </c>
    </row>
    <row r="11" spans="1:16" ht="15.75" thickBot="1" x14ac:dyDescent="0.3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2"/>
      <c r="P11" s="128">
        <v>0.1</v>
      </c>
    </row>
    <row r="12" spans="1:16" x14ac:dyDescent="0.25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25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25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25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25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25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25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25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25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25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25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25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25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25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25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25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25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25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25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25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25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25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25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25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25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25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25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25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25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25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25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25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25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25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25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25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25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25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25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25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25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25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25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25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25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25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25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25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25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25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25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25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25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25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25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25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25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25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25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25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25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25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25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25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25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25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25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25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25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25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25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25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25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25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25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25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25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.75" thickBot="1" x14ac:dyDescent="0.3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25">
      <c r="A93" s="122" t="s">
        <v>208</v>
      </c>
    </row>
    <row r="94" spans="1:14" x14ac:dyDescent="0.25">
      <c r="A94" s="122" t="s">
        <v>209</v>
      </c>
    </row>
    <row r="95" spans="1:14" x14ac:dyDescent="0.25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2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7" thickBot="1" x14ac:dyDescent="0.45">
      <c r="A2" s="272" t="s">
        <v>271</v>
      </c>
      <c r="B2" s="273"/>
      <c r="C2" s="273"/>
      <c r="D2" s="273"/>
      <c r="E2" s="273"/>
      <c r="F2" s="273"/>
      <c r="G2" s="273"/>
      <c r="H2" s="273"/>
      <c r="I2" s="273"/>
      <c r="J2" s="273"/>
      <c r="K2" s="273"/>
      <c r="L2" s="274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.75" thickBot="1" x14ac:dyDescent="0.3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5.75" thickBot="1" x14ac:dyDescent="0.3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25">
      <c r="A6" s="145" t="str">
        <f>IF('Données projet'!$B$9="","",'Données projet'!$B$9)</f>
        <v>Douglas</v>
      </c>
      <c r="B6" s="146">
        <f>'Données projet'!D9</f>
        <v>9.9130000000000003</v>
      </c>
      <c r="C6" s="147">
        <f ca="1">IF(OR('Données projet'!B9="",'Données projet'!C9="",'Données projet'!C9=0%),0,Calculateur!S3)</f>
        <v>255.5374979188561</v>
      </c>
      <c r="D6" s="147">
        <f>IF(OR('Données projet'!B9="",'Données projet'!C9="",'Données projet'!C9=0%),0,Calculateur!T3)</f>
        <v>343.10418468620901</v>
      </c>
      <c r="E6" s="147">
        <f ca="1">MIN(C6,D6)</f>
        <v>255.5374979188561</v>
      </c>
      <c r="F6" s="147">
        <f ca="1">E6*B6</f>
        <v>2533.1432168696206</v>
      </c>
      <c r="G6" s="147">
        <f ca="1">F6*(100%-'Données projet'!$C$24)*(100%-'Données projet'!$C$25)*(100%-'Données projet'!$C$26)*(100%-'Données projet'!$C$27)</f>
        <v>2279.8288951826585</v>
      </c>
      <c r="H6" s="148">
        <f>IF(OR('Données projet'!B9="",'Données projet'!C9="",'Données projet'!C9=0%),0,AVERAGE(Calculateur!$AC$3:$AC$33)*B6)</f>
        <v>105.87485550677648</v>
      </c>
      <c r="I6" s="149">
        <f>H6*(100%-'Données projet'!$C$24)*(100%-'Données projet'!$C$25)*(100%-'Données projet'!$C$26)*(100%-'Données projet'!$C$27)</f>
        <v>95.287369956098843</v>
      </c>
      <c r="J6" s="150">
        <f>IF(OR('Données projet'!B9="",'Données projet'!C9="",'Données projet'!C9=0%),0,SUM(Calculateur!$V$3:$V$33)*VLOOKUP('Données projet'!$B$9,Paramètres!$A$1:$I$89,9,0)*B6)</f>
        <v>757.10156230769212</v>
      </c>
      <c r="K6" s="151">
        <f>J6*(100%-'Données projet'!$C$24)*(100%-'Données projet'!$C$25)*(100%-'Données projet'!$C$26)*(100%-'Données projet'!$C$27)</f>
        <v>681.39140607692298</v>
      </c>
      <c r="L6" s="152">
        <f ca="1">G6+I6+K6</f>
        <v>3056.5076712156801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25">
      <c r="A7" s="153" t="str">
        <f>IF('Données projet'!$B$10="","",'Données projet'!$B$10)</f>
        <v>Douglas</v>
      </c>
      <c r="B7" s="154">
        <f>'Données projet'!D10</f>
        <v>11.206000000000001</v>
      </c>
      <c r="C7" s="147">
        <f ca="1">IF(OR('Données projet'!B10="",'Données projet'!C10="",'Données projet'!C10=0%),0,Calculateur!AN3)</f>
        <v>224.7049802939942</v>
      </c>
      <c r="D7" s="147">
        <f>IF(OR('Données projet'!B10="",'Données projet'!C10="",'Données projet'!C10=0%),0,Calculateur!AO3)</f>
        <v>203.48513862195352</v>
      </c>
      <c r="E7" s="147">
        <f t="shared" ref="E7:E15" ca="1" si="0">MIN(C7,D7)</f>
        <v>203.48513862195352</v>
      </c>
      <c r="F7" s="147">
        <f t="shared" ref="F7:F15" ca="1" si="1">E7*B7</f>
        <v>2280.2544633976113</v>
      </c>
      <c r="G7" s="147">
        <f ca="1">F7*(100%-'Données projet'!$C$24)*(100%-'Données projet'!$C$25)*(100%-'Données projet'!$C$26)*(100%-'Données projet'!$C$27)</f>
        <v>2052.2290170578503</v>
      </c>
      <c r="H7" s="155">
        <f>IF(OR('Données projet'!B10="",'Données projet'!C10="",'Données projet'!C10=0%),0,AVERAGE(Calculateur!$AX$3:$AX$33)*B7)</f>
        <v>89.294798222936535</v>
      </c>
      <c r="I7" s="149">
        <f>H7*(100%-'Données projet'!$C$24)*(100%-'Données projet'!$C$25)*(100%-'Données projet'!$C$26)*(100%-'Données projet'!$C$27)</f>
        <v>80.365318400642877</v>
      </c>
      <c r="J7" s="150">
        <f>IF(OR('Données projet'!B10="",'Données projet'!C10="",'Données projet'!C10=0%),0,SUM(Calculateur!$AQ$3:$AQ$33)*VLOOKUP('Données projet'!$B$10,Paramètres!$A$1:$I$89,9,0)*B7)</f>
        <v>569.00016599999992</v>
      </c>
      <c r="K7" s="151">
        <f>J7*(100%-'Données projet'!$C$24)*(100%-'Données projet'!$C$25)*(100%-'Données projet'!$C$26)*(100%-'Données projet'!$C$27)</f>
        <v>512.10014939999996</v>
      </c>
      <c r="L7" s="152">
        <f t="shared" ref="L7:L15" ca="1" si="2">G7+I7+K7</f>
        <v>2644.6944848584935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25">
      <c r="A8" s="153" t="str">
        <f>IF('Données projet'!$B$11="","",'Données projet'!$B$11)</f>
        <v>Mélèze hybride</v>
      </c>
      <c r="B8" s="154">
        <f>'Données projet'!D11</f>
        <v>5.1719999999999997</v>
      </c>
      <c r="C8" s="147">
        <f ca="1">IF(OR('Données projet'!B11="",'Données projet'!C11="",'Données projet'!C11=0%),0,Calculateur!BI3)</f>
        <v>210.04871822652808</v>
      </c>
      <c r="D8" s="147">
        <f>IF(OR('Données projet'!B11="",'Données projet'!C11="",'Données projet'!C11=0%),0,Calculateur!BJ3)</f>
        <v>250.17540614049324</v>
      </c>
      <c r="E8" s="147">
        <f t="shared" ca="1" si="0"/>
        <v>210.04871822652808</v>
      </c>
      <c r="F8" s="147">
        <f t="shared" ca="1" si="1"/>
        <v>1086.3719706676031</v>
      </c>
      <c r="G8" s="147">
        <f ca="1">F8*(100%-'Données projet'!$C$24)*(100%-'Données projet'!$C$25)*(100%-'Données projet'!$C$26)*(100%-'Données projet'!$C$27)</f>
        <v>977.7347736008428</v>
      </c>
      <c r="H8" s="155">
        <f>IF(OR('Données projet'!B11="",'Données projet'!C11="",'Données projet'!C11=0%),0,AVERAGE(Calculateur!$BS$3:$BS$33)*B8)</f>
        <v>49.173462654946114</v>
      </c>
      <c r="I8" s="149">
        <f>H8*(100%-'Données projet'!$C$24)*(100%-'Données projet'!$C$25)*(100%-'Données projet'!$C$26)*(100%-'Données projet'!$C$27)</f>
        <v>44.256116389451506</v>
      </c>
      <c r="J8" s="150">
        <f>IF(OR('Données projet'!B11="",'Données projet'!C11="",'Données projet'!C11=0%),0,SUM(Calculateur!$BL$3:$BL$33)*VLOOKUP('Données projet'!$B$11,Paramètres!$A$1:$I$89,9,0)*B8)</f>
        <v>366.95339999999999</v>
      </c>
      <c r="K8" s="151">
        <f>J8*(100%-'Données projet'!$C$24)*(100%-'Données projet'!$C$25)*(100%-'Données projet'!$C$26)*(100%-'Données projet'!$C$27)</f>
        <v>330.25806</v>
      </c>
      <c r="L8" s="152">
        <f t="shared" ca="1" si="2"/>
        <v>1352.2489499902945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25">
      <c r="A9" s="153" t="str">
        <f>IF('Données projet'!$B$12="","",'Données projet'!$B$12)</f>
        <v>Mélèze hybride</v>
      </c>
      <c r="B9" s="154">
        <f>'Données projet'!D12</f>
        <v>6.0340000000000007</v>
      </c>
      <c r="C9" s="147">
        <f ca="1">IF(OR('Données projet'!B12="",'Données projet'!C12="",'Données projet'!C12=0%),0,Calculateur!CD3)</f>
        <v>168.72306536277267</v>
      </c>
      <c r="D9" s="147">
        <f>IF(OR('Données projet'!B12="",'Données projet'!C12="",'Données projet'!C12=0%),0,Calculateur!CE3)</f>
        <v>203.35476578922339</v>
      </c>
      <c r="E9" s="147">
        <f t="shared" ca="1" si="0"/>
        <v>168.72306536277267</v>
      </c>
      <c r="F9" s="147">
        <f t="shared" ca="1" si="1"/>
        <v>1018.0749763989704</v>
      </c>
      <c r="G9" s="147">
        <f ca="1">F9*(100%-'Données projet'!$C$24)*(100%-'Données projet'!$C$25)*(100%-'Données projet'!$C$26)*(100%-'Données projet'!$C$27)</f>
        <v>916.26747875907336</v>
      </c>
      <c r="H9" s="155">
        <f>IF(OR('Données projet'!B12="",'Données projet'!C12="",'Données projet'!C12=0%),0,AVERAGE(Calculateur!$CN$3:$CN$33)*B9)</f>
        <v>41.570031560942695</v>
      </c>
      <c r="I9" s="149">
        <f>H9*(100%-'Données projet'!$C$24)*(100%-'Données projet'!$C$25)*(100%-'Données projet'!$C$26)*(100%-'Données projet'!$C$27)</f>
        <v>37.413028404848426</v>
      </c>
      <c r="J9" s="150">
        <f>IF(OR('Données projet'!B12="",'Données projet'!C12="",'Données projet'!C12=0%),0,SUM(Calculateur!$CG$3:$CG$33)*VLOOKUP('Données projet'!$B$12,Paramètres!$A$1:$I$89,9,0)*B9)</f>
        <v>329.51674000000003</v>
      </c>
      <c r="K9" s="151">
        <f>J9*(100%-'Données projet'!$C$24)*(100%-'Données projet'!$C$25)*(100%-'Données projet'!$C$26)*(100%-'Données projet'!$C$27)</f>
        <v>296.56506600000006</v>
      </c>
      <c r="L9" s="152">
        <f t="shared" ca="1" si="2"/>
        <v>1250.2455731639218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25">
      <c r="A10" s="153" t="str">
        <f>IF('Données projet'!$B$13="","",'Données projet'!$B$13)</f>
        <v>Sapin méditerranéen</v>
      </c>
      <c r="B10" s="154">
        <f>'Données projet'!D13</f>
        <v>4.3100000000000005</v>
      </c>
      <c r="C10" s="147">
        <f ca="1">IF(OR('Données projet'!B13="",'Données projet'!C13="",'Données projet'!C13=0%),0,Calculateur!CY3)</f>
        <v>304.15237106473313</v>
      </c>
      <c r="D10" s="147">
        <f>IF(OR('Données projet'!B13="",'Données projet'!C13="",'Données projet'!C13=0%),0,Calculateur!CZ3)</f>
        <v>120.85458928724336</v>
      </c>
      <c r="E10" s="147">
        <f t="shared" ca="1" si="0"/>
        <v>120.85458928724336</v>
      </c>
      <c r="F10" s="147">
        <f t="shared" ca="1" si="1"/>
        <v>520.88327982801889</v>
      </c>
      <c r="G10" s="147">
        <f ca="1">F10*(100%-'Données projet'!$C$24)*(100%-'Données projet'!$C$25)*(100%-'Données projet'!$C$26)*(100%-'Données projet'!$C$27)</f>
        <v>468.79495184521699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ca="1" si="2"/>
        <v>468.79495184521699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25">
      <c r="A11" s="153" t="str">
        <f>IF('Données projet'!$B$14="","",'Données projet'!$B$14)</f>
        <v>Sapin méditerranéen</v>
      </c>
      <c r="B11" s="154">
        <f>'Données projet'!D14</f>
        <v>2.1550000000000002</v>
      </c>
      <c r="C11" s="147">
        <f ca="1">IF(OR('Données projet'!B14="",'Données projet'!C14="",'Données projet'!C14=0%),0,Calculateur!DT3)</f>
        <v>91.053246648097399</v>
      </c>
      <c r="D11" s="147">
        <f>IF(OR('Données projet'!B14="",'Données projet'!C14="",'Données projet'!C14=0%),0,Calculateur!DU3)</f>
        <v>64.716270355703955</v>
      </c>
      <c r="E11" s="147">
        <f t="shared" ca="1" si="0"/>
        <v>64.716270355703955</v>
      </c>
      <c r="F11" s="147">
        <f t="shared" ca="1" si="1"/>
        <v>139.46356261654205</v>
      </c>
      <c r="G11" s="147">
        <f ca="1">F11*(100%-'Données projet'!$C$24)*(100%-'Données projet'!$C$25)*(100%-'Données projet'!$C$26)*(100%-'Données projet'!$C$27)</f>
        <v>125.51720635488785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ca="1" si="2"/>
        <v>125.51720635488785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25">
      <c r="A12" s="153" t="str">
        <f>IF('Données projet'!$B$15="","",'Données projet'!$B$15)</f>
        <v>Pin laricio</v>
      </c>
      <c r="B12" s="154">
        <f>'Données projet'!D15</f>
        <v>0.8620000000000001</v>
      </c>
      <c r="C12" s="147">
        <f ca="1">IF(OR('Données projet'!B15="",'Données projet'!C15="",'Données projet'!C15=0%),0,Calculateur!EO3)</f>
        <v>316.58509520829671</v>
      </c>
      <c r="D12" s="147">
        <f>IF(OR('Données projet'!B15="",'Données projet'!C15="",'Données projet'!C15=0%),0,Calculateur!EP3)</f>
        <v>240.71332110643596</v>
      </c>
      <c r="E12" s="147">
        <f t="shared" ca="1" si="0"/>
        <v>240.71332110643596</v>
      </c>
      <c r="F12" s="147">
        <f t="shared" ca="1" si="1"/>
        <v>207.49488279374782</v>
      </c>
      <c r="G12" s="147">
        <f ca="1">F12*(100%-'Données projet'!$C$24)*(100%-'Données projet'!$C$25)*(100%-'Données projet'!$C$26)*(100%-'Données projet'!$C$27)</f>
        <v>186.74539451437303</v>
      </c>
      <c r="H12" s="155">
        <f>IF(OR('Données projet'!B15="",'Données projet'!C15="",'Données projet'!C15=0%),0,AVERAGE(Calculateur!$EY$3:$EY$33)*B12)</f>
        <v>3.2775072571076405</v>
      </c>
      <c r="I12" s="149">
        <f>H12*(100%-'Données projet'!$C$24)*(100%-'Données projet'!$C$25)*(100%-'Données projet'!$C$26)*(100%-'Données projet'!$C$27)</f>
        <v>2.9497565313968765</v>
      </c>
      <c r="J12" s="150">
        <f>IF(OR('Données projet'!B15="",'Données projet'!C15="",'Données projet'!C15=0%),0,SUM(Calculateur!$ER$3:$ER$33)*VLOOKUP('Données projet'!$B$15,Paramètres!$A$1:$I$89,9,0)*B12)</f>
        <v>37.066000000000003</v>
      </c>
      <c r="K12" s="151">
        <f>J12*(100%-'Données projet'!$C$24)*(100%-'Données projet'!$C$25)*(100%-'Données projet'!$C$26)*(100%-'Données projet'!$C$27)</f>
        <v>33.359400000000001</v>
      </c>
      <c r="L12" s="152">
        <f t="shared" ca="1" si="2"/>
        <v>223.0545510457699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25">
      <c r="A13" s="153" t="str">
        <f>IF('Données projet'!$B$16="","",'Données projet'!$B$16)</f>
        <v>Pin laricio</v>
      </c>
      <c r="B13" s="154">
        <f>'Données projet'!D16</f>
        <v>2.1550000000000002</v>
      </c>
      <c r="C13" s="147">
        <f ca="1">IF(OR('Données projet'!B16="",'Données projet'!C16="",'Données projet'!C16=0%),0,Calculateur!FJ3)</f>
        <v>270.30888762640245</v>
      </c>
      <c r="D13" s="147">
        <f>IF(OR('Données projet'!B16="",'Données projet'!C16="",'Données projet'!C16=0%),0,Calculateur!FK3)</f>
        <v>202.23783851977691</v>
      </c>
      <c r="E13" s="147">
        <f t="shared" ca="1" si="0"/>
        <v>202.23783851977691</v>
      </c>
      <c r="F13" s="147">
        <f t="shared" ca="1" si="1"/>
        <v>435.82254201011932</v>
      </c>
      <c r="G13" s="147">
        <f ca="1">F13*(100%-'Données projet'!$C$24)*(100%-'Données projet'!$C$25)*(100%-'Données projet'!$C$26)*(100%-'Données projet'!$C$27)</f>
        <v>392.24028780910737</v>
      </c>
      <c r="H13" s="155">
        <f>IF(OR('Données projet'!B16="",'Données projet'!C16="",'Données projet'!C16=0%),0,AVERAGE(Calculateur!$FT$3:$FT$33)*B13)</f>
        <v>6.0347105293477501</v>
      </c>
      <c r="I13" s="149">
        <f>H13*(100%-'Données projet'!$C$24)*(100%-'Données projet'!$C$25)*(100%-'Données projet'!$C$26)*(100%-'Données projet'!$C$27)</f>
        <v>5.4312394764129754</v>
      </c>
      <c r="J13" s="150">
        <f>IF(OR('Données projet'!C16="",'Données projet'!C16=0%),0,SUM(Calculateur!$FM$3:$FM$33)*VLOOKUP('Données projet'!$B$16,Paramètres!$A$1:$I$89,9,0)*B13)</f>
        <v>74.132000000000005</v>
      </c>
      <c r="K13" s="151">
        <f>J13*(100%-'Données projet'!$C$24)*(100%-'Données projet'!$C$25)*(100%-'Données projet'!$C$26)*(100%-'Données projet'!$C$27)</f>
        <v>66.718800000000002</v>
      </c>
      <c r="L13" s="152">
        <f t="shared" ca="1" si="2"/>
        <v>464.39032728552036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25">
      <c r="A14" s="153" t="str">
        <f>IF('Données projet'!$B$17="","",'Données projet'!$B$17)</f>
        <v>Erable sycomore</v>
      </c>
      <c r="B14" s="154">
        <f>'Données projet'!D17</f>
        <v>0.8620000000000001</v>
      </c>
      <c r="C14" s="147">
        <f ca="1">IF(OR('Données projet'!B17="",'Données projet'!C17="",'Données projet'!C17=0%),0,Calculateur!GE3)</f>
        <v>260.20517190557814</v>
      </c>
      <c r="D14" s="147">
        <f>IF(OR('Données projet'!B17="",'Données projet'!C17="",'Données projet'!C17=0%),0,Calculateur!GF3)</f>
        <v>307.22009971147133</v>
      </c>
      <c r="E14" s="147">
        <f t="shared" ca="1" si="0"/>
        <v>260.20517190557814</v>
      </c>
      <c r="F14" s="147">
        <f t="shared" ca="1" si="1"/>
        <v>224.29685818260839</v>
      </c>
      <c r="G14" s="147">
        <f ca="1">F14*(100%-'Données projet'!$C$24)*(100%-'Données projet'!$C$25)*(100%-'Données projet'!$C$26)*(100%-'Données projet'!$C$27)</f>
        <v>201.86717236434757</v>
      </c>
      <c r="H14" s="155">
        <f>IF(OR('Données projet'!B17="",'Données projet'!C17="",'Données projet'!C17=0%),0,AVERAGE(Calculateur!$GO$3:$GO$33)*B14)</f>
        <v>4.4011018382965084</v>
      </c>
      <c r="I14" s="149">
        <f>H14*(100%-'Données projet'!$C$24)*(100%-'Données projet'!$C$25)*(100%-'Données projet'!$C$26)*(100%-'Données projet'!$C$27)</f>
        <v>3.9609916544668575</v>
      </c>
      <c r="J14" s="150">
        <f>IF(OR('Données projet'!B17="",'Données projet'!C17="",'Données projet'!C17=0%),0,SUM(Calculateur!$GH$3:$GH$33)*VLOOKUP('Données projet'!$B$17,Paramètres!$A$1:$I$89,9,0)*B14)</f>
        <v>29.523500000000002</v>
      </c>
      <c r="K14" s="151">
        <f>J14*(100%-'Données projet'!$C$24)*(100%-'Données projet'!$C$25)*(100%-'Données projet'!$C$26)*(100%-'Données projet'!$C$27)</f>
        <v>26.571150000000003</v>
      </c>
      <c r="L14" s="152">
        <f t="shared" ca="1" si="2"/>
        <v>232.39931401881444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.75" thickBot="1" x14ac:dyDescent="0.3">
      <c r="A15" s="156" t="str">
        <f>IF('Données projet'!B18="","",'Données projet'!B18)</f>
        <v>Erable sycomore</v>
      </c>
      <c r="B15" s="157">
        <f>'Données projet'!D18</f>
        <v>0.43100000000000005</v>
      </c>
      <c r="C15" s="158">
        <f ca="1">IF(OR('Données projet'!B18="",'Données projet'!C18="",'Données projet'!C18=0%),0,Calculateur!GZ3)</f>
        <v>199.58763537752952</v>
      </c>
      <c r="D15" s="158">
        <f>IF(OR('Données projet'!B18="",'Données projet'!C18="",'Données projet'!C18=0%),0,Calculateur!HA3)</f>
        <v>242.62852778451929</v>
      </c>
      <c r="E15" s="158">
        <f t="shared" ca="1" si="0"/>
        <v>199.58763537752952</v>
      </c>
      <c r="F15" s="159">
        <f t="shared" ca="1" si="1"/>
        <v>86.022270847715234</v>
      </c>
      <c r="G15" s="159">
        <f ca="1">F15*(100%-'Données projet'!$C$24)*(100%-'Données projet'!$C$25)*(100%-'Données projet'!$C$26)*(100%-'Données projet'!$C$27)</f>
        <v>77.420043762943706</v>
      </c>
      <c r="H15" s="160">
        <f>IF(OR('Données projet'!B18="",'Données projet'!C18="",'Données projet'!C18=0%),0,AVERAGE(Calculateur!$HJ$3:$HJ$33)*B15)</f>
        <v>1.2781700474181188</v>
      </c>
      <c r="I15" s="161">
        <f>H15*(100%-'Données projet'!$C$24)*(100%-'Données projet'!$C$25)*(100%-'Données projet'!$C$26)*(100%-'Données projet'!$C$27)</f>
        <v>1.1503530426763069</v>
      </c>
      <c r="J15" s="162">
        <f>IF(OR('Données projet'!B18="",'Données projet'!C18="",'Données projet'!C18=0%),0,SUM(Calculateur!$HC$3:$HC$33)*VLOOKUP('Données projet'!$B$18,Paramètres!$A$1:$I$89,9,0)*B15)</f>
        <v>10.667250000000001</v>
      </c>
      <c r="K15" s="163">
        <f>J15*(100%-'Données projet'!$C$24)*(100%-'Données projet'!$C$25)*(100%-'Données projet'!$C$26)*(100%-'Données projet'!$C$27)</f>
        <v>9.6005250000000011</v>
      </c>
      <c r="L15" s="164">
        <f t="shared" ca="1" si="2"/>
        <v>88.170921805620011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.75" thickBot="1" x14ac:dyDescent="0.3">
      <c r="A16" s="209"/>
      <c r="B16" s="213"/>
      <c r="C16" s="214"/>
      <c r="D16" s="23"/>
      <c r="E16" s="23"/>
      <c r="F16" s="165">
        <f t="shared" ref="F16:L16" ca="1" si="3">SUM(F6:F15)</f>
        <v>8531.8280236125574</v>
      </c>
      <c r="G16" s="166">
        <f t="shared" ca="1" si="3"/>
        <v>7678.6452212513013</v>
      </c>
      <c r="H16" s="167">
        <f t="shared" si="3"/>
        <v>300.90463761777187</v>
      </c>
      <c r="I16" s="167">
        <f t="shared" si="3"/>
        <v>270.81417385599468</v>
      </c>
      <c r="J16" s="168">
        <f t="shared" si="3"/>
        <v>2173.9606183076917</v>
      </c>
      <c r="K16" s="168">
        <f t="shared" si="3"/>
        <v>1956.5645564769231</v>
      </c>
      <c r="L16" s="169">
        <f t="shared" ca="1" si="3"/>
        <v>9906.0239515842204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25">
      <c r="A17" s="209"/>
      <c r="B17" s="213"/>
      <c r="C17" s="214"/>
      <c r="D17" s="23"/>
      <c r="E17" s="23"/>
      <c r="F17" s="284" t="s">
        <v>246</v>
      </c>
      <c r="G17" s="285"/>
      <c r="H17" s="285"/>
      <c r="I17" s="285"/>
      <c r="J17" s="285"/>
      <c r="K17" s="285"/>
      <c r="L17" s="285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25">
      <c r="A18" s="209"/>
      <c r="B18" s="213"/>
      <c r="C18" s="214"/>
      <c r="D18" s="23"/>
      <c r="E18" s="23"/>
      <c r="F18" s="271"/>
      <c r="G18" s="271"/>
      <c r="H18" s="271"/>
      <c r="I18" s="271"/>
      <c r="J18" s="271"/>
      <c r="K18" s="271"/>
      <c r="L18" s="271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2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.75" thickBot="1" x14ac:dyDescent="0.3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.75" thickBot="1" x14ac:dyDescent="0.3">
      <c r="A21" s="170" t="str">
        <f>A6</f>
        <v>Douglas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2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2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2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2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2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2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2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2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2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2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2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2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2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2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2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2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.75" thickBot="1" x14ac:dyDescent="0.3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.75" thickBot="1" x14ac:dyDescent="0.3">
      <c r="A39" s="170" t="str">
        <f>A7</f>
        <v>Douglas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2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2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2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2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2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2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2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2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2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2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2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2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2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2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2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2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.75" thickBot="1" x14ac:dyDescent="0.3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.75" thickBot="1" x14ac:dyDescent="0.3">
      <c r="A57" s="170" t="str">
        <f>A8</f>
        <v>Mélèze hybride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2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2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2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2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2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2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2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2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2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2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2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2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2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2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2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2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2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.75" thickBot="1" x14ac:dyDescent="0.3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.75" thickBot="1" x14ac:dyDescent="0.3">
      <c r="A76" s="170" t="str">
        <f>A9</f>
        <v>Mélèze hybride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2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2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2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2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2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2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2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2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2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2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2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2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2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2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2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2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.75" thickBot="1" x14ac:dyDescent="0.3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.75" thickBot="1" x14ac:dyDescent="0.3">
      <c r="A94" s="170" t="str">
        <f>A10</f>
        <v>Sapin méditerranéen</v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2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2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2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2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2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2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2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2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2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2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2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2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2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2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2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2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.75" thickBot="1" x14ac:dyDescent="0.3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.75" thickBot="1" x14ac:dyDescent="0.3">
      <c r="A112" s="170" t="str">
        <f>A11</f>
        <v>Sapin méditerranéen</v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2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2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2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2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2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2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2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2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2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2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2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2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2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2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2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2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.75" thickBot="1" x14ac:dyDescent="0.3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.75" thickBot="1" x14ac:dyDescent="0.3">
      <c r="A130" s="170" t="str">
        <f>A12</f>
        <v>Pin laricio</v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2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2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2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2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2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2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2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2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2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2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2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2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2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2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2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2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.75" thickBot="1" x14ac:dyDescent="0.3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.75" thickBot="1" x14ac:dyDescent="0.3">
      <c r="A148" s="170" t="str">
        <f>A13</f>
        <v>Pin laricio</v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2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2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2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2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2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2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2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2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2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2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2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2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2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2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2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2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.75" thickBot="1" x14ac:dyDescent="0.3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.75" thickBot="1" x14ac:dyDescent="0.3">
      <c r="A166" s="170" t="str">
        <f>A14</f>
        <v>Erable sycomore</v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2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2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2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2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2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2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2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2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2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2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2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2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2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2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2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2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.75" thickBot="1" x14ac:dyDescent="0.3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.75" thickBot="1" x14ac:dyDescent="0.3">
      <c r="A184" s="170" t="str">
        <f>A15</f>
        <v>Erable sycomore</v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2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2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2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2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2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2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2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2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2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2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2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2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2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2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2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2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2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2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2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F1" zoomScale="80" zoomScaleNormal="80" workbookViewId="0">
      <selection activeCell="I21" sqref="I21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1" customWidth="1"/>
    <col min="7" max="7" width="17.5703125" style="1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7" thickBot="1" x14ac:dyDescent="0.45">
      <c r="A2" s="4"/>
      <c r="B2" s="272" t="s">
        <v>272</v>
      </c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2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25">
      <c r="A4" s="4"/>
      <c r="B4" s="4"/>
      <c r="C4" s="4"/>
      <c r="D4" s="4"/>
      <c r="E4" s="4"/>
      <c r="G4" s="4"/>
      <c r="H4" s="262" t="s">
        <v>315</v>
      </c>
      <c r="I4" s="262"/>
      <c r="K4" s="286" t="s">
        <v>253</v>
      </c>
      <c r="L4" s="287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2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.75" thickBot="1" x14ac:dyDescent="0.3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45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6" t="s">
        <v>310</v>
      </c>
      <c r="S7" s="297"/>
      <c r="T7" s="297"/>
      <c r="U7" s="297"/>
      <c r="V7" s="298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2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25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25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Douglas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6014.153723513482</v>
      </c>
      <c r="U10" s="178">
        <f>'Données projet'!D9</f>
        <v>9.9130000000000003</v>
      </c>
      <c r="V10" s="177">
        <f>U10*T10</f>
        <v>59618.305861189147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25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Douglas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3163.1616814862273</v>
      </c>
      <c r="U11" s="178">
        <f>'Données projet'!D10</f>
        <v>11.206000000000001</v>
      </c>
      <c r="V11" s="177">
        <f t="shared" ref="V11" si="0">U11*T11</f>
        <v>35446.389802734666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2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Mélèze hybride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323.11432897633546</v>
      </c>
      <c r="U12" s="178">
        <f>'Données projet'!D11</f>
        <v>5.1719999999999997</v>
      </c>
      <c r="V12" s="177">
        <f t="shared" ref="V12:V19" si="1">U12*T12</f>
        <v>1671.1473094656069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25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Mélèze hybride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-126.07963232992904</v>
      </c>
      <c r="U13" s="178">
        <f>'Données projet'!D12</f>
        <v>6.0340000000000007</v>
      </c>
      <c r="V13" s="177">
        <f t="shared" si="1"/>
        <v>-760.76450147879189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25">
      <c r="A14" s="46" t="s">
        <v>165</v>
      </c>
      <c r="B14" s="174" t="str">
        <f>IF('Données projet'!$B$9="","",'Données projet'!$B$9)</f>
        <v>Douglas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>Sapin méditerranéen</v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-1192.5605705987241</v>
      </c>
      <c r="U14" s="178">
        <f>'Données projet'!D13</f>
        <v>4.3100000000000005</v>
      </c>
      <c r="V14" s="177">
        <f t="shared" si="1"/>
        <v>-5139.9360592805015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25">
      <c r="A15" s="4"/>
      <c r="B15" s="4"/>
      <c r="C15" s="4"/>
      <c r="D15" s="4"/>
      <c r="E15" s="4"/>
      <c r="F15" s="230"/>
      <c r="G15" s="289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>Sapin méditerranéen</v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-1415.9140465844762</v>
      </c>
      <c r="U15" s="178">
        <f>'Données projet'!D14</f>
        <v>2.1550000000000002</v>
      </c>
      <c r="V15" s="177">
        <f t="shared" si="1"/>
        <v>-3051.2947703895466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2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89"/>
      <c r="H16" s="190"/>
      <c r="I16" s="191"/>
      <c r="J16" s="202"/>
      <c r="K16" s="208"/>
      <c r="L16" s="286" t="s">
        <v>254</v>
      </c>
      <c r="M16" s="287"/>
      <c r="N16" s="2">
        <v>80</v>
      </c>
      <c r="O16" s="23"/>
      <c r="P16" s="23"/>
      <c r="Q16" s="234"/>
      <c r="R16" s="23"/>
      <c r="S16" s="36" t="str">
        <f>B200</f>
        <v>Pin laricio</v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-602.79526096344273</v>
      </c>
      <c r="U16" s="178">
        <f>'Données projet'!D15</f>
        <v>0.8620000000000001</v>
      </c>
      <c r="V16" s="177">
        <f t="shared" si="1"/>
        <v>-519.60951495048766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25">
      <c r="A17" s="49">
        <v>0</v>
      </c>
      <c r="B17" s="199" t="s">
        <v>132</v>
      </c>
      <c r="C17" s="198" t="s">
        <v>132</v>
      </c>
      <c r="D17" s="197" t="s">
        <v>132</v>
      </c>
      <c r="E17" s="193">
        <v>1816</v>
      </c>
      <c r="F17" s="230"/>
      <c r="G17" s="289"/>
      <c r="J17" s="202"/>
      <c r="K17" s="208"/>
      <c r="L17" s="259" t="s">
        <v>289</v>
      </c>
      <c r="M17" s="261"/>
      <c r="N17" s="175">
        <f>VLOOKUP(N16,Calculateur!$A$2:$H$153,3,0)/VLOOKUP('Scénario référence'!$G$15,Paramètres!A1:I89,3,0)/VLOOKUP('Scénario référence'!$G$15,Paramètres!A1:I89,5,0)</f>
        <v>80.000000000000114</v>
      </c>
      <c r="O17" s="23"/>
      <c r="P17" s="23"/>
      <c r="Q17" s="234"/>
      <c r="R17" s="23"/>
      <c r="S17" s="36" t="str">
        <f>B231</f>
        <v>Pin laricio</v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-764.49921011723768</v>
      </c>
      <c r="U17" s="178">
        <f>'Données projet'!D16</f>
        <v>2.1550000000000002</v>
      </c>
      <c r="V17" s="177">
        <f t="shared" si="1"/>
        <v>-1647.4957978026473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25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89"/>
      <c r="J18" s="202"/>
      <c r="K18" s="208"/>
      <c r="L18" s="259" t="s">
        <v>255</v>
      </c>
      <c r="M18" s="261"/>
      <c r="N18" s="192">
        <v>30</v>
      </c>
      <c r="O18" s="23"/>
      <c r="P18" s="23"/>
      <c r="Q18" s="234"/>
      <c r="R18" s="23"/>
      <c r="S18" s="36" t="str">
        <f>B262</f>
        <v>Erable sycomore</v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-51.107459517061329</v>
      </c>
      <c r="U18" s="178">
        <f>'Données projet'!D17</f>
        <v>0.8620000000000001</v>
      </c>
      <c r="V18" s="177">
        <f t="shared" si="1"/>
        <v>-44.05463010370687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25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89"/>
      <c r="H19" s="212" t="s">
        <v>178</v>
      </c>
      <c r="I19" s="212" t="s">
        <v>287</v>
      </c>
      <c r="J19" s="93"/>
      <c r="K19" s="173"/>
      <c r="L19" s="286" t="s">
        <v>288</v>
      </c>
      <c r="M19" s="287"/>
      <c r="N19" s="179">
        <f>N17*N18</f>
        <v>2400.0000000000036</v>
      </c>
      <c r="O19" s="23"/>
      <c r="P19" s="4"/>
      <c r="Q19" s="235"/>
      <c r="R19" s="4"/>
      <c r="S19" s="36" t="str">
        <f>B293</f>
        <v>Erable sycomore</v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-635.21263191676792</v>
      </c>
      <c r="U19" s="178">
        <f>'Données projet'!D18</f>
        <v>0.43100000000000005</v>
      </c>
      <c r="V19" s="177">
        <f t="shared" si="1"/>
        <v>-273.77664435612701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25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89"/>
      <c r="H20" s="190">
        <v>0</v>
      </c>
      <c r="I20" s="191">
        <f>926.86+258.08</f>
        <v>1184.94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25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1</v>
      </c>
      <c r="I21" s="191">
        <v>580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25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2</v>
      </c>
      <c r="I22" s="191">
        <v>580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25">
      <c r="A23" s="180">
        <f>'Données projet'!A36</f>
        <v>17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>
        <v>3</v>
      </c>
      <c r="I23" s="191">
        <v>580</v>
      </c>
      <c r="K23" s="208"/>
      <c r="L23" s="288" t="s">
        <v>260</v>
      </c>
      <c r="M23" s="288"/>
      <c r="N23" s="288"/>
      <c r="O23" s="23"/>
      <c r="P23" s="23"/>
      <c r="Q23" s="234"/>
      <c r="R23" s="23"/>
      <c r="S23" s="36" t="s">
        <v>264</v>
      </c>
      <c r="T23" s="30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-34490.613874647534</v>
      </c>
      <c r="U23" s="301"/>
      <c r="V23" s="301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25">
      <c r="A24" s="180">
        <f>'Données projet'!A37</f>
        <v>18</v>
      </c>
      <c r="B24" s="181">
        <f>'Données projet'!D37</f>
        <v>69.284615384615378</v>
      </c>
      <c r="C24" s="193">
        <v>12</v>
      </c>
      <c r="D24" s="182">
        <f t="shared" ref="D24:D42" si="2">B24*C24</f>
        <v>831.41538461538448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2">
        <f ca="1">'Scénario référence'!$B$8*$M$30*'Données projet'!$C$5+('Scénario référence'!B9+'Scénario référence'!B10+'Scénario référence'!F8+'Scénario référence'!F9)*$N$19/(1+M4)^N16*'Données projet'!$C$5</f>
        <v>3057.6324309665629</v>
      </c>
      <c r="U24" s="302"/>
      <c r="V24" s="302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25">
      <c r="A25" s="180">
        <f>'Données projet'!A38</f>
        <v>24</v>
      </c>
      <c r="B25" s="181">
        <f>'Données projet'!D38</f>
        <v>42.661538461538463</v>
      </c>
      <c r="C25" s="193">
        <v>35</v>
      </c>
      <c r="D25" s="182">
        <f t="shared" si="2"/>
        <v>1493.1538461538462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3">
        <f ca="1">T23-T24</f>
        <v>-37548.246305614099</v>
      </c>
      <c r="U25" s="303"/>
      <c r="V25" s="303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25">
      <c r="A26" s="180">
        <f>'Données projet'!A39</f>
        <v>30</v>
      </c>
      <c r="B26" s="181">
        <f>'Données projet'!D39</f>
        <v>65.669230769230765</v>
      </c>
      <c r="C26" s="193">
        <v>45</v>
      </c>
      <c r="D26" s="182">
        <f t="shared" si="2"/>
        <v>2955.1153846153843</v>
      </c>
      <c r="E26" s="193"/>
      <c r="F26" s="233"/>
      <c r="G26" s="229"/>
      <c r="H26" s="190"/>
      <c r="I26" s="191"/>
      <c r="K26" s="208"/>
      <c r="L26" s="290" t="s">
        <v>258</v>
      </c>
      <c r="M26" s="291"/>
      <c r="N26" s="291"/>
      <c r="O26" s="291"/>
      <c r="P26" s="292"/>
      <c r="Q26" s="234"/>
      <c r="R26" s="23"/>
      <c r="S26" s="186" t="s">
        <v>265</v>
      </c>
      <c r="T26" s="300" t="str">
        <f ca="1">IF(T25&lt;0,"Votre projet est additionnel","Votre projet n'est pas additionnel")</f>
        <v>Votre projet est additionnel</v>
      </c>
      <c r="U26" s="300"/>
      <c r="V26" s="300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25">
      <c r="A27" s="180">
        <f>'Données projet'!A40</f>
        <v>36</v>
      </c>
      <c r="B27" s="181">
        <f>'Données projet'!D40</f>
        <v>69.3</v>
      </c>
      <c r="C27" s="193">
        <v>50</v>
      </c>
      <c r="D27" s="182">
        <f t="shared" si="2"/>
        <v>3465</v>
      </c>
      <c r="E27" s="193"/>
      <c r="F27" s="233"/>
      <c r="G27" s="229"/>
      <c r="H27" s="190"/>
      <c r="I27" s="191"/>
      <c r="K27" s="208"/>
      <c r="L27" s="293"/>
      <c r="M27" s="294"/>
      <c r="N27" s="294"/>
      <c r="O27" s="294"/>
      <c r="P27" s="295"/>
      <c r="Q27" s="234"/>
      <c r="R27" s="23"/>
      <c r="S27" s="299" t="s">
        <v>267</v>
      </c>
      <c r="T27" s="299"/>
      <c r="U27" s="299"/>
      <c r="V27" s="299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25">
      <c r="A28" s="180">
        <f>'Données projet'!A41</f>
        <v>42</v>
      </c>
      <c r="B28" s="181">
        <f>'Données projet'!D41</f>
        <v>73.392307692307682</v>
      </c>
      <c r="C28" s="193">
        <v>55</v>
      </c>
      <c r="D28" s="182">
        <f t="shared" si="2"/>
        <v>4036.5769230769224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25">
      <c r="A29" s="180">
        <f>'Données projet'!A42</f>
        <v>48</v>
      </c>
      <c r="B29" s="181">
        <f>'Données projet'!D42</f>
        <v>81.330769230769235</v>
      </c>
      <c r="C29" s="193">
        <v>60</v>
      </c>
      <c r="D29" s="182">
        <f t="shared" si="2"/>
        <v>4879.8461538461543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25">
      <c r="A30" s="180">
        <f>'Données projet'!A43</f>
        <v>54</v>
      </c>
      <c r="B30" s="181">
        <f>'Données projet'!D43</f>
        <v>566.79999999999995</v>
      </c>
      <c r="C30" s="193">
        <v>80</v>
      </c>
      <c r="D30" s="182">
        <f t="shared" si="2"/>
        <v>45344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2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2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2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2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2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2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2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2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2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2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2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2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2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2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25">
      <c r="A45" s="46" t="s">
        <v>166</v>
      </c>
      <c r="B45" s="174" t="str">
        <f>IF('Données projet'!$B$10="","",'Données projet'!$B$10)</f>
        <v>Douglas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2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2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25">
      <c r="A48" s="49">
        <v>0</v>
      </c>
      <c r="B48" s="199" t="s">
        <v>132</v>
      </c>
      <c r="C48" s="198" t="s">
        <v>132</v>
      </c>
      <c r="D48" s="197" t="s">
        <v>132</v>
      </c>
      <c r="E48" s="193">
        <v>1816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25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25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25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25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25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25">
      <c r="A54" s="180">
        <f>'Données projet'!A62</f>
        <v>19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25">
      <c r="A55" s="180">
        <f>'Données projet'!A63</f>
        <v>21</v>
      </c>
      <c r="B55" s="181">
        <f>'Données projet'!D63</f>
        <v>61.169230769230765</v>
      </c>
      <c r="C55" s="191">
        <v>12</v>
      </c>
      <c r="D55" s="179">
        <f t="shared" ref="D55:D73" si="4">B55*C55</f>
        <v>734.03076923076924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25">
      <c r="A56" s="180">
        <f>'Données projet'!A64</f>
        <v>28</v>
      </c>
      <c r="B56" s="181">
        <f>'Données projet'!D64</f>
        <v>56.91538461538461</v>
      </c>
      <c r="C56" s="191">
        <v>35</v>
      </c>
      <c r="D56" s="179">
        <f t="shared" si="4"/>
        <v>1992.0384615384614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25">
      <c r="A57" s="180">
        <f>'Données projet'!A65</f>
        <v>35</v>
      </c>
      <c r="B57" s="181">
        <f>'Données projet'!D65</f>
        <v>70.5</v>
      </c>
      <c r="C57" s="191">
        <v>45</v>
      </c>
      <c r="D57" s="179">
        <f t="shared" si="4"/>
        <v>3172.5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25">
      <c r="A58" s="180">
        <f>'Données projet'!A66</f>
        <v>42</v>
      </c>
      <c r="B58" s="181">
        <f>'Données projet'!D66</f>
        <v>80.669230769230765</v>
      </c>
      <c r="C58" s="191">
        <v>50</v>
      </c>
      <c r="D58" s="179">
        <f t="shared" si="4"/>
        <v>4033.4615384615381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25">
      <c r="A59" s="180">
        <f>'Données projet'!A67</f>
        <v>49</v>
      </c>
      <c r="B59" s="181">
        <f>'Données projet'!D67</f>
        <v>90.453846153846158</v>
      </c>
      <c r="C59" s="191">
        <v>55</v>
      </c>
      <c r="D59" s="179">
        <f t="shared" si="4"/>
        <v>4974.961538461539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25">
      <c r="A60" s="180">
        <f>'Données projet'!A68</f>
        <v>56</v>
      </c>
      <c r="B60" s="181">
        <f>'Données projet'!D68</f>
        <v>75.869230769230768</v>
      </c>
      <c r="C60" s="191">
        <v>60</v>
      </c>
      <c r="D60" s="179">
        <f t="shared" si="4"/>
        <v>4552.1538461538457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25">
      <c r="A61" s="180">
        <f>'Données projet'!A69</f>
        <v>63</v>
      </c>
      <c r="B61" s="181">
        <f>'Données projet'!D69</f>
        <v>79.723076923076917</v>
      </c>
      <c r="C61" s="191">
        <v>80</v>
      </c>
      <c r="D61" s="179">
        <f t="shared" si="4"/>
        <v>6377.8461538461534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25">
      <c r="A62" s="180">
        <f>'Données projet'!A70</f>
        <v>70</v>
      </c>
      <c r="B62" s="181">
        <f>'Données projet'!D70</f>
        <v>469.06923076923073</v>
      </c>
      <c r="C62" s="191">
        <v>80</v>
      </c>
      <c r="D62" s="179">
        <f t="shared" si="4"/>
        <v>37525.538461538461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2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2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2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2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2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2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2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2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2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2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2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2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2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25">
      <c r="A76" s="46" t="s">
        <v>167</v>
      </c>
      <c r="B76" s="174" t="str">
        <f>IF('Données projet'!B11="","",'Données projet'!B11)</f>
        <v>Mélèze hybride</v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2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2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25">
      <c r="A79" s="49">
        <v>0</v>
      </c>
      <c r="B79" s="199" t="s">
        <v>132</v>
      </c>
      <c r="C79" s="198" t="s">
        <v>132</v>
      </c>
      <c r="D79" s="197" t="s">
        <v>132</v>
      </c>
      <c r="E79" s="193">
        <v>2273</v>
      </c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25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25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25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25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25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25">
      <c r="A85" s="180">
        <f>'Données projet'!A88</f>
        <v>10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25">
      <c r="A86" s="180">
        <f>'Données projet'!A89</f>
        <v>20</v>
      </c>
      <c r="B86" s="181">
        <f>'Données projet'!D89</f>
        <v>81</v>
      </c>
      <c r="C86" s="191">
        <v>10</v>
      </c>
      <c r="D86" s="179">
        <f t="shared" ref="D86:D104" si="6">B86*C86</f>
        <v>810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25">
      <c r="A87" s="180">
        <f>'Données projet'!A90</f>
        <v>30</v>
      </c>
      <c r="B87" s="181">
        <f>'Données projet'!D90</f>
        <v>84</v>
      </c>
      <c r="C87" s="191">
        <v>25</v>
      </c>
      <c r="D87" s="179">
        <f t="shared" si="6"/>
        <v>2100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25">
      <c r="A88" s="180">
        <f>'Données projet'!A91</f>
        <v>40</v>
      </c>
      <c r="B88" s="181">
        <f>'Données projet'!D91</f>
        <v>80</v>
      </c>
      <c r="C88" s="191">
        <v>30</v>
      </c>
      <c r="D88" s="179">
        <f t="shared" si="6"/>
        <v>2400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str">
        <f>IF(O87+1&lt;=MIN('Données projet'!$E$9:$E$18),O87+1,"STOP")</f>
        <v>STOP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25">
      <c r="A89" s="180">
        <f>'Données projet'!A92</f>
        <v>50</v>
      </c>
      <c r="B89" s="181">
        <f>'Données projet'!D92</f>
        <v>65</v>
      </c>
      <c r="C89" s="191">
        <v>35</v>
      </c>
      <c r="D89" s="179">
        <f t="shared" si="6"/>
        <v>2275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25">
      <c r="A90" s="180">
        <f>'Données projet'!A93</f>
        <v>60</v>
      </c>
      <c r="B90" s="181">
        <f>'Données projet'!D93</f>
        <v>56</v>
      </c>
      <c r="C90" s="191">
        <v>40</v>
      </c>
      <c r="D90" s="179">
        <f t="shared" si="6"/>
        <v>2240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25">
      <c r="A91" s="180">
        <f>'Données projet'!A94</f>
        <v>70</v>
      </c>
      <c r="B91" s="181">
        <f>'Données projet'!D94</f>
        <v>52</v>
      </c>
      <c r="C91" s="191">
        <v>45</v>
      </c>
      <c r="D91" s="179">
        <f t="shared" si="6"/>
        <v>2340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25">
      <c r="A92" s="180">
        <f>'Données projet'!A95</f>
        <v>80</v>
      </c>
      <c r="B92" s="181">
        <f>'Données projet'!D95</f>
        <v>433</v>
      </c>
      <c r="C92" s="191">
        <v>60</v>
      </c>
      <c r="D92" s="179">
        <f t="shared" si="6"/>
        <v>25980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2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2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2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2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2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2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2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2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2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2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2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2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2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2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25">
      <c r="A107" s="46" t="s">
        <v>168</v>
      </c>
      <c r="B107" s="174" t="str">
        <f>IF('Données projet'!B12="","",'Données projet'!B12)</f>
        <v>Mélèze hybride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2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2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25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v>2273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25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25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25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25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25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25">
      <c r="A116" s="180">
        <f>'Données projet'!A114</f>
        <v>10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25">
      <c r="A117" s="180">
        <f>'Données projet'!A115</f>
        <v>20</v>
      </c>
      <c r="B117" s="181">
        <f>'Données projet'!D115</f>
        <v>57</v>
      </c>
      <c r="C117" s="191">
        <v>10</v>
      </c>
      <c r="D117" s="179">
        <f t="shared" ref="D117:D135" si="8">B117*C117</f>
        <v>570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25">
      <c r="A118" s="180">
        <f>'Données projet'!A116</f>
        <v>30</v>
      </c>
      <c r="B118" s="181">
        <f>'Données projet'!D116</f>
        <v>70</v>
      </c>
      <c r="C118" s="191">
        <v>25</v>
      </c>
      <c r="D118" s="179">
        <f t="shared" si="8"/>
        <v>1750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25">
      <c r="A119" s="180">
        <f>'Données projet'!A117</f>
        <v>40</v>
      </c>
      <c r="B119" s="181">
        <f>'Données projet'!D117</f>
        <v>68</v>
      </c>
      <c r="C119" s="191">
        <v>30</v>
      </c>
      <c r="D119" s="179">
        <f t="shared" si="8"/>
        <v>2040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25">
      <c r="A120" s="180">
        <f>'Données projet'!A118</f>
        <v>50</v>
      </c>
      <c r="B120" s="181">
        <f>'Données projet'!D118</f>
        <v>55</v>
      </c>
      <c r="C120" s="191">
        <v>35</v>
      </c>
      <c r="D120" s="179">
        <f t="shared" si="8"/>
        <v>1925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25">
      <c r="A121" s="180">
        <f>'Données projet'!A119</f>
        <v>60</v>
      </c>
      <c r="B121" s="181">
        <f>'Données projet'!D119</f>
        <v>46</v>
      </c>
      <c r="C121" s="191">
        <v>40</v>
      </c>
      <c r="D121" s="179">
        <f t="shared" si="8"/>
        <v>1840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25">
      <c r="A122" s="180">
        <f>'Données projet'!A120</f>
        <v>70</v>
      </c>
      <c r="B122" s="181">
        <f>'Données projet'!D120</f>
        <v>42</v>
      </c>
      <c r="C122" s="191">
        <v>45</v>
      </c>
      <c r="D122" s="179">
        <f t="shared" si="8"/>
        <v>1890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25">
      <c r="A123" s="180">
        <f>'Données projet'!A121</f>
        <v>80</v>
      </c>
      <c r="B123" s="181">
        <f>'Données projet'!D121</f>
        <v>373</v>
      </c>
      <c r="C123" s="191">
        <v>60</v>
      </c>
      <c r="D123" s="179">
        <f t="shared" si="8"/>
        <v>22380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2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2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2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2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2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2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2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2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2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2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2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2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2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2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25">
      <c r="A138" s="46" t="s">
        <v>169</v>
      </c>
      <c r="B138" s="174" t="str">
        <f>IF('Données projet'!B13="","",'Données projet'!B13)</f>
        <v>Sapin méditerranéen</v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2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2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25">
      <c r="A141" s="49">
        <v>0</v>
      </c>
      <c r="B141" s="199" t="s">
        <v>132</v>
      </c>
      <c r="C141" s="198" t="s">
        <v>132</v>
      </c>
      <c r="D141" s="197" t="s">
        <v>132</v>
      </c>
      <c r="E141" s="193">
        <v>1722</v>
      </c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25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25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25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25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25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25">
      <c r="A147" s="42">
        <f>'Données projet'!A140</f>
        <v>40</v>
      </c>
      <c r="B147" s="175">
        <f>'Données projet'!D140</f>
        <v>70.769230769230774</v>
      </c>
      <c r="C147" s="191">
        <v>15</v>
      </c>
      <c r="D147" s="182">
        <f>B147*C147</f>
        <v>1061.5384615384617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25">
      <c r="A148" s="42">
        <f>'Données projet'!A141</f>
        <v>50</v>
      </c>
      <c r="B148" s="175">
        <f>'Données projet'!D141</f>
        <v>60</v>
      </c>
      <c r="C148" s="191">
        <v>20</v>
      </c>
      <c r="D148" s="182">
        <f t="shared" ref="D148:D166" si="10">B148*C148</f>
        <v>1200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25">
      <c r="A149" s="42">
        <f>'Données projet'!A142</f>
        <v>60</v>
      </c>
      <c r="B149" s="175">
        <f>'Données projet'!D142</f>
        <v>50</v>
      </c>
      <c r="C149" s="191">
        <v>25</v>
      </c>
      <c r="D149" s="182">
        <f t="shared" si="10"/>
        <v>1250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25">
      <c r="A150" s="42">
        <f>'Données projet'!A143</f>
        <v>70</v>
      </c>
      <c r="B150" s="175">
        <f>'Données projet'!D143</f>
        <v>40.769230769230766</v>
      </c>
      <c r="C150" s="191">
        <v>30</v>
      </c>
      <c r="D150" s="182">
        <f t="shared" si="10"/>
        <v>1223.0769230769231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25">
      <c r="A151" s="42">
        <f>'Données projet'!A144</f>
        <v>80</v>
      </c>
      <c r="B151" s="175">
        <f>'Données projet'!D144</f>
        <v>34.615384615384613</v>
      </c>
      <c r="C151" s="191">
        <v>35</v>
      </c>
      <c r="D151" s="182">
        <f t="shared" si="10"/>
        <v>1211.5384615384614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25">
      <c r="A152" s="42">
        <f>'Données projet'!A145</f>
        <v>90</v>
      </c>
      <c r="B152" s="175">
        <f>'Données projet'!D145</f>
        <v>26.153846153846153</v>
      </c>
      <c r="C152" s="191">
        <v>40</v>
      </c>
      <c r="D152" s="182">
        <f t="shared" si="10"/>
        <v>1046.1538461538462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25">
      <c r="A153" s="42">
        <f>'Données projet'!A146</f>
        <v>100</v>
      </c>
      <c r="B153" s="175">
        <f>'Données projet'!D146</f>
        <v>17.692307692307693</v>
      </c>
      <c r="C153" s="191">
        <v>45</v>
      </c>
      <c r="D153" s="182">
        <f t="shared" si="10"/>
        <v>796.15384615384619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25">
      <c r="A154" s="42">
        <f>'Données projet'!A147</f>
        <v>110</v>
      </c>
      <c r="B154" s="175">
        <f>'Données projet'!D147</f>
        <v>8.4615384615384617</v>
      </c>
      <c r="C154" s="191">
        <v>50</v>
      </c>
      <c r="D154" s="182">
        <f t="shared" si="10"/>
        <v>423.07692307692309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2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2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2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2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2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2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2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2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2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2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2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2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2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2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25">
      <c r="A169" s="46" t="s">
        <v>170</v>
      </c>
      <c r="B169" s="174" t="str">
        <f>IF('Données projet'!B14="","",'Données projet'!B14)</f>
        <v>Sapin méditerranéen</v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2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2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25">
      <c r="A172" s="49">
        <v>0</v>
      </c>
      <c r="B172" s="199" t="s">
        <v>132</v>
      </c>
      <c r="C172" s="198" t="s">
        <v>132</v>
      </c>
      <c r="D172" s="197" t="s">
        <v>132</v>
      </c>
      <c r="E172" s="193">
        <v>1722</v>
      </c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25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25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25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25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25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25">
      <c r="A178" s="180">
        <f>'Données projet'!A166</f>
        <v>40</v>
      </c>
      <c r="B178" s="181">
        <f>'Données projet'!D166</f>
        <v>50.769230769230766</v>
      </c>
      <c r="C178" s="193">
        <v>8</v>
      </c>
      <c r="D178" s="179">
        <f>B178*C178</f>
        <v>406.15384615384613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25">
      <c r="A179" s="180">
        <f>'Données projet'!A167</f>
        <v>50</v>
      </c>
      <c r="B179" s="181">
        <f>'Données projet'!D167</f>
        <v>44.615384615384613</v>
      </c>
      <c r="C179" s="193">
        <v>8</v>
      </c>
      <c r="D179" s="179">
        <f t="shared" ref="D179:D197" si="11">B179*C179</f>
        <v>356.92307692307691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25">
      <c r="A180" s="180">
        <f>'Données projet'!A168</f>
        <v>60</v>
      </c>
      <c r="B180" s="181">
        <f>'Données projet'!D168</f>
        <v>44.615384615384613</v>
      </c>
      <c r="C180" s="193">
        <v>15</v>
      </c>
      <c r="D180" s="179">
        <f t="shared" si="11"/>
        <v>669.23076923076917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25">
      <c r="A181" s="180">
        <f>'Données projet'!A169</f>
        <v>70</v>
      </c>
      <c r="B181" s="181">
        <f>'Données projet'!D169</f>
        <v>47.692307692307693</v>
      </c>
      <c r="C181" s="193">
        <v>25</v>
      </c>
      <c r="D181" s="179">
        <f t="shared" si="11"/>
        <v>1192.3076923076924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25">
      <c r="A182" s="180">
        <f>'Données projet'!A170</f>
        <v>80</v>
      </c>
      <c r="B182" s="181">
        <f>'Données projet'!D170</f>
        <v>44.615384615384613</v>
      </c>
      <c r="C182" s="193">
        <v>30</v>
      </c>
      <c r="D182" s="179">
        <f t="shared" si="11"/>
        <v>1338.4615384615383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25">
      <c r="A183" s="180">
        <f>'Données projet'!A171</f>
        <v>90</v>
      </c>
      <c r="B183" s="181">
        <f>'Données projet'!D171</f>
        <v>38.46153846153846</v>
      </c>
      <c r="C183" s="193">
        <v>35</v>
      </c>
      <c r="D183" s="179">
        <f t="shared" si="11"/>
        <v>1346.1538461538462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25">
      <c r="A184" s="180">
        <f>'Données projet'!A172</f>
        <v>100</v>
      </c>
      <c r="B184" s="181">
        <f>'Données projet'!D172</f>
        <v>34.615384615384613</v>
      </c>
      <c r="C184" s="193">
        <v>40</v>
      </c>
      <c r="D184" s="179">
        <f t="shared" si="11"/>
        <v>1384.6153846153845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25">
      <c r="A185" s="180">
        <f>'Données projet'!A173</f>
        <v>110</v>
      </c>
      <c r="B185" s="181">
        <f>'Données projet'!D173</f>
        <v>30.769230769230766</v>
      </c>
      <c r="C185" s="193">
        <v>50</v>
      </c>
      <c r="D185" s="179">
        <f t="shared" si="11"/>
        <v>1538.4615384615383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2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2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2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2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2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2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2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2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2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2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2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2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2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2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25">
      <c r="A200" s="46" t="s">
        <v>171</v>
      </c>
      <c r="B200" s="174" t="str">
        <f>IF('Données projet'!$B$15="","",'Données projet'!$B$15)</f>
        <v>Pin laricio</v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2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2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25">
      <c r="A203" s="49">
        <v>0</v>
      </c>
      <c r="B203" s="199" t="s">
        <v>132</v>
      </c>
      <c r="C203" s="198" t="s">
        <v>132</v>
      </c>
      <c r="D203" s="197" t="s">
        <v>132</v>
      </c>
      <c r="E203" s="193">
        <v>1574</v>
      </c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25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25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25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25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25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25">
      <c r="A209" s="180">
        <f>'Données projet'!A192</f>
        <v>20</v>
      </c>
      <c r="B209" s="181">
        <f>'Données projet'!D192</f>
        <v>29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25">
      <c r="A210" s="180">
        <f>'Données projet'!A193</f>
        <v>30</v>
      </c>
      <c r="B210" s="181">
        <f>'Données projet'!D193</f>
        <v>71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25">
      <c r="A211" s="180">
        <f>'Données projet'!A194</f>
        <v>40</v>
      </c>
      <c r="B211" s="181">
        <f>'Données projet'!D194</f>
        <v>95</v>
      </c>
      <c r="C211" s="193">
        <v>10</v>
      </c>
      <c r="D211" s="179">
        <f t="shared" si="12"/>
        <v>950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25">
      <c r="A212" s="180">
        <f>'Données projet'!A195</f>
        <v>50</v>
      </c>
      <c r="B212" s="181">
        <f>'Données projet'!D195</f>
        <v>107</v>
      </c>
      <c r="C212" s="193">
        <v>15</v>
      </c>
      <c r="D212" s="179">
        <f t="shared" si="12"/>
        <v>1605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25">
      <c r="A213" s="180">
        <f>'Données projet'!A196</f>
        <v>60</v>
      </c>
      <c r="B213" s="181">
        <f>'Données projet'!D196</f>
        <v>108</v>
      </c>
      <c r="C213" s="193">
        <v>30</v>
      </c>
      <c r="D213" s="179">
        <f t="shared" si="12"/>
        <v>3240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25">
      <c r="A214" s="180">
        <f>'Données projet'!A197</f>
        <v>70</v>
      </c>
      <c r="B214" s="181">
        <f>'Données projet'!D197</f>
        <v>103</v>
      </c>
      <c r="C214" s="193">
        <v>35</v>
      </c>
      <c r="D214" s="179">
        <f t="shared" si="12"/>
        <v>3605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25">
      <c r="A215" s="180">
        <f>'Données projet'!A198</f>
        <v>80</v>
      </c>
      <c r="B215" s="181">
        <f>'Données projet'!D198</f>
        <v>94</v>
      </c>
      <c r="C215" s="193">
        <v>50</v>
      </c>
      <c r="D215" s="179">
        <f t="shared" si="12"/>
        <v>4700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25">
      <c r="A216" s="180">
        <f>'Données projet'!A199</f>
        <v>90</v>
      </c>
      <c r="B216" s="181">
        <f>'Données projet'!D199</f>
        <v>83</v>
      </c>
      <c r="C216" s="193">
        <v>60</v>
      </c>
      <c r="D216" s="179">
        <f t="shared" si="12"/>
        <v>4980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2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2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2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2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2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2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2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2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2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2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2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2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2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2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25">
      <c r="A231" s="46" t="s">
        <v>172</v>
      </c>
      <c r="B231" s="174" t="str">
        <f>IF('Données projet'!$B$16="","",'Données projet'!$B$16)</f>
        <v>Pin laricio</v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2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2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25">
      <c r="A234" s="49">
        <v>0</v>
      </c>
      <c r="B234" s="199" t="s">
        <v>132</v>
      </c>
      <c r="C234" s="198" t="s">
        <v>132</v>
      </c>
      <c r="D234" s="197" t="s">
        <v>132</v>
      </c>
      <c r="E234" s="193">
        <v>1574</v>
      </c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25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25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25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25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25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25">
      <c r="A240" s="180">
        <f>'Données projet'!A218</f>
        <v>20</v>
      </c>
      <c r="B240" s="181">
        <f>'Données projet'!D218</f>
        <v>20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25">
      <c r="A241" s="180">
        <f>'Données projet'!A219</f>
        <v>30</v>
      </c>
      <c r="B241" s="181">
        <f>'Données projet'!D219</f>
        <v>60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25">
      <c r="A242" s="180">
        <f>'Données projet'!A220</f>
        <v>40</v>
      </c>
      <c r="B242" s="181">
        <f>'Données projet'!D220</f>
        <v>79</v>
      </c>
      <c r="C242" s="193">
        <v>10</v>
      </c>
      <c r="D242" s="179">
        <f t="shared" si="13"/>
        <v>790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25">
      <c r="A243" s="180">
        <f>'Données projet'!A221</f>
        <v>50</v>
      </c>
      <c r="B243" s="181">
        <f>'Données projet'!D221</f>
        <v>89</v>
      </c>
      <c r="C243" s="193">
        <v>15</v>
      </c>
      <c r="D243" s="179">
        <f t="shared" si="13"/>
        <v>1335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25">
      <c r="A244" s="180">
        <f>'Données projet'!A222</f>
        <v>60</v>
      </c>
      <c r="B244" s="181">
        <f>'Données projet'!D222</f>
        <v>90</v>
      </c>
      <c r="C244" s="193">
        <v>30</v>
      </c>
      <c r="D244" s="179">
        <f t="shared" si="13"/>
        <v>2700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25">
      <c r="A245" s="180">
        <f>'Données projet'!A223</f>
        <v>70</v>
      </c>
      <c r="B245" s="181">
        <f>'Données projet'!D223</f>
        <v>86</v>
      </c>
      <c r="C245" s="193">
        <v>35</v>
      </c>
      <c r="D245" s="179">
        <f t="shared" si="13"/>
        <v>3010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25">
      <c r="A246" s="180">
        <f>'Données projet'!A224</f>
        <v>80</v>
      </c>
      <c r="B246" s="181">
        <f>'Données projet'!D224</f>
        <v>78</v>
      </c>
      <c r="C246" s="193">
        <v>50</v>
      </c>
      <c r="D246" s="179">
        <f t="shared" si="13"/>
        <v>3900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25">
      <c r="A247" s="180">
        <f>'Données projet'!A225</f>
        <v>90</v>
      </c>
      <c r="B247" s="181">
        <f>'Données projet'!D225</f>
        <v>70</v>
      </c>
      <c r="C247" s="193">
        <v>60</v>
      </c>
      <c r="D247" s="179">
        <f t="shared" si="13"/>
        <v>4200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2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2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2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2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2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2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2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2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2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2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2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2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2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2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25">
      <c r="A262" s="46" t="s">
        <v>173</v>
      </c>
      <c r="B262" s="174" t="str">
        <f>IF('Données projet'!$B$17="","",'Données projet'!$B$17)</f>
        <v>Erable sycomore</v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2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2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25">
      <c r="A265" s="49">
        <v>0</v>
      </c>
      <c r="B265" s="199" t="s">
        <v>132</v>
      </c>
      <c r="C265" s="198" t="s">
        <v>132</v>
      </c>
      <c r="D265" s="197" t="s">
        <v>132</v>
      </c>
      <c r="E265" s="193">
        <v>1829</v>
      </c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25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25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25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25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25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25">
      <c r="A271" s="180">
        <f>'Données projet'!A244</f>
        <v>10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25">
      <c r="A272" s="180">
        <f>'Données projet'!A245</f>
        <v>20</v>
      </c>
      <c r="B272" s="181">
        <f>'Données projet'!D245</f>
        <v>67</v>
      </c>
      <c r="C272" s="193">
        <v>10</v>
      </c>
      <c r="D272" s="179">
        <f t="shared" ref="D272:D290" si="14">B272*C272</f>
        <v>670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25">
      <c r="A273" s="180">
        <f>'Données projet'!A246</f>
        <v>30</v>
      </c>
      <c r="B273" s="181">
        <f>'Données projet'!D246</f>
        <v>70</v>
      </c>
      <c r="C273" s="193">
        <v>15</v>
      </c>
      <c r="D273" s="179">
        <f t="shared" si="14"/>
        <v>1050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25">
      <c r="A274" s="180">
        <f>'Données projet'!A247</f>
        <v>40</v>
      </c>
      <c r="B274" s="181">
        <f>'Données projet'!D247</f>
        <v>70</v>
      </c>
      <c r="C274" s="193">
        <v>20</v>
      </c>
      <c r="D274" s="179">
        <f t="shared" si="14"/>
        <v>1400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25">
      <c r="A275" s="180">
        <f>'Données projet'!A248</f>
        <v>50</v>
      </c>
      <c r="B275" s="181">
        <f>'Données projet'!D248</f>
        <v>43</v>
      </c>
      <c r="C275" s="193">
        <v>30</v>
      </c>
      <c r="D275" s="179">
        <f t="shared" si="14"/>
        <v>1290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25">
      <c r="A276" s="180">
        <f>'Données projet'!A249</f>
        <v>60</v>
      </c>
      <c r="B276" s="181">
        <f>'Données projet'!D249</f>
        <v>30</v>
      </c>
      <c r="C276" s="193">
        <v>35</v>
      </c>
      <c r="D276" s="179">
        <f t="shared" si="14"/>
        <v>1050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25">
      <c r="A277" s="180">
        <f>'Données projet'!A250</f>
        <v>70</v>
      </c>
      <c r="B277" s="181">
        <f>'Données projet'!D250</f>
        <v>26</v>
      </c>
      <c r="C277" s="193">
        <v>45</v>
      </c>
      <c r="D277" s="179">
        <f t="shared" si="14"/>
        <v>1170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25">
      <c r="A278" s="180">
        <f>'Données projet'!A251</f>
        <v>80</v>
      </c>
      <c r="B278" s="181">
        <f>'Données projet'!D251</f>
        <v>342</v>
      </c>
      <c r="C278" s="193">
        <v>70</v>
      </c>
      <c r="D278" s="179">
        <f t="shared" si="14"/>
        <v>23940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2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2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2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2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2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2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2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2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2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2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2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2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2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2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25">
      <c r="A293" s="46" t="s">
        <v>174</v>
      </c>
      <c r="B293" s="174" t="str">
        <f>IF('Données projet'!$B$18="","",'Données projet'!$B$18)</f>
        <v>Erable sycomore</v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2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2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25">
      <c r="A296" s="49">
        <v>0</v>
      </c>
      <c r="B296" s="199" t="s">
        <v>132</v>
      </c>
      <c r="C296" s="198" t="s">
        <v>132</v>
      </c>
      <c r="D296" s="197" t="s">
        <v>132</v>
      </c>
      <c r="E296" s="193">
        <v>1829</v>
      </c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25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25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25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25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25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25">
      <c r="A302" s="180">
        <f>'Données projet'!A270</f>
        <v>20</v>
      </c>
      <c r="B302" s="181">
        <f>'Données projet'!D270</f>
        <v>43</v>
      </c>
      <c r="C302" s="191">
        <v>10</v>
      </c>
      <c r="D302" s="182">
        <f>B302*C302</f>
        <v>430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25">
      <c r="A303" s="180">
        <f>'Données projet'!A271</f>
        <v>30</v>
      </c>
      <c r="B303" s="181">
        <f>'Données projet'!D271</f>
        <v>56</v>
      </c>
      <c r="C303" s="191">
        <v>15</v>
      </c>
      <c r="D303" s="182">
        <f t="shared" ref="D303:D321" si="15">B303*C303</f>
        <v>840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25">
      <c r="A304" s="180">
        <f>'Données projet'!A272</f>
        <v>40</v>
      </c>
      <c r="B304" s="181">
        <f>'Données projet'!D272</f>
        <v>56</v>
      </c>
      <c r="C304" s="191">
        <v>20</v>
      </c>
      <c r="D304" s="182">
        <f t="shared" si="15"/>
        <v>1120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25">
      <c r="A305" s="180">
        <f>'Données projet'!A273</f>
        <v>50</v>
      </c>
      <c r="B305" s="181">
        <f>'Données projet'!D273</f>
        <v>39</v>
      </c>
      <c r="C305" s="191">
        <v>30</v>
      </c>
      <c r="D305" s="182">
        <f t="shared" si="15"/>
        <v>1170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25">
      <c r="A306" s="180">
        <f>'Données projet'!A274</f>
        <v>60</v>
      </c>
      <c r="B306" s="181">
        <f>'Données projet'!D274</f>
        <v>25</v>
      </c>
      <c r="C306" s="191">
        <v>35</v>
      </c>
      <c r="D306" s="182">
        <f t="shared" si="15"/>
        <v>875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25">
      <c r="A307" s="180">
        <f>'Données projet'!A275</f>
        <v>70</v>
      </c>
      <c r="B307" s="181">
        <f>'Données projet'!D275</f>
        <v>21</v>
      </c>
      <c r="C307" s="191">
        <v>45</v>
      </c>
      <c r="D307" s="182">
        <f t="shared" si="15"/>
        <v>945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25">
      <c r="A308" s="180">
        <f>'Données projet'!A276</f>
        <v>80</v>
      </c>
      <c r="B308" s="181">
        <f>'Données projet'!D276</f>
        <v>284</v>
      </c>
      <c r="C308" s="191">
        <v>70</v>
      </c>
      <c r="D308" s="182">
        <f t="shared" si="15"/>
        <v>19880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2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2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2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2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2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2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2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2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2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2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2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2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2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2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2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2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2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2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2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2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2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2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2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2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2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2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2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2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2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2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2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2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2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2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2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2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2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2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2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2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2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2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2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2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2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2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2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2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2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2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2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2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2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2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2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2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2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2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2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2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2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2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2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2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2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2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2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2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2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2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2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2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2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2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2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2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2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2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2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2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2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2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2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2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2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2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2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2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2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2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2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2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2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2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2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2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2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2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2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2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2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2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2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2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2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2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2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2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2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2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2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2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2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2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2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2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2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2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2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2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2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2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2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2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2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2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2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2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2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2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2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2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2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2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2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2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2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2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2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2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2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2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2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2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2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2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2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2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2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2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2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2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2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2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2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2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2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2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2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2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2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2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2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2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2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2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2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2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2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2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2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2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2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2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2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2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2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2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2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2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2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2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2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2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2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2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2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2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2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2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2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2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2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2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2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2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2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2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E006D02EFB7524E92A31806A20933C4" ma:contentTypeVersion="16" ma:contentTypeDescription="Crée un document." ma:contentTypeScope="" ma:versionID="0e9e021c327d8551a1f55b1299a1ead0">
  <xsd:schema xmlns:xsd="http://www.w3.org/2001/XMLSchema" xmlns:xs="http://www.w3.org/2001/XMLSchema" xmlns:p="http://schemas.microsoft.com/office/2006/metadata/properties" xmlns:ns2="7f778677-e8d3-4866-966d-dd352b4d4b95" xmlns:ns3="655929c3-d7c5-4e51-b5f8-f25933e16e57" targetNamespace="http://schemas.microsoft.com/office/2006/metadata/properties" ma:root="true" ma:fieldsID="2136bc5999714f027c7596c726032f96" ns2:_="" ns3:_="">
    <xsd:import namespace="7f778677-e8d3-4866-966d-dd352b4d4b95"/>
    <xsd:import namespace="655929c3-d7c5-4e51-b5f8-f25933e16e5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778677-e8d3-4866-966d-dd352b4d4b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Balises d’images" ma:readOnly="false" ma:fieldId="{5cf76f15-5ced-4ddc-b409-7134ff3c332f}" ma:taxonomyMulti="true" ma:sspId="c31a7892-0253-4b23-af1e-d16b272054b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5929c3-d7c5-4e51-b5f8-f25933e16e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035bd7a-0690-4dae-a8f1-713ab1cfbd47}" ma:internalName="TaxCatchAll" ma:showField="CatchAllData" ma:web="655929c3-d7c5-4e51-b5f8-f25933e16e5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25F396-F520-4214-B137-FFBC1F0B94A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f778677-e8d3-4866-966d-dd352b4d4b95"/>
    <ds:schemaRef ds:uri="655929c3-d7c5-4e51-b5f8-f25933e16e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6CB8604-1778-4425-9497-BFC15C0CA2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Constance MORISE</cp:lastModifiedBy>
  <dcterms:created xsi:type="dcterms:W3CDTF">2021-02-01T08:22:39Z</dcterms:created>
  <dcterms:modified xsi:type="dcterms:W3CDTF">2025-04-09T14:46:28Z</dcterms:modified>
</cp:coreProperties>
</file>