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GRANDES VENTES\"/>
    </mc:Choice>
  </mc:AlternateContent>
  <xr:revisionPtr revIDLastSave="0" documentId="13_ncr:1_{BCAE9720-5F12-437D-953D-B6EBCD884312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1" l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D88" i="1"/>
  <c r="B88" i="1"/>
  <c r="I20" i="6"/>
  <c r="D75" i="1"/>
  <c r="B75" i="1"/>
  <c r="D74" i="1"/>
  <c r="B74" i="1"/>
  <c r="D73" i="1"/>
  <c r="B73" i="1"/>
  <c r="D72" i="1"/>
  <c r="B72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53" i="1"/>
  <c r="B53" i="1"/>
  <c r="D52" i="1"/>
  <c r="B52" i="1"/>
  <c r="D51" i="1"/>
  <c r="B51" i="1"/>
  <c r="D50" i="1"/>
  <c r="B50" i="1"/>
  <c r="D49" i="1"/>
  <c r="B49" i="1"/>
  <c r="D48" i="1"/>
  <c r="B48" i="1"/>
  <c r="D47" i="1"/>
  <c r="B47" i="1"/>
  <c r="D46" i="1"/>
  <c r="B46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C4" i="2"/>
  <c r="FQ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C20" i="2"/>
  <c r="FS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C85" i="2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HH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HH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AB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A157" i="2"/>
  <c r="EX157" i="2"/>
  <c r="HH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EC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I160" i="2"/>
  <c r="HG160" i="2"/>
  <c r="EC160" i="2"/>
  <c r="FS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HG161" i="2"/>
  <c r="HH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W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HG163" i="2"/>
  <c r="EA163" i="2"/>
  <c r="ED163" i="2" s="1"/>
  <c r="EB163" i="2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HG164" i="2" l="1"/>
  <c r="DI163" i="2"/>
  <c r="FS164" i="2"/>
  <c r="HH164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H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I168" i="2"/>
  <c r="EB168" i="2"/>
  <c r="DI167" i="2"/>
  <c r="EW168" i="2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H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B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X173" i="2"/>
  <c r="HH173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HI175" i="2"/>
  <c r="EA175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EW178" i="2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DF179" i="2"/>
  <c r="EB179" i="2"/>
  <c r="EV179" i="2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FS182" i="2"/>
  <c r="DG182" i="2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A183" i="2" l="1"/>
  <c r="FS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EA185" i="2"/>
  <c r="EW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HH186" i="2"/>
  <c r="EA186" i="2"/>
  <c r="HG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HH189" i="2" l="1"/>
  <c r="AA189" i="2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W192" i="2"/>
  <c r="HG192" i="2"/>
  <c r="EV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HI193" i="2" l="1"/>
  <c r="FQ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G195" i="2"/>
  <c r="AA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D197" i="2" s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EV199" i="2"/>
  <c r="FS199" i="2"/>
  <c r="EW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EA201" i="2" l="1"/>
  <c r="HH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HG202" i="2"/>
  <c r="FR202" i="2"/>
  <c r="EX202" i="2"/>
  <c r="HI202" i="2"/>
  <c r="HH202" i="2"/>
  <c r="FZ6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AH62" i="2" a="1"/>
  <c r="AH62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6" i="2" a="1"/>
  <c r="DN6" i="2" s="1"/>
  <c r="DO6" i="2" s="1"/>
  <c r="FD82" i="2" a="1"/>
  <c r="FD82" i="2" s="1"/>
  <c r="HJ202" i="2"/>
  <c r="AX200" i="2"/>
  <c r="GT15" i="2" l="1" a="1"/>
  <c r="GT15" i="2" s="1"/>
  <c r="GT74" i="2" a="1"/>
  <c r="GT74" i="2" s="1"/>
  <c r="GT11" i="2" a="1"/>
  <c r="GT11" i="2" s="1"/>
  <c r="GT51" i="2" a="1"/>
  <c r="GT51" i="2" s="1"/>
  <c r="DN188" i="2" a="1"/>
  <c r="DN188" i="2" s="1"/>
  <c r="DN187" i="2" a="1"/>
  <c r="DN187" i="2" s="1"/>
  <c r="DN113" i="2" a="1"/>
  <c r="DN113" i="2" s="1"/>
  <c r="DN137" i="2" a="1"/>
  <c r="DN137" i="2" s="1"/>
  <c r="DN190" i="2" a="1"/>
  <c r="DN190" i="2" s="1"/>
  <c r="DN16" i="2" a="1"/>
  <c r="DN16" i="2" s="1"/>
  <c r="DN114" i="2" a="1"/>
  <c r="DN114" i="2" s="1"/>
  <c r="DN133" i="2" a="1"/>
  <c r="DN133" i="2" s="1"/>
  <c r="DN103" i="2" a="1"/>
  <c r="DN103" i="2" s="1"/>
  <c r="DN86" i="2" a="1"/>
  <c r="DN86" i="2" s="1"/>
  <c r="DN25" i="2" a="1"/>
  <c r="DN25" i="2" s="1"/>
  <c r="DN124" i="2" a="1"/>
  <c r="DN124" i="2" s="1"/>
  <c r="DN45" i="2" a="1"/>
  <c r="DN45" i="2" s="1"/>
  <c r="DN65" i="2" a="1"/>
  <c r="DN65" i="2" s="1"/>
  <c r="DN49" i="2" a="1"/>
  <c r="DN49" i="2" s="1"/>
  <c r="DN177" i="2" a="1"/>
  <c r="DN177" i="2" s="1"/>
  <c r="DN184" i="2" a="1"/>
  <c r="DN184" i="2" s="1"/>
  <c r="DN155" i="2" a="1"/>
  <c r="DN155" i="2" s="1"/>
  <c r="DN162" i="2" a="1"/>
  <c r="DN162" i="2" s="1"/>
  <c r="DN132" i="2" a="1"/>
  <c r="DN132" i="2" s="1"/>
  <c r="DN70" i="2" a="1"/>
  <c r="DN70" i="2" s="1"/>
  <c r="DN164" i="2" a="1"/>
  <c r="DN164" i="2" s="1"/>
  <c r="DN63" i="2" a="1"/>
  <c r="DN63" i="2" s="1"/>
  <c r="DN123" i="2" a="1"/>
  <c r="DN123" i="2" s="1"/>
  <c r="DN115" i="2" a="1"/>
  <c r="DN115" i="2" s="1"/>
  <c r="DN152" i="2" a="1"/>
  <c r="DN152" i="2" s="1"/>
  <c r="DN30" i="2" a="1"/>
  <c r="DN30" i="2" s="1"/>
  <c r="DN55" i="2" a="1"/>
  <c r="DN55" i="2" s="1"/>
  <c r="DN135" i="2" a="1"/>
  <c r="DN135" i="2" s="1"/>
  <c r="DN153" i="2" a="1"/>
  <c r="DN153" i="2" s="1"/>
  <c r="DN29" i="2" a="1"/>
  <c r="DN29" i="2" s="1"/>
  <c r="DN46" i="2" a="1"/>
  <c r="DN46" i="2" s="1"/>
  <c r="DN110" i="2" a="1"/>
  <c r="DN110" i="2" s="1"/>
  <c r="DN38" i="2" a="1"/>
  <c r="DN38" i="2" s="1"/>
  <c r="DN150" i="2" a="1"/>
  <c r="DN150" i="2" s="1"/>
  <c r="DN170" i="2" a="1"/>
  <c r="DN170" i="2" s="1"/>
  <c r="DN41" i="2" a="1"/>
  <c r="DN41" i="2" s="1"/>
  <c r="DN31" i="2" a="1"/>
  <c r="DN31" i="2" s="1"/>
  <c r="DN80" i="2" a="1"/>
  <c r="DN80" i="2" s="1"/>
  <c r="DN192" i="2" a="1"/>
  <c r="DN192" i="2" s="1"/>
  <c r="DN129" i="2" a="1"/>
  <c r="DN129" i="2" s="1"/>
  <c r="DN43" i="2" a="1"/>
  <c r="DN43" i="2" s="1"/>
  <c r="DN176" i="2" a="1"/>
  <c r="DN176" i="2" s="1"/>
  <c r="DN167" i="2" a="1"/>
  <c r="DN167" i="2" s="1"/>
  <c r="DN168" i="2" a="1"/>
  <c r="DN168" i="2" s="1"/>
  <c r="DN66" i="2" a="1"/>
  <c r="DN66" i="2" s="1"/>
  <c r="DN50" i="2" a="1"/>
  <c r="DN50" i="2" s="1"/>
  <c r="DN186" i="2" a="1"/>
  <c r="DN186" i="2" s="1"/>
  <c r="DN56" i="2" a="1"/>
  <c r="DN56" i="2" s="1"/>
  <c r="GT38" i="2" a="1"/>
  <c r="GT38" i="2" s="1"/>
  <c r="GT121" i="2" a="1"/>
  <c r="GT121" i="2" s="1"/>
  <c r="GT126" i="2" a="1"/>
  <c r="GT126" i="2" s="1"/>
  <c r="GT122" i="2" a="1"/>
  <c r="GT122" i="2" s="1"/>
  <c r="GT138" i="2" a="1"/>
  <c r="GT138" i="2" s="1"/>
  <c r="GT178" i="2" a="1"/>
  <c r="GT178" i="2" s="1"/>
  <c r="GT102" i="2" a="1"/>
  <c r="GT102" i="2" s="1"/>
  <c r="GT68" i="2" a="1"/>
  <c r="GT68" i="2" s="1"/>
  <c r="GT107" i="2" a="1"/>
  <c r="GT107" i="2" s="1"/>
  <c r="GT189" i="2" a="1"/>
  <c r="GT189" i="2" s="1"/>
  <c r="GT147" i="2" a="1"/>
  <c r="GT147" i="2" s="1"/>
  <c r="GT181" i="2" a="1"/>
  <c r="GT181" i="2" s="1"/>
  <c r="HH203" i="2"/>
  <c r="GT174" i="2" a="1"/>
  <c r="GT174" i="2" s="1"/>
  <c r="GT198" i="2" a="1"/>
  <c r="GT198" i="2" s="1"/>
  <c r="GT152" i="2" a="1"/>
  <c r="GT152" i="2" s="1"/>
  <c r="GT184" i="2" a="1"/>
  <c r="GT184" i="2" s="1"/>
  <c r="GT190" i="2" a="1"/>
  <c r="GT190" i="2" s="1"/>
  <c r="GT21" i="2" a="1"/>
  <c r="GT21" i="2" s="1"/>
  <c r="GT33" i="2" a="1"/>
  <c r="GT33" i="2" s="1"/>
  <c r="GT115" i="2" a="1"/>
  <c r="GT115" i="2" s="1"/>
  <c r="GT191" i="2" a="1"/>
  <c r="GT191" i="2" s="1"/>
  <c r="GT12" i="2" a="1"/>
  <c r="GT12" i="2" s="1"/>
  <c r="GT133" i="2" a="1"/>
  <c r="GT133" i="2" s="1"/>
  <c r="FR203" i="2"/>
  <c r="HG203" i="2"/>
  <c r="CS72" i="2" a="1"/>
  <c r="CS72" i="2" s="1"/>
  <c r="CS134" i="2" a="1"/>
  <c r="CS134" i="2" s="1"/>
  <c r="CS185" i="2" a="1"/>
  <c r="CS185" i="2" s="1"/>
  <c r="CS161" i="2" a="1"/>
  <c r="CS161" i="2" s="1"/>
  <c r="AH92" i="2" a="1"/>
  <c r="AH92" i="2" s="1"/>
  <c r="CS24" i="2" a="1"/>
  <c r="CS24" i="2" s="1"/>
  <c r="CS120" i="2" a="1"/>
  <c r="CS120" i="2" s="1"/>
  <c r="AH163" i="2" a="1"/>
  <c r="AH163" i="2" s="1"/>
  <c r="AH199" i="2" a="1"/>
  <c r="AH199" i="2" s="1"/>
  <c r="CS137" i="2" a="1"/>
  <c r="CS137" i="2" s="1"/>
  <c r="CS129" i="2" a="1"/>
  <c r="CS129" i="2" s="1"/>
  <c r="AH166" i="2" a="1"/>
  <c r="AH166" i="2" s="1"/>
  <c r="CS52" i="2" a="1"/>
  <c r="CS52" i="2" s="1"/>
  <c r="BX107" i="2" a="1"/>
  <c r="BX107" i="2" s="1"/>
  <c r="CS114" i="2" a="1"/>
  <c r="CS114" i="2" s="1"/>
  <c r="AH19" i="2" a="1"/>
  <c r="AH19" i="2" s="1"/>
  <c r="CS56" i="2" a="1"/>
  <c r="CS56" i="2" s="1"/>
  <c r="CS38" i="2" a="1"/>
  <c r="CS38" i="2" s="1"/>
  <c r="AH90" i="2" a="1"/>
  <c r="AH90" i="2" s="1"/>
  <c r="CS116" i="2" a="1"/>
  <c r="CS116" i="2" s="1"/>
  <c r="CS66" i="2" a="1"/>
  <c r="CS66" i="2" s="1"/>
  <c r="CS105" i="2" a="1"/>
  <c r="CS105" i="2" s="1"/>
  <c r="CS77" i="2" a="1"/>
  <c r="CS7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50" i="2" l="1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FE202" i="2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<sst xmlns="http://schemas.openxmlformats.org/spreadsheetml/2006/main" count="1172" uniqueCount="324">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</sst>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2.8639959403802187</c:v>
                </c:pt>
                <c:pt idx="2">
                  <c:v>3.3293427574033534</c:v>
                </c:pt>
                <c:pt idx="3">
                  <c:v>3.8705728416619798</c:v>
                </c:pt>
                <c:pt idx="4">
                  <c:v>4.5001023718033588</c:v>
                </c:pt>
                <c:pt idx="5">
                  <c:v>5.2323855366746921</c:v>
                </c:pt>
                <c:pt idx="6">
                  <c:v>6.0842500435635616</c:v>
                </c:pt>
                <c:pt idx="7">
                  <c:v>7.0752880099445896</c:v>
                </c:pt>
                <c:pt idx="8">
                  <c:v>8.2283114039272416</c:v>
                </c:pt>
                <c:pt idx="9">
                  <c:v>9.5698827187741795</c:v>
                </c:pt>
                <c:pt idx="10">
                  <c:v>11.13093333969983</c:v>
                </c:pt>
                <c:pt idx="11">
                  <c:v>12.947484128738731</c:v>
                </c:pt>
                <c:pt idx="12">
                  <c:v>15.061485164885092</c:v>
                </c:pt>
                <c:pt idx="13">
                  <c:v>17.521794389231651</c:v>
                </c:pt>
                <c:pt idx="14">
                  <c:v>20.385318185319104</c:v>
                </c:pt>
                <c:pt idx="15">
                  <c:v>23.718340751345561</c:v>
                </c:pt>
                <c:pt idx="16">
                  <c:v>27.598073584299282</c:v>
                </c:pt>
                <c:pt idx="17">
                  <c:v>32.114461602684813</c:v>
                </c:pt>
                <c:pt idx="18">
                  <c:v>37.37228850827281</c:v>
                </c:pt>
                <c:pt idx="19">
                  <c:v>43.493631072881378</c:v>
                </c:pt>
                <c:pt idx="20">
                  <c:v>50.620720302429298</c:v>
                </c:pt>
                <c:pt idx="21">
                  <c:v>58.91927707443957</c:v>
                </c:pt>
                <c:pt idx="22">
                  <c:v>68.582401096802926</c:v>
                </c:pt>
                <c:pt idx="23">
                  <c:v>79.835105163370045</c:v>
                </c:pt>
                <c:pt idx="24">
                  <c:v>92.939601999150909</c:v>
                </c:pt>
                <c:pt idx="25">
                  <c:v>108.20146886027378</c:v>
                </c:pt>
                <c:pt idx="26">
                  <c:v>125.97683590829324</c:v>
                </c:pt>
                <c:pt idx="27">
                  <c:v>146.68076871324072</c:v>
                </c:pt>
                <c:pt idx="28">
                  <c:v>170.79704363667568</c:v>
                </c:pt>
                <c:pt idx="29">
                  <c:v>198.88954798395798</c:v>
                </c:pt>
                <c:pt idx="30">
                  <c:v>231.61557548672567</c:v>
                </c:pt>
                <c:pt idx="31">
                  <c:v>248.98148133075566</c:v>
                </c:pt>
                <c:pt idx="32">
                  <c:v>266.31991507152122</c:v>
                </c:pt>
                <c:pt idx="33">
                  <c:v>283.63291681047082</c:v>
                </c:pt>
                <c:pt idx="34">
                  <c:v>300.92225719387051</c:v>
                </c:pt>
                <c:pt idx="35">
                  <c:v>255.67682082579753</c:v>
                </c:pt>
                <c:pt idx="36">
                  <c:v>276.05546061528617</c:v>
                </c:pt>
                <c:pt idx="37">
                  <c:v>296.40032549230995</c:v>
                </c:pt>
                <c:pt idx="38">
                  <c:v>316.71405899195372</c:v>
                </c:pt>
                <c:pt idx="39">
                  <c:v>336.99893785828505</c:v>
                </c:pt>
                <c:pt idx="40">
                  <c:v>357.25694241439805</c:v>
                </c:pt>
                <c:pt idx="41">
                  <c:v>377.48981012490543</c:v>
                </c:pt>
                <c:pt idx="42">
                  <c:v>397.69907706908663</c:v>
                </c:pt>
                <c:pt idx="43">
                  <c:v>324.9612598100843</c:v>
                </c:pt>
                <c:pt idx="44">
                  <c:v>345.50636423997958</c:v>
                </c:pt>
                <c:pt idx="45">
                  <c:v>366.02464582894544</c:v>
                </c:pt>
                <c:pt idx="46">
                  <c:v>386.51781886166515</c:v>
                </c:pt>
                <c:pt idx="47">
                  <c:v>406.98740107773807</c:v>
                </c:pt>
                <c:pt idx="48">
                  <c:v>427.43474516112082</c:v>
                </c:pt>
                <c:pt idx="49">
                  <c:v>447.86106388908206</c:v>
                </c:pt>
                <c:pt idx="50">
                  <c:v>468.26745045400418</c:v>
                </c:pt>
                <c:pt idx="51">
                  <c:v>380.63726250489032</c:v>
                </c:pt>
                <c:pt idx="52">
                  <c:v>400.52960561786057</c:v>
                </c:pt>
                <c:pt idx="53">
                  <c:v>420.40057443622942</c:v>
                </c:pt>
                <c:pt idx="54">
                  <c:v>440.25132078927794</c:v>
                </c:pt>
                <c:pt idx="55">
                  <c:v>460.08288421816832</c:v>
                </c:pt>
                <c:pt idx="56">
                  <c:v>479.89620738973196</c:v>
                </c:pt>
                <c:pt idx="57">
                  <c:v>499.69214883263152</c:v>
                </c:pt>
                <c:pt idx="58">
                  <c:v>519.47149355077215</c:v>
                </c:pt>
                <c:pt idx="59">
                  <c:v>441.04961955072281</c:v>
                </c:pt>
                <c:pt idx="60">
                  <c:v>459.98421652792916</c:v>
                </c:pt>
                <c:pt idx="61">
                  <c:v>478.90218184657004</c:v>
                </c:pt>
                <c:pt idx="62">
                  <c:v>497.80426455705566</c:v>
                </c:pt>
                <c:pt idx="63">
                  <c:v>516.69115222171979</c:v>
                </c:pt>
                <c:pt idx="64">
                  <c:v>535.56347807122279</c:v>
                </c:pt>
                <c:pt idx="65">
                  <c:v>554.4218271001721</c:v>
                </c:pt>
                <c:pt idx="66">
                  <c:v>573.26674129063406</c:v>
                </c:pt>
                <c:pt idx="67">
                  <c:v>480.24780263407638</c:v>
                </c:pt>
                <c:pt idx="68">
                  <c:v>498.05380229338692</c:v>
                </c:pt>
                <c:pt idx="69">
                  <c:v>515.84632529138878</c:v>
                </c:pt>
                <c:pt idx="70">
                  <c:v>533.62590162310812</c:v>
                </c:pt>
                <c:pt idx="71">
                  <c:v>551.39302310824553</c:v>
                </c:pt>
                <c:pt idx="72">
                  <c:v>569.14814730758542</c:v>
                </c:pt>
                <c:pt idx="73">
                  <c:v>586.89170092552831</c:v>
                </c:pt>
                <c:pt idx="74">
                  <c:v>604.62408277997235</c:v>
                </c:pt>
                <c:pt idx="75">
                  <c:v>513.54299813528871</c:v>
                </c:pt>
                <c:pt idx="76">
                  <c:v>530.27495450689946</c:v>
                </c:pt>
                <c:pt idx="77">
                  <c:v>546.99580366096939</c:v>
                </c:pt>
                <c:pt idx="78">
                  <c:v>563.70593274473765</c:v>
                </c:pt>
                <c:pt idx="79">
                  <c:v>580.40570409493978</c:v>
                </c:pt>
                <c:pt idx="80">
                  <c:v>597.09545751056794</c:v>
                </c:pt>
                <c:pt idx="81">
                  <c:v>613.77551225844934</c:v>
                </c:pt>
                <c:pt idx="82">
                  <c:v>630.44616884960124</c:v>
                </c:pt>
                <c:pt idx="83">
                  <c:v>564.10382127051901</c:v>
                </c:pt>
                <c:pt idx="84">
                  <c:v>580.17660502845399</c:v>
                </c:pt>
                <c:pt idx="85">
                  <c:v>596.2401048425678</c:v>
                </c:pt>
                <c:pt idx="86">
                  <c:v>612.29460590955534</c:v>
                </c:pt>
                <c:pt idx="87">
                  <c:v>628.34037726041072</c:v>
                </c:pt>
                <c:pt idx="88">
                  <c:v>644.37767307464867</c:v>
                </c:pt>
                <c:pt idx="89">
                  <c:v>660.40673385697016</c:v>
                </c:pt>
                <c:pt idx="90">
                  <c:v>676.42778749383285</c:v>
                </c:pt>
                <c:pt idx="91">
                  <c:v>595.46127013578644</c:v>
                </c:pt>
                <c:pt idx="92">
                  <c:v>610.94374529595405</c:v>
                </c:pt>
                <c:pt idx="93">
                  <c:v>626.41808190899428</c:v>
                </c:pt>
                <c:pt idx="94">
                  <c:v>641.88450921534013</c:v>
                </c:pt>
                <c:pt idx="95">
                  <c:v>657.3432445146284</c:v>
                </c:pt>
                <c:pt idx="96">
                  <c:v>672.79449405964499</c:v>
                </c:pt>
                <c:pt idx="97">
                  <c:v>688.23845386393521</c:v>
                </c:pt>
                <c:pt idx="98">
                  <c:v>703.67531043320753</c:v>
                </c:pt>
                <c:pt idx="99">
                  <c:v>719.10524142927113</c:v>
                </c:pt>
                <c:pt idx="100">
                  <c:v>734.52841627406622</c:v>
                </c:pt>
                <c:pt idx="101">
                  <c:v>619.44411785363297</c:v>
                </c:pt>
                <c:pt idx="102">
                  <c:v>634.26987556077927</c:v>
                </c:pt>
                <c:pt idx="103">
                  <c:v>649.08847181857095</c:v>
                </c:pt>
                <c:pt idx="104">
                  <c:v>663.90009305467527</c:v>
                </c:pt>
                <c:pt idx="105">
                  <c:v>678.704916705458</c:v>
                </c:pt>
                <c:pt idx="106">
                  <c:v>693.50311184034763</c:v>
                </c:pt>
                <c:pt idx="107">
                  <c:v>708.29483973017648</c:v>
                </c:pt>
                <c:pt idx="108">
                  <c:v>723.08025436560968</c:v>
                </c:pt>
                <c:pt idx="109">
                  <c:v>737.85950293100223</c:v>
                </c:pt>
                <c:pt idx="110">
                  <c:v>752.63272623834416</c:v>
                </c:pt>
                <c:pt idx="111">
                  <c:v>665.42878777540602</c:v>
                </c:pt>
                <c:pt idx="112">
                  <c:v>680.03719288224272</c:v>
                </c:pt>
                <c:pt idx="113">
                  <c:v>694.63915807971728</c:v>
                </c:pt>
                <c:pt idx="114">
                  <c:v>709.23483772152179</c:v>
                </c:pt>
                <c:pt idx="115">
                  <c:v>723.82437929482228</c:v>
                </c:pt>
                <c:pt idx="116">
                  <c:v>738.40792386082285</c:v>
                </c:pt>
                <c:pt idx="117">
                  <c:v>752.98560645873988</c:v>
                </c:pt>
                <c:pt idx="118">
                  <c:v>767.55755647689455</c:v>
                </c:pt>
                <c:pt idx="119">
                  <c:v>782.12389799418236</c:v>
                </c:pt>
                <c:pt idx="120">
                  <c:v>796.68475009480505</c:v>
                </c:pt>
                <c:pt idx="121">
                  <c:v>719.99933251995401</c:v>
                </c:pt>
                <c:pt idx="122">
                  <c:v>734.58052793392801</c:v>
                </c:pt>
                <c:pt idx="123">
                  <c:v>749.15582965635815</c:v>
                </c:pt>
                <c:pt idx="124">
                  <c:v>763.72536842018542</c:v>
                </c:pt>
                <c:pt idx="125">
                  <c:v>778.28926956769021</c:v>
                </c:pt>
                <c:pt idx="126">
                  <c:v>792.84765337156171</c:v>
                </c:pt>
                <c:pt idx="127">
                  <c:v>807.40063533118018</c:v>
                </c:pt>
                <c:pt idx="128">
                  <c:v>821.94832644644737</c:v>
                </c:pt>
                <c:pt idx="129">
                  <c:v>836.49083347124179</c:v>
                </c:pt>
                <c:pt idx="130">
                  <c:v>851.02825914835046</c:v>
                </c:pt>
                <c:pt idx="131">
                  <c:v>761.45763332164108</c:v>
                </c:pt>
                <c:pt idx="132">
                  <c:v>776.12390837982286</c:v>
                </c:pt>
                <c:pt idx="133">
                  <c:v>790.78457108132534</c:v>
                </c:pt>
                <c:pt idx="134">
                  <c:v>805.43974004806614</c:v>
                </c:pt>
                <c:pt idx="135">
                  <c:v>820.08952923707818</c:v>
                </c:pt>
                <c:pt idx="136">
                  <c:v>834.73404820572796</c:v>
                </c:pt>
                <c:pt idx="137">
                  <c:v>849.37340235736701</c:v>
                </c:pt>
                <c:pt idx="138">
                  <c:v>864.00769316918922</c:v>
                </c:pt>
                <c:pt idx="139">
                  <c:v>878.63701840386273</c:v>
                </c:pt>
                <c:pt idx="140">
                  <c:v>893.26147230634558</c:v>
                </c:pt>
                <c:pt idx="141">
                  <c:v>805.64649680872481</c:v>
                </c:pt>
                <c:pt idx="142">
                  <c:v>820.31310933155225</c:v>
                </c:pt>
                <c:pt idx="143">
                  <c:v>834.97444110892411</c:v>
                </c:pt>
                <c:pt idx="144">
                  <c:v>849.63059784534641</c:v>
                </c:pt>
                <c:pt idx="145">
                  <c:v>864.28168130462757</c:v>
                </c:pt>
                <c:pt idx="146">
                  <c:v>878.92778952247227</c:v>
                </c:pt>
                <c:pt idx="147">
                  <c:v>893.56901700417745</c:v>
                </c:pt>
                <c:pt idx="148">
                  <c:v>908.20545490871746</c:v>
                </c:pt>
                <c:pt idx="149">
                  <c:v>922.83719122035438</c:v>
                </c:pt>
                <c:pt idx="150">
                  <c:v>937.46431090881333</c:v>
                </c:pt>
                <c:pt idx="151">
                  <c:v>586.66810843693384</c:v>
                </c:pt>
                <c:pt idx="152">
                  <c:v>598.96417001608711</c:v>
                </c:pt>
                <c:pt idx="153">
                  <c:v>611.2549848863099</c:v>
                </c:pt>
                <c:pt idx="154">
                  <c:v>401.209131802287</c:v>
                </c:pt>
                <c:pt idx="155">
                  <c:v>406.81592560220616</c:v>
                </c:pt>
                <c:pt idx="156">
                  <c:v>412.42104964965648</c:v>
                </c:pt>
                <c:pt idx="157">
                  <c:v>281.34919143044465</c:v>
                </c:pt>
                <c:pt idx="158">
                  <c:v>284.67325459458777</c:v>
                </c:pt>
                <c:pt idx="159">
                  <c:v>287.99644868457426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8.2086028826448842</c:v>
                </c:pt>
                <c:pt idx="2">
                  <c:v>16.053539832766891</c:v>
                </c:pt>
                <c:pt idx="3">
                  <c:v>23.781030941571871</c:v>
                </c:pt>
                <c:pt idx="4">
                  <c:v>31.436125701125736</c:v>
                </c:pt>
                <c:pt idx="5">
                  <c:v>39.039242018052803</c:v>
                </c:pt>
                <c:pt idx="6">
                  <c:v>46.60202711876294</c:v>
                </c:pt>
                <c:pt idx="7">
                  <c:v>54.131989519776056</c:v>
                </c:pt>
                <c:pt idx="8">
                  <c:v>61.634359199284269</c:v>
                </c:pt>
                <c:pt idx="9">
                  <c:v>69.112980257789559</c:v>
                </c:pt>
                <c:pt idx="10">
                  <c:v>76.570792436869567</c:v>
                </c:pt>
                <c:pt idx="11">
                  <c:v>84.010113506788784</c:v>
                </c:pt>
                <c:pt idx="12">
                  <c:v>91.432815654185902</c:v>
                </c:pt>
                <c:pt idx="13">
                  <c:v>98.840441241262852</c:v>
                </c:pt>
                <c:pt idx="14">
                  <c:v>106.23428186432943</c:v>
                </c:pt>
                <c:pt idx="15">
                  <c:v>113.61543415051698</c:v>
                </c:pt>
                <c:pt idx="16">
                  <c:v>120.98484023783818</c:v>
                </c:pt>
                <c:pt idx="17">
                  <c:v>128.34331784082761</c:v>
                </c:pt>
                <c:pt idx="18">
                  <c:v>135.69158303780503</c:v>
                </c:pt>
                <c:pt idx="19">
                  <c:v>143.03026784912717</c:v>
                </c:pt>
                <c:pt idx="20">
                  <c:v>150.3599340091823</c:v>
                </c:pt>
                <c:pt idx="21">
                  <c:v>157.68108390571064</c:v>
                </c:pt>
                <c:pt idx="22">
                  <c:v>164.99416937640697</c:v>
                </c:pt>
                <c:pt idx="23">
                  <c:v>172.29959886093033</c:v>
                </c:pt>
                <c:pt idx="24">
                  <c:v>179.59774327398824</c:v>
                </c:pt>
                <c:pt idx="25">
                  <c:v>186.88894087199233</c:v>
                </c:pt>
                <c:pt idx="26">
                  <c:v>194.17350131912971</c:v>
                </c:pt>
                <c:pt idx="27">
                  <c:v>201.45170911029058</c:v>
                </c:pt>
                <c:pt idx="28">
                  <c:v>208.72382647263944</c:v>
                </c:pt>
                <c:pt idx="29">
                  <c:v>215.99009584102853</c:v>
                </c:pt>
                <c:pt idx="30">
                  <c:v>223.25074198238178</c:v>
                </c:pt>
                <c:pt idx="31">
                  <c:v>230.50597382887122</c:v>
                </c:pt>
                <c:pt idx="32">
                  <c:v>237.7559860679095</c:v>
                </c:pt>
                <c:pt idx="33">
                  <c:v>245.00096052781029</c:v>
                </c:pt>
                <c:pt idx="34">
                  <c:v>252.24106739077067</c:v>
                </c:pt>
                <c:pt idx="35">
                  <c:v>259.4764662591395</c:v>
                </c:pt>
                <c:pt idx="36">
                  <c:v>266.70730709640253</c:v>
                </c:pt>
                <c:pt idx="37">
                  <c:v>273.93373106067219</c:v>
                </c:pt>
                <c:pt idx="38">
                  <c:v>281.15587124553849</c:v>
                </c:pt>
                <c:pt idx="39">
                  <c:v>288.37385334074054</c:v>
                </c:pt>
                <c:pt idx="40">
                  <c:v>295.58779622317098</c:v>
                </c:pt>
                <c:pt idx="41">
                  <c:v>302.79781248711566</c:v>
                </c:pt>
                <c:pt idx="42">
                  <c:v>310.00400892130671</c:v>
                </c:pt>
                <c:pt idx="43">
                  <c:v>317.20648693926199</c:v>
                </c:pt>
                <c:pt idx="44">
                  <c:v>324.40534296846448</c:v>
                </c:pt>
                <c:pt idx="45">
                  <c:v>331.60066880316543</c:v>
                </c:pt>
                <c:pt idx="46">
                  <c:v>338.79255192494179</c:v>
                </c:pt>
                <c:pt idx="47">
                  <c:v>345.98107579459423</c:v>
                </c:pt>
                <c:pt idx="48">
                  <c:v>353.16632011850021</c:v>
                </c:pt>
                <c:pt idx="49">
                  <c:v>360.34836109214575</c:v>
                </c:pt>
                <c:pt idx="50">
                  <c:v>367.52727162321457</c:v>
                </c:pt>
                <c:pt idx="51">
                  <c:v>276.15485155170489</c:v>
                </c:pt>
                <c:pt idx="52">
                  <c:v>292.37691037533943</c:v>
                </c:pt>
                <c:pt idx="53">
                  <c:v>308.57887773144279</c:v>
                </c:pt>
                <c:pt idx="54">
                  <c:v>324.76195692512073</c:v>
                </c:pt>
                <c:pt idx="55">
                  <c:v>340.92722154371307</c:v>
                </c:pt>
                <c:pt idx="56">
                  <c:v>357.07563505707634</c:v>
                </c:pt>
                <c:pt idx="57">
                  <c:v>373.20806668559732</c:v>
                </c:pt>
                <c:pt idx="58">
                  <c:v>389.32530438048849</c:v>
                </c:pt>
                <c:pt idx="59">
                  <c:v>405.42806554206476</c:v>
                </c:pt>
                <c:pt idx="60">
                  <c:v>421.51700594617955</c:v>
                </c:pt>
                <c:pt idx="61">
                  <c:v>297.6566208889742</c:v>
                </c:pt>
                <c:pt idx="62">
                  <c:v>310.46835672683767</c:v>
                </c:pt>
                <c:pt idx="63">
                  <c:v>323.26836052544962</c:v>
                </c:pt>
                <c:pt idx="64">
                  <c:v>336.05716237315625</c:v>
                </c:pt>
                <c:pt idx="65">
                  <c:v>348.83524870936634</c:v>
                </c:pt>
                <c:pt idx="66">
                  <c:v>361.60306741989399</c:v>
                </c:pt>
                <c:pt idx="67">
                  <c:v>374.36103217484947</c:v>
                </c:pt>
                <c:pt idx="68">
                  <c:v>387.10952614417732</c:v>
                </c:pt>
                <c:pt idx="69">
                  <c:v>399.84890519810352</c:v>
                </c:pt>
                <c:pt idx="70">
                  <c:v>412.57950067836936</c:v>
                </c:pt>
                <c:pt idx="71">
                  <c:v>313.85310194562567</c:v>
                </c:pt>
                <c:pt idx="72">
                  <c:v>323.64177390266542</c:v>
                </c:pt>
                <c:pt idx="73">
                  <c:v>333.42390246092475</c:v>
                </c:pt>
                <c:pt idx="74">
                  <c:v>343.19970677112991</c:v>
                </c:pt>
                <c:pt idx="75">
                  <c:v>352.96939247320825</c:v>
                </c:pt>
                <c:pt idx="76">
                  <c:v>362.73315288824142</c:v>
                </c:pt>
                <c:pt idx="77">
                  <c:v>372.49117007532504</c:v>
                </c:pt>
                <c:pt idx="78">
                  <c:v>382.24361577186119</c:v>
                </c:pt>
                <c:pt idx="79">
                  <c:v>391.99065223284441</c:v>
                </c:pt>
                <c:pt idx="80">
                  <c:v>401.73243298228925</c:v>
                </c:pt>
                <c:pt idx="81">
                  <c:v>327.45526842200394</c:v>
                </c:pt>
                <c:pt idx="82">
                  <c:v>335.96230652747823</c:v>
                </c:pt>
                <c:pt idx="83">
                  <c:v>344.46460115293763</c:v>
                </c:pt>
                <c:pt idx="84">
                  <c:v>352.96228597747768</c:v>
                </c:pt>
                <c:pt idx="85">
                  <c:v>361.45548771357215</c:v>
                </c:pt>
                <c:pt idx="86">
                  <c:v>369.94432662888158</c:v>
                </c:pt>
                <c:pt idx="87">
                  <c:v>378.42891701764421</c:v>
                </c:pt>
                <c:pt idx="88">
                  <c:v>386.90936762756382</c:v>
                </c:pt>
                <c:pt idx="89">
                  <c:v>395.3857820473022</c:v>
                </c:pt>
                <c:pt idx="90">
                  <c:v>403.85825905899543</c:v>
                </c:pt>
                <c:pt idx="91">
                  <c:v>350.92654034119943</c:v>
                </c:pt>
                <c:pt idx="92">
                  <c:v>358.26760123714899</c:v>
                </c:pt>
                <c:pt idx="93">
                  <c:v>365.6053706643018</c:v>
                </c:pt>
                <c:pt idx="94">
                  <c:v>372.93992405664699</c:v>
                </c:pt>
                <c:pt idx="95">
                  <c:v>380.27133363654815</c:v>
                </c:pt>
                <c:pt idx="96">
                  <c:v>387.59966861213042</c:v>
                </c:pt>
                <c:pt idx="97">
                  <c:v>394.92499535894922</c:v>
                </c:pt>
                <c:pt idx="98">
                  <c:v>402.24737758747233</c:v>
                </c:pt>
                <c:pt idx="99">
                  <c:v>409.56687649772226</c:v>
                </c:pt>
                <c:pt idx="100">
                  <c:v>416.8835509222842</c:v>
                </c:pt>
                <c:pt idx="101">
                  <c:v>238.62378479665435</c:v>
                </c:pt>
                <c:pt idx="102">
                  <c:v>243.48879310045405</c:v>
                </c:pt>
                <c:pt idx="103">
                  <c:v>248.35159128072624</c:v>
                </c:pt>
                <c:pt idx="104">
                  <c:v>253.21222879823188</c:v>
                </c:pt>
                <c:pt idx="105">
                  <c:v>258.0707530564701</c:v>
                </c:pt>
                <c:pt idx="106">
                  <c:v>262.92720952525747</c:v>
                </c:pt>
                <c:pt idx="107">
                  <c:v>267.78164185468734</c:v>
                </c:pt>
                <c:pt idx="108">
                  <c:v>272.6340919803817</c:v>
                </c:pt>
                <c:pt idx="109">
                  <c:v>277.48460022084828</c:v>
                </c:pt>
                <c:pt idx="110">
                  <c:v>282.33320536766524</c:v>
                </c:pt>
                <c:pt idx="111">
                  <c:v>151.17471940810222</c:v>
                </c:pt>
                <c:pt idx="112">
                  <c:v>154.41672736947567</c:v>
                </c:pt>
                <c:pt idx="113">
                  <c:v>157.65711675206333</c:v>
                </c:pt>
                <c:pt idx="114">
                  <c:v>160.89592561748995</c:v>
                </c:pt>
                <c:pt idx="115">
                  <c:v>164.13319036551849</c:v>
                </c:pt>
                <c:pt idx="116">
                  <c:v>167.36894583874275</c:v>
                </c:pt>
                <c:pt idx="117">
                  <c:v>170.60322541874106</c:v>
                </c:pt>
                <c:pt idx="118">
                  <c:v>173.83606111453852</c:v>
                </c:pt>
                <c:pt idx="119">
                  <c:v>177.0674836441294</c:v>
                </c:pt>
                <c:pt idx="120">
                  <c:v>180.29752250972265</c:v>
                </c:pt>
                <c:pt idx="121">
                  <c:v>4.7473660027132696E-13</c:v>
                </c:pt>
                <c:pt idx="122">
                  <c:v>4.7473660027132696E-13</c:v>
                </c:pt>
                <c:pt idx="123">
                  <c:v>4.7473660027132696E-13</c:v>
                </c:pt>
                <c:pt idx="124">
                  <c:v>4.7473660027132696E-13</c:v>
                </c:pt>
                <c:pt idx="125">
                  <c:v>4.7473660027132696E-13</c:v>
                </c:pt>
                <c:pt idx="126">
                  <c:v>4.7473660027132696E-13</c:v>
                </c:pt>
                <c:pt idx="127">
                  <c:v>4.7473660027132696E-13</c:v>
                </c:pt>
                <c:pt idx="128">
                  <c:v>4.7473660027132696E-13</c:v>
                </c:pt>
                <c:pt idx="129">
                  <c:v>4.7473660027132696E-13</c:v>
                </c:pt>
                <c:pt idx="130">
                  <c:v>4.7473660027132696E-13</c:v>
                </c:pt>
                <c:pt idx="131">
                  <c:v>4.7473660027132696E-13</c:v>
                </c:pt>
                <c:pt idx="132">
                  <c:v>4.7473660027132696E-13</c:v>
                </c:pt>
                <c:pt idx="133">
                  <c:v>4.7473660027132696E-13</c:v>
                </c:pt>
                <c:pt idx="134">
                  <c:v>4.7473660027132696E-13</c:v>
                </c:pt>
                <c:pt idx="135">
                  <c:v>4.7473660027132696E-13</c:v>
                </c:pt>
                <c:pt idx="136">
                  <c:v>4.7473660027132696E-13</c:v>
                </c:pt>
                <c:pt idx="137">
                  <c:v>4.7473660027132696E-13</c:v>
                </c:pt>
                <c:pt idx="138">
                  <c:v>4.7473660027132696E-13</c:v>
                </c:pt>
                <c:pt idx="139">
                  <c:v>4.7473660027132696E-13</c:v>
                </c:pt>
                <c:pt idx="140">
                  <c:v>4.7473660027132696E-13</c:v>
                </c:pt>
                <c:pt idx="141">
                  <c:v>4.7473660027132696E-13</c:v>
                </c:pt>
                <c:pt idx="142">
                  <c:v>4.7473660027132696E-13</c:v>
                </c:pt>
                <c:pt idx="143">
                  <c:v>4.7473660027132696E-13</c:v>
                </c:pt>
                <c:pt idx="144">
                  <c:v>4.7473660027132696E-13</c:v>
                </c:pt>
                <c:pt idx="145">
                  <c:v>4.7473660027132696E-13</c:v>
                </c:pt>
                <c:pt idx="146">
                  <c:v>4.7473660027132696E-13</c:v>
                </c:pt>
                <c:pt idx="147">
                  <c:v>4.7473660027132696E-13</c:v>
                </c:pt>
                <c:pt idx="148">
                  <c:v>4.7473660027132696E-13</c:v>
                </c:pt>
                <c:pt idx="149">
                  <c:v>4.7473660027132696E-13</c:v>
                </c:pt>
                <c:pt idx="150">
                  <c:v>4.7473660027132696E-13</c:v>
                </c:pt>
                <c:pt idx="151">
                  <c:v>4.7473660027132696E-13</c:v>
                </c:pt>
                <c:pt idx="152">
                  <c:v>4.7473660027132696E-13</c:v>
                </c:pt>
                <c:pt idx="153">
                  <c:v>4.7473660027132696E-13</c:v>
                </c:pt>
                <c:pt idx="154">
                  <c:v>4.7473660027132696E-13</c:v>
                </c:pt>
                <c:pt idx="155">
                  <c:v>4.7473660027132696E-13</c:v>
                </c:pt>
                <c:pt idx="156">
                  <c:v>4.7473660027132696E-13</c:v>
                </c:pt>
                <c:pt idx="157">
                  <c:v>4.7473660027132696E-13</c:v>
                </c:pt>
                <c:pt idx="158">
                  <c:v>4.7473660027132696E-13</c:v>
                </c:pt>
                <c:pt idx="159">
                  <c:v>4.7473660027132696E-13</c:v>
                </c:pt>
                <c:pt idx="160">
                  <c:v>4.7473660027132696E-13</c:v>
                </c:pt>
                <c:pt idx="161">
                  <c:v>4.7473660027132696E-13</c:v>
                </c:pt>
                <c:pt idx="162">
                  <c:v>4.7473660027132696E-13</c:v>
                </c:pt>
                <c:pt idx="163">
                  <c:v>4.7473660027132696E-13</c:v>
                </c:pt>
                <c:pt idx="164">
                  <c:v>4.7473660027132696E-13</c:v>
                </c:pt>
                <c:pt idx="165">
                  <c:v>4.7473660027132696E-13</c:v>
                </c:pt>
                <c:pt idx="166">
                  <c:v>4.7473660027132696E-13</c:v>
                </c:pt>
                <c:pt idx="167">
                  <c:v>4.7473660027132696E-13</c:v>
                </c:pt>
                <c:pt idx="168">
                  <c:v>4.7473660027132696E-13</c:v>
                </c:pt>
                <c:pt idx="169">
                  <c:v>4.7473660027132696E-13</c:v>
                </c:pt>
                <c:pt idx="170">
                  <c:v>4.7473660027132696E-13</c:v>
                </c:pt>
                <c:pt idx="171">
                  <c:v>4.7473660027132696E-13</c:v>
                </c:pt>
                <c:pt idx="172">
                  <c:v>4.7473660027132696E-13</c:v>
                </c:pt>
                <c:pt idx="173">
                  <c:v>4.7473660027132696E-13</c:v>
                </c:pt>
                <c:pt idx="174">
                  <c:v>4.7473660027132696E-13</c:v>
                </c:pt>
                <c:pt idx="175">
                  <c:v>4.7473660027132696E-13</c:v>
                </c:pt>
                <c:pt idx="176">
                  <c:v>4.7473660027132696E-13</c:v>
                </c:pt>
                <c:pt idx="177">
                  <c:v>4.7473660027132696E-13</c:v>
                </c:pt>
                <c:pt idx="178">
                  <c:v>4.7473660027132696E-13</c:v>
                </c:pt>
                <c:pt idx="179">
                  <c:v>4.7473660027132696E-13</c:v>
                </c:pt>
                <c:pt idx="180">
                  <c:v>4.7473660027132696E-13</c:v>
                </c:pt>
                <c:pt idx="181">
                  <c:v>4.7473660027132696E-13</c:v>
                </c:pt>
                <c:pt idx="182">
                  <c:v>4.7473660027132696E-13</c:v>
                </c:pt>
                <c:pt idx="183">
                  <c:v>4.7473660027132696E-13</c:v>
                </c:pt>
                <c:pt idx="184">
                  <c:v>4.7473660027132696E-13</c:v>
                </c:pt>
                <c:pt idx="185">
                  <c:v>4.7473660027132696E-13</c:v>
                </c:pt>
                <c:pt idx="186">
                  <c:v>4.7473660027132696E-13</c:v>
                </c:pt>
                <c:pt idx="187">
                  <c:v>4.7473660027132696E-13</c:v>
                </c:pt>
                <c:pt idx="188">
                  <c:v>4.7473660027132696E-13</c:v>
                </c:pt>
                <c:pt idx="189">
                  <c:v>4.7473660027132696E-13</c:v>
                </c:pt>
                <c:pt idx="190">
                  <c:v>4.7473660027132696E-13</c:v>
                </c:pt>
                <c:pt idx="191">
                  <c:v>4.7473660027132696E-13</c:v>
                </c:pt>
                <c:pt idx="192">
                  <c:v>4.7473660027132696E-13</c:v>
                </c:pt>
                <c:pt idx="193">
                  <c:v>4.7473660027132696E-13</c:v>
                </c:pt>
                <c:pt idx="194">
                  <c:v>4.7473660027132696E-13</c:v>
                </c:pt>
                <c:pt idx="195">
                  <c:v>4.7473660027132696E-13</c:v>
                </c:pt>
                <c:pt idx="196">
                  <c:v>4.7473660027132696E-13</c:v>
                </c:pt>
                <c:pt idx="197">
                  <c:v>4.7473660027132696E-13</c:v>
                </c:pt>
                <c:pt idx="198">
                  <c:v>4.7473660027132696E-13</c:v>
                </c:pt>
                <c:pt idx="199">
                  <c:v>4.7473660027132696E-13</c:v>
                </c:pt>
                <c:pt idx="200">
                  <c:v>4.7473660027132696E-13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80" zoomScaleNormal="80" workbookViewId="0">
      <selection activeCell="D101" sqref="D10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5.49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0.44</v>
      </c>
      <c r="D9" s="33">
        <f t="shared" ref="D9:D18" si="0">C9*$C$5</f>
        <v>2.4156</v>
      </c>
      <c r="E9" s="34">
        <v>159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</v>
      </c>
      <c r="C10" s="32">
        <v>0.22</v>
      </c>
      <c r="D10" s="33">
        <f t="shared" si="0"/>
        <v>1.2078</v>
      </c>
      <c r="E10" s="34">
        <v>159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45</v>
      </c>
      <c r="C11" s="32">
        <v>0.34</v>
      </c>
      <c r="D11" s="33">
        <f t="shared" si="0"/>
        <v>1.8666000000000003</v>
      </c>
      <c r="E11" s="34">
        <v>110</v>
      </c>
      <c r="F11" s="35" t="str">
        <f t="array" ref="F11">IF(E11="","",IF(INDEX(A:A,MAX(IF(ISNUMBER($A$88:$A$107),ROW($A$88:$A$107),"")))&lt;&gt;E11,"Corrigez : révolution incorrecte","OK"))</f>
        <v>Corrigez : révolution incorrecte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5.49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30</v>
      </c>
      <c r="B36" s="60">
        <f>169.14/1.56</f>
        <v>108.42307692307691</v>
      </c>
      <c r="C36" s="60"/>
      <c r="D36" s="60"/>
      <c r="E36" s="51"/>
      <c r="F36" s="51"/>
      <c r="G36" s="51"/>
      <c r="H36" s="51"/>
      <c r="I36" s="49">
        <f>IFERROR(B36/A36,"")</f>
        <v>3.6141025641025637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34</v>
      </c>
      <c r="B37" s="60">
        <f>221.19/1.56</f>
        <v>141.78846153846152</v>
      </c>
      <c r="C37" s="60">
        <v>1</v>
      </c>
      <c r="D37" s="60">
        <f>49.32/1.56</f>
        <v>31.615384615384613</v>
      </c>
      <c r="E37" s="51"/>
      <c r="F37" s="51"/>
      <c r="G37" s="51"/>
      <c r="H37" s="51"/>
      <c r="I37" s="53">
        <f t="shared" ref="I37:I55" si="1">IF(A37&lt;&gt;0,(B37-(B36-D36))/(A37-A36),"")</f>
        <v>8.3413461538461533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42</v>
      </c>
      <c r="B38" s="60">
        <f>294.31/1.56</f>
        <v>188.66025641025641</v>
      </c>
      <c r="C38" s="60">
        <v>2</v>
      </c>
      <c r="D38" s="60">
        <f>70.51/1.56</f>
        <v>45.198717948717949</v>
      </c>
      <c r="E38" s="51"/>
      <c r="F38" s="51"/>
      <c r="G38" s="51"/>
      <c r="H38" s="51"/>
      <c r="I38" s="53">
        <f t="shared" si="1"/>
        <v>9.8108974358974379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f>347.88/1.56</f>
        <v>223</v>
      </c>
      <c r="C39" s="60">
        <v>3</v>
      </c>
      <c r="D39" s="60">
        <f>81.56/1.56</f>
        <v>52.282051282051285</v>
      </c>
      <c r="E39" s="51"/>
      <c r="F39" s="51"/>
      <c r="G39" s="51"/>
      <c r="H39" s="51"/>
      <c r="I39" s="49">
        <f t="shared" si="1"/>
        <v>9.9423076923076934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58</v>
      </c>
      <c r="B40" s="60">
        <f>386.86/1.56</f>
        <v>247.98717948717947</v>
      </c>
      <c r="C40" s="60">
        <v>4</v>
      </c>
      <c r="D40" s="60">
        <f>74.05/1.56</f>
        <v>47.467948717948715</v>
      </c>
      <c r="E40" s="51"/>
      <c r="F40" s="51"/>
      <c r="G40" s="51"/>
      <c r="H40" s="51"/>
      <c r="I40" s="49">
        <f t="shared" si="1"/>
        <v>9.6586538461538431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66</v>
      </c>
      <c r="B41" s="60">
        <f>427.9/1.56</f>
        <v>274.29487179487177</v>
      </c>
      <c r="C41" s="60">
        <v>5</v>
      </c>
      <c r="D41" s="60">
        <f>84.46/1.56</f>
        <v>54.141025641025635</v>
      </c>
      <c r="E41" s="51"/>
      <c r="F41" s="51"/>
      <c r="G41" s="51"/>
      <c r="H41" s="51"/>
      <c r="I41" s="53">
        <f t="shared" si="1"/>
        <v>9.2219551282051242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74</v>
      </c>
      <c r="B42" s="60">
        <f>451.86/1.56</f>
        <v>289.65384615384613</v>
      </c>
      <c r="C42" s="60">
        <v>6</v>
      </c>
      <c r="D42" s="60">
        <f>82.27/1.56</f>
        <v>52.737179487179482</v>
      </c>
      <c r="E42" s="51"/>
      <c r="F42" s="51"/>
      <c r="G42" s="51"/>
      <c r="H42" s="51"/>
      <c r="I42" s="53">
        <f t="shared" si="1"/>
        <v>8.6875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82</v>
      </c>
      <c r="B43" s="60">
        <f>471.61/1.56</f>
        <v>302.31410256410254</v>
      </c>
      <c r="C43" s="60">
        <v>7</v>
      </c>
      <c r="D43" s="60">
        <f>62.98/1.56</f>
        <v>40.371794871794869</v>
      </c>
      <c r="E43" s="51"/>
      <c r="F43" s="51"/>
      <c r="G43" s="51"/>
      <c r="H43" s="51"/>
      <c r="I43" s="49">
        <f t="shared" si="1"/>
        <v>8.1746794871794854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90</v>
      </c>
      <c r="B44" s="60">
        <f>506.82/1.56</f>
        <v>324.88461538461536</v>
      </c>
      <c r="C44" s="60">
        <v>8</v>
      </c>
      <c r="D44" s="60">
        <f>73.8/1.56</f>
        <v>47.307692307692307</v>
      </c>
      <c r="E44" s="51"/>
      <c r="F44" s="51"/>
      <c r="G44" s="51"/>
      <c r="H44" s="51"/>
      <c r="I44" s="49">
        <f t="shared" si="1"/>
        <v>7.8677884615384599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100</v>
      </c>
      <c r="B45" s="60">
        <f>551.38/1.56</f>
        <v>353.44871794871796</v>
      </c>
      <c r="C45" s="60">
        <v>9</v>
      </c>
      <c r="D45" s="60">
        <f>99.53/1.56</f>
        <v>63.801282051282051</v>
      </c>
      <c r="E45" s="51"/>
      <c r="F45" s="51"/>
      <c r="G45" s="51"/>
      <c r="H45" s="51"/>
      <c r="I45" s="49">
        <f t="shared" si="1"/>
        <v>7.5871794871794922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110</v>
      </c>
      <c r="B46" s="60">
        <f>565.28/1.56</f>
        <v>362.35897435897431</v>
      </c>
      <c r="C46" s="60">
        <v>10</v>
      </c>
      <c r="D46" s="60">
        <f>78.08/1.56</f>
        <v>50.051282051282051</v>
      </c>
      <c r="E46" s="51"/>
      <c r="F46" s="51"/>
      <c r="G46" s="51"/>
      <c r="H46" s="51"/>
      <c r="I46" s="49">
        <f t="shared" si="1"/>
        <v>7.2711538461538394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120</v>
      </c>
      <c r="B47" s="60">
        <f>599.13/1.56</f>
        <v>384.05769230769226</v>
      </c>
      <c r="C47" s="60">
        <v>11</v>
      </c>
      <c r="D47" s="60">
        <f>70.09/1.56</f>
        <v>44.929487179487182</v>
      </c>
      <c r="E47" s="51"/>
      <c r="F47" s="51"/>
      <c r="G47" s="51"/>
      <c r="H47" s="51"/>
      <c r="I47" s="49">
        <f t="shared" si="1"/>
        <v>7.1749999999999998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130</v>
      </c>
      <c r="B48" s="60">
        <f>640.94/1.56</f>
        <v>410.85897435897436</v>
      </c>
      <c r="C48" s="60">
        <v>12</v>
      </c>
      <c r="D48" s="60">
        <f>80.15/1.56</f>
        <v>51.378205128205131</v>
      </c>
      <c r="E48" s="51"/>
      <c r="F48" s="51"/>
      <c r="G48" s="51"/>
      <c r="H48" s="51"/>
      <c r="I48" s="49">
        <f t="shared" si="1"/>
        <v>7.1730769230769287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140</v>
      </c>
      <c r="B49" s="60">
        <f>673.47/1.56</f>
        <v>431.71153846153845</v>
      </c>
      <c r="C49" s="60">
        <v>13</v>
      </c>
      <c r="D49" s="60">
        <f>78.73/1.56</f>
        <v>50.467948717948715</v>
      </c>
      <c r="E49" s="51"/>
      <c r="F49" s="51"/>
      <c r="G49" s="51"/>
      <c r="H49" s="51"/>
      <c r="I49" s="49">
        <f t="shared" si="1"/>
        <v>7.2230769230769223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150</v>
      </c>
      <c r="B50" s="50">
        <f>707.55/1.56</f>
        <v>453.55769230769226</v>
      </c>
      <c r="C50" s="50">
        <v>14</v>
      </c>
      <c r="D50" s="50">
        <f>278.81/1.56</f>
        <v>178.72435897435898</v>
      </c>
      <c r="E50" s="51"/>
      <c r="F50" s="51"/>
      <c r="G50" s="51"/>
      <c r="H50" s="51"/>
      <c r="I50" s="49">
        <f t="shared" si="1"/>
        <v>7.2314102564102543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>
        <v>153</v>
      </c>
      <c r="B51" s="50">
        <f>456.93/1.56</f>
        <v>292.90384615384613</v>
      </c>
      <c r="C51" s="50">
        <v>15</v>
      </c>
      <c r="D51" s="50">
        <f>164.21/1.56</f>
        <v>105.26282051282051</v>
      </c>
      <c r="E51" s="51"/>
      <c r="F51" s="51"/>
      <c r="G51" s="51"/>
      <c r="H51" s="51"/>
      <c r="I51" s="49">
        <f t="shared" si="1"/>
        <v>6.0235042735042912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>
        <v>156</v>
      </c>
      <c r="B52" s="50">
        <f>305.47/1.56</f>
        <v>195.81410256410257</v>
      </c>
      <c r="C52" s="50">
        <v>16</v>
      </c>
      <c r="D52" s="50">
        <f>101.51/1.56</f>
        <v>65.070512820512818</v>
      </c>
      <c r="E52" s="51"/>
      <c r="F52" s="51"/>
      <c r="G52" s="51"/>
      <c r="H52" s="51"/>
      <c r="I52" s="49">
        <f t="shared" si="1"/>
        <v>2.724358974358978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>
        <v>159</v>
      </c>
      <c r="B53" s="50">
        <f>211.46/1.56</f>
        <v>135.55128205128204</v>
      </c>
      <c r="C53" s="50">
        <v>17</v>
      </c>
      <c r="D53" s="50">
        <f>211.46/1.56</f>
        <v>135.55128205128204</v>
      </c>
      <c r="E53" s="51"/>
      <c r="F53" s="51"/>
      <c r="G53" s="51"/>
      <c r="H53" s="51"/>
      <c r="I53" s="49">
        <f t="shared" si="1"/>
        <v>1.6025641025640975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Alisier torminal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169.14/1.56</f>
        <v>108.42307692307691</v>
      </c>
      <c r="C62" s="60"/>
      <c r="D62" s="60"/>
      <c r="E62" s="51"/>
      <c r="F62" s="51"/>
      <c r="G62" s="51"/>
      <c r="H62" s="51"/>
      <c r="I62" s="53">
        <f>IFERROR(B62/A62,"")</f>
        <v>3.6141025641025637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34</v>
      </c>
      <c r="B63" s="60">
        <f>221.19/1.56</f>
        <v>141.78846153846152</v>
      </c>
      <c r="C63" s="60">
        <v>1</v>
      </c>
      <c r="D63" s="60">
        <f>49.32/1.56</f>
        <v>31.615384615384613</v>
      </c>
      <c r="E63" s="51"/>
      <c r="F63" s="51"/>
      <c r="G63" s="51"/>
      <c r="H63" s="51"/>
      <c r="I63" s="49">
        <f>IF(A63&lt;&gt;0,(B63-(B62-D62))/(A63-A62),"")</f>
        <v>8.3413461538461533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42</v>
      </c>
      <c r="B64" s="60">
        <f>294.31/1.56</f>
        <v>188.66025641025641</v>
      </c>
      <c r="C64" s="60">
        <v>2</v>
      </c>
      <c r="D64" s="60">
        <f>70.51/1.56</f>
        <v>45.198717948717949</v>
      </c>
      <c r="E64" s="51"/>
      <c r="F64" s="51"/>
      <c r="G64" s="51"/>
      <c r="H64" s="51"/>
      <c r="I64" s="49">
        <f>IF(A64&lt;&gt;0,(B64-(B63-D63))/(A64-A63),"")</f>
        <v>9.8108974358974379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f>347.88/1.56</f>
        <v>223</v>
      </c>
      <c r="C65" s="60">
        <v>3</v>
      </c>
      <c r="D65" s="60">
        <f>81.56/1.56</f>
        <v>52.282051282051285</v>
      </c>
      <c r="E65" s="51"/>
      <c r="F65" s="51"/>
      <c r="G65" s="51"/>
      <c r="H65" s="51"/>
      <c r="I65" s="49">
        <f>IF(A65&lt;&gt;0,(B65-(B64-D64))/(A65-A64),"")</f>
        <v>9.9423076923076934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58</v>
      </c>
      <c r="B66" s="60">
        <f>386.86/1.56</f>
        <v>247.98717948717947</v>
      </c>
      <c r="C66" s="60">
        <v>4</v>
      </c>
      <c r="D66" s="60">
        <f>74.05/1.56</f>
        <v>47.467948717948715</v>
      </c>
      <c r="E66" s="51"/>
      <c r="F66" s="51"/>
      <c r="G66" s="51"/>
      <c r="H66" s="51"/>
      <c r="I66" s="49">
        <f t="shared" ref="I66:I81" si="2">IF(A66&lt;&gt;0,(B66-(B65-D65))/(A66-A65),"")</f>
        <v>9.6586538461538431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66</v>
      </c>
      <c r="B67" s="60">
        <f>427.9/1.56</f>
        <v>274.29487179487177</v>
      </c>
      <c r="C67" s="60">
        <v>5</v>
      </c>
      <c r="D67" s="60">
        <f>84.46/1.56</f>
        <v>54.141025641025635</v>
      </c>
      <c r="E67" s="51"/>
      <c r="F67" s="51"/>
      <c r="G67" s="51"/>
      <c r="H67" s="51"/>
      <c r="I67" s="49">
        <f t="shared" si="2"/>
        <v>9.2219551282051242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74</v>
      </c>
      <c r="B68" s="60">
        <f>451.86/1.56</f>
        <v>289.65384615384613</v>
      </c>
      <c r="C68" s="60">
        <v>6</v>
      </c>
      <c r="D68" s="60">
        <f>82.27/1.56</f>
        <v>52.737179487179482</v>
      </c>
      <c r="E68" s="51"/>
      <c r="F68" s="51"/>
      <c r="G68" s="51"/>
      <c r="H68" s="51"/>
      <c r="I68" s="49">
        <f t="shared" si="2"/>
        <v>8.6875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82</v>
      </c>
      <c r="B69" s="50">
        <f>471.61/1.56</f>
        <v>302.31410256410254</v>
      </c>
      <c r="C69" s="50">
        <v>7</v>
      </c>
      <c r="D69" s="50">
        <f>62.98/1.56</f>
        <v>40.371794871794869</v>
      </c>
      <c r="E69" s="51"/>
      <c r="F69" s="51"/>
      <c r="G69" s="51"/>
      <c r="H69" s="51"/>
      <c r="I69" s="49">
        <f t="shared" si="2"/>
        <v>8.1746794871794854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90</v>
      </c>
      <c r="B70" s="50">
        <f>506.82/1.56</f>
        <v>324.88461538461536</v>
      </c>
      <c r="C70" s="50">
        <v>8</v>
      </c>
      <c r="D70" s="50">
        <f>73.8/1.56</f>
        <v>47.307692307692307</v>
      </c>
      <c r="E70" s="51"/>
      <c r="F70" s="51"/>
      <c r="G70" s="51"/>
      <c r="H70" s="51"/>
      <c r="I70" s="49">
        <f t="shared" si="2"/>
        <v>7.8677884615384599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100</v>
      </c>
      <c r="B71" s="50">
        <f>551.38/1.56</f>
        <v>353.44871794871796</v>
      </c>
      <c r="C71" s="50">
        <v>9</v>
      </c>
      <c r="D71" s="50">
        <f>99.53/1.56</f>
        <v>63.801282051282051</v>
      </c>
      <c r="E71" s="51"/>
      <c r="F71" s="51"/>
      <c r="G71" s="51"/>
      <c r="H71" s="51"/>
      <c r="I71" s="49">
        <f t="shared" si="2"/>
        <v>7.5871794871794922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110</v>
      </c>
      <c r="B72" s="50">
        <f>565.28/1.56</f>
        <v>362.35897435897431</v>
      </c>
      <c r="C72" s="50">
        <v>10</v>
      </c>
      <c r="D72" s="50">
        <f>78.08/1.56</f>
        <v>50.051282051282051</v>
      </c>
      <c r="E72" s="51"/>
      <c r="F72" s="51"/>
      <c r="G72" s="51"/>
      <c r="H72" s="51"/>
      <c r="I72" s="49">
        <f t="shared" si="2"/>
        <v>7.2711538461538394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120</v>
      </c>
      <c r="B73" s="50">
        <f>599.13/1.56</f>
        <v>384.05769230769226</v>
      </c>
      <c r="C73" s="50">
        <v>11</v>
      </c>
      <c r="D73" s="50">
        <f>70.09/1.56</f>
        <v>44.929487179487182</v>
      </c>
      <c r="E73" s="51"/>
      <c r="F73" s="51"/>
      <c r="G73" s="51"/>
      <c r="H73" s="51"/>
      <c r="I73" s="49">
        <f t="shared" si="2"/>
        <v>7.1749999999999998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130</v>
      </c>
      <c r="B74" s="50">
        <f>640.94/1.56</f>
        <v>410.85897435897436</v>
      </c>
      <c r="C74" s="50">
        <v>12</v>
      </c>
      <c r="D74" s="50">
        <f>80.15/1.56</f>
        <v>51.378205128205131</v>
      </c>
      <c r="E74" s="51"/>
      <c r="F74" s="51"/>
      <c r="G74" s="51"/>
      <c r="H74" s="51"/>
      <c r="I74" s="49">
        <f t="shared" si="2"/>
        <v>7.1730769230769287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140</v>
      </c>
      <c r="B75" s="50">
        <f>673.47/1.56</f>
        <v>431.71153846153845</v>
      </c>
      <c r="C75" s="50">
        <v>13</v>
      </c>
      <c r="D75" s="50">
        <f>78.73/1.56</f>
        <v>50.467948717948715</v>
      </c>
      <c r="E75" s="51"/>
      <c r="F75" s="51"/>
      <c r="G75" s="51"/>
      <c r="H75" s="51"/>
      <c r="I75" s="49">
        <f t="shared" si="2"/>
        <v>7.2230769230769223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150</v>
      </c>
      <c r="B76" s="50">
        <v>453.55769230769226</v>
      </c>
      <c r="C76" s="50">
        <v>14</v>
      </c>
      <c r="D76" s="50">
        <v>178.72435897435898</v>
      </c>
      <c r="E76" s="51"/>
      <c r="F76" s="51"/>
      <c r="G76" s="51"/>
      <c r="H76" s="51"/>
      <c r="I76" s="49">
        <f t="shared" si="2"/>
        <v>7.2314102564102543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153</v>
      </c>
      <c r="B77" s="50">
        <v>292.90384615384613</v>
      </c>
      <c r="C77" s="50">
        <v>15</v>
      </c>
      <c r="D77" s="50">
        <v>105.26282051282051</v>
      </c>
      <c r="E77" s="51"/>
      <c r="F77" s="51"/>
      <c r="G77" s="51"/>
      <c r="H77" s="51"/>
      <c r="I77" s="49">
        <f t="shared" si="2"/>
        <v>6.0235042735042912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156</v>
      </c>
      <c r="B78" s="50">
        <v>195.81410256410257</v>
      </c>
      <c r="C78" s="50">
        <v>16</v>
      </c>
      <c r="D78" s="50">
        <v>65.070512820512818</v>
      </c>
      <c r="E78" s="51"/>
      <c r="F78" s="51"/>
      <c r="G78" s="51"/>
      <c r="H78" s="51"/>
      <c r="I78" s="49">
        <f t="shared" si="2"/>
        <v>2.724358974358978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159</v>
      </c>
      <c r="B79" s="50">
        <v>135.55128205128204</v>
      </c>
      <c r="C79" s="50">
        <v>17</v>
      </c>
      <c r="D79" s="50">
        <v>135.55128205128204</v>
      </c>
      <c r="E79" s="51"/>
      <c r="F79" s="51"/>
      <c r="G79" s="51"/>
      <c r="H79" s="51"/>
      <c r="I79" s="49">
        <f t="shared" si="2"/>
        <v>1.6025641025640975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Sapin de Nordmann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50</v>
      </c>
      <c r="B88" s="60">
        <f>454.89/1.3</f>
        <v>349.9153846153846</v>
      </c>
      <c r="C88" s="60">
        <v>1</v>
      </c>
      <c r="D88" s="60">
        <f>135.92/1.3</f>
        <v>104.55384615384614</v>
      </c>
      <c r="E88" s="51"/>
      <c r="F88" s="51"/>
      <c r="G88" s="51"/>
      <c r="H88" s="87"/>
      <c r="I88" s="53">
        <f>IFERROR(B88/A88,"")</f>
        <v>6.9983076923076917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60</v>
      </c>
      <c r="B89" s="60">
        <f>523.43/1.3</f>
        <v>402.63846153846151</v>
      </c>
      <c r="C89" s="60">
        <v>2</v>
      </c>
      <c r="D89" s="60">
        <f>173.08/1.3</f>
        <v>133.13846153846154</v>
      </c>
      <c r="E89" s="51"/>
      <c r="F89" s="51"/>
      <c r="G89" s="51"/>
      <c r="H89" s="87"/>
      <c r="I89" s="53">
        <f t="shared" ref="I89:I107" si="3">IF(A89&lt;&gt;0,(B89-(B88-D88))/(A89-A88),"")</f>
        <v>15.727692307692305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70</v>
      </c>
      <c r="B90" s="60">
        <f>512.07/1.3</f>
        <v>393.90000000000003</v>
      </c>
      <c r="C90" s="60">
        <v>3</v>
      </c>
      <c r="D90" s="60">
        <f>137.47/1.3</f>
        <v>105.74615384615385</v>
      </c>
      <c r="E90" s="87"/>
      <c r="F90" s="87"/>
      <c r="G90" s="87"/>
      <c r="H90" s="87"/>
      <c r="I90" s="53">
        <f t="shared" si="3"/>
        <v>12.440000000000003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80</v>
      </c>
      <c r="B91" s="60">
        <f>498.29/1.3</f>
        <v>383.3</v>
      </c>
      <c r="C91" s="60">
        <v>4</v>
      </c>
      <c r="D91" s="60">
        <f>104.89/1.3</f>
        <v>80.684615384615384</v>
      </c>
      <c r="E91" s="87"/>
      <c r="F91" s="87"/>
      <c r="G91" s="87"/>
      <c r="H91" s="87"/>
      <c r="I91" s="53">
        <f t="shared" si="3"/>
        <v>9.5146153846153823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90</v>
      </c>
      <c r="B92" s="60">
        <f>500.99/1.3</f>
        <v>385.37692307692305</v>
      </c>
      <c r="C92" s="60">
        <v>5</v>
      </c>
      <c r="D92" s="60">
        <f>76.43/1.3</f>
        <v>58.792307692307695</v>
      </c>
      <c r="E92" s="87"/>
      <c r="F92" s="87"/>
      <c r="G92" s="87"/>
      <c r="H92" s="87"/>
      <c r="I92" s="53">
        <f t="shared" si="3"/>
        <v>8.2761538461538411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100</v>
      </c>
      <c r="B93" s="60">
        <f>517.54/1.3</f>
        <v>398.10769230769228</v>
      </c>
      <c r="C93" s="60">
        <v>6</v>
      </c>
      <c r="D93" s="60">
        <f>231.43/1.3</f>
        <v>178.02307692307693</v>
      </c>
      <c r="E93" s="87"/>
      <c r="F93" s="87"/>
      <c r="G93" s="87"/>
      <c r="H93" s="87"/>
      <c r="I93" s="53">
        <f t="shared" si="3"/>
        <v>7.1523076923076925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110</v>
      </c>
      <c r="B94" s="60">
        <f>347.2/1.3</f>
        <v>267.07692307692304</v>
      </c>
      <c r="C94" s="60">
        <v>7</v>
      </c>
      <c r="D94" s="60">
        <f>168.26/1.3</f>
        <v>129.43076923076922</v>
      </c>
      <c r="E94" s="87"/>
      <c r="F94" s="87"/>
      <c r="G94" s="87"/>
      <c r="H94" s="87"/>
      <c r="I94" s="53">
        <f t="shared" si="3"/>
        <v>4.6992307692307689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120</v>
      </c>
      <c r="B95" s="60">
        <f>219.22/1.3</f>
        <v>168.63076923076923</v>
      </c>
      <c r="C95" s="60">
        <v>8</v>
      </c>
      <c r="D95" s="60">
        <f>219.22/1.3</f>
        <v>168.63076923076923</v>
      </c>
      <c r="E95" s="87"/>
      <c r="F95" s="87"/>
      <c r="G95" s="87"/>
      <c r="H95" s="87"/>
      <c r="I95" s="53">
        <f t="shared" si="3"/>
        <v>3.098461538461541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E29" sqref="E2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Alisier torminal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de Nordmann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309.07357540707869</v>
      </c>
      <c r="T3" s="59">
        <f>IF('Données projet'!E9&gt;30,$R$33-$H$33,LOOKUP('Données projet'!$E$9,$A$3:$A$203,R3:R203)-LOOKUP('Données projet'!$E$9,$A$3:$A$203,$H$3:$H$203))</f>
        <v>155.9593924683299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340.4659523898373</v>
      </c>
      <c r="AO3" s="59">
        <f>IF('Données projet'!E10&gt;30,$AM$33-$H$33,LOOKUP('Données projet'!$E$10,$A$3:$A$203,AM3:AM203)-LOOKUP('Données projet'!$E$10,$A$3:$A$203,$H$3:$H$203))</f>
        <v>170.54530785680572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162.52375757962767</v>
      </c>
      <c r="BJ3" s="59">
        <f>IF('Données projet'!E11&gt;30,$BH$33-$H$33,LOOKUP('Données projet'!$E$11,$A$3:$A$203,BH3:BH203)-LOOKUP('Données projet'!$E$11,$A$3:$A$203,$H$3:$H$203))</f>
        <v>162.18047435246194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3.6141025641025637</v>
      </c>
      <c r="N4" s="13">
        <f>IF('Données projet'!$A$36&gt;35,N3+M4-V3,IF(A4&lt;'Données projet'!$A$36,$K$205^A4,IF(A4='Données projet'!$A$36,'Données projet'!$B$36,N3+M4-V3)))</f>
        <v>1.1690615875970631</v>
      </c>
      <c r="O4" s="13">
        <f>N4*VLOOKUP('Données projet'!$B$9,Paramètres!$A$1:$I$89,3,0)*VLOOKUP('Données projet'!$B$9,Paramètres!$A$1:$I$89,5,0)</f>
        <v>1.0577669244578227</v>
      </c>
      <c r="P4" s="13">
        <f>EXP(-1.0587+0.8836*LN(O4)+0.284)</f>
        <v>0.48428727045047132</v>
      </c>
      <c r="Q4" s="20">
        <f t="shared" ref="Q4:Q34" si="2">(O4+P4)*0.475*44/12</f>
        <v>2.6857443894652788</v>
      </c>
      <c r="R4" s="59">
        <f t="shared" si="0"/>
        <v>296.01907772279861</v>
      </c>
      <c r="S4" s="59">
        <f ca="1">AVERAGE(OFFSET($R$3,0,0,'Données projet'!$E$9+1,1))-AVERAGE(OFFSET($H$3,0,0,'Données projet'!$E$9+1,1))</f>
        <v>309.07357540707869</v>
      </c>
      <c r="T4" s="59">
        <f>$T$3</f>
        <v>155.9593924683299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3.6141025641025637</v>
      </c>
      <c r="AI4" s="13">
        <f>IF('Données projet'!$A$62&gt;35,AI3+AH4-AQ3,IF(A4&lt;'Données projet'!$A$62,$AF$205^A4,IF(A4='Données projet'!$A$62,'Données projet'!$B$62,AI3+AH4-AQ3)))</f>
        <v>1.1690615875970631</v>
      </c>
      <c r="AJ4" s="13">
        <f>AI4*VLOOKUP('Données projet'!$B$10,Paramètres!$A$1:$I$89,3,0)*VLOOKUP('Données projet'!$B$10,Paramètres!$A$1:$I$89,5,0)</f>
        <v>1.1307163675238796</v>
      </c>
      <c r="AK4" s="13">
        <f>EXP(-1.0587+0.8836*LN(AJ4)+0.284)</f>
        <v>0.51368321546954721</v>
      </c>
      <c r="AL4" s="20">
        <f t="shared" ref="AL4:AL67" si="4">(AJ4+AK4)*0.475*44/12</f>
        <v>2.8639959403802187</v>
      </c>
      <c r="AM4" s="59">
        <f t="shared" ref="AM4:AM67" si="5">AL4+(AD4+AE4)*44/12</f>
        <v>296.19732927371354</v>
      </c>
      <c r="AN4" s="59">
        <f ca="1">AVERAGE(OFFSET($AM$3,0,0,'Données projet'!$E$10+1,1))-AVERAGE(OFFSET($H$3,0,0,'Données projet'!$E$10+1,1))</f>
        <v>340.4659523898373</v>
      </c>
      <c r="AO4" s="59">
        <f>$AO$3</f>
        <v>170.54530785680572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6.9983076923076917</v>
      </c>
      <c r="BD4" s="12">
        <f>IF('Données projet'!$A$88&gt;35,BD3+BC4-BL3,IF(A4&lt;'Données projet'!$A$88,$BA$205^A4,IF(A4='Données projet'!$A$88,'Données projet'!$B$88,BD3+BC4-BL3)))</f>
        <v>6.9983076923076917</v>
      </c>
      <c r="BE4" s="13">
        <f>BD4*VLOOKUP('Données projet'!$B$11,Paramètres!$A$1:$I$89,3,0)*VLOOKUP('Données projet'!$B$11,Paramètres!$A$1:$I$89,5,0)</f>
        <v>3.3661859999999995</v>
      </c>
      <c r="BF4" s="13">
        <f>EXP(-1.0587+0.8836*LN(BE4)+0.284)</f>
        <v>1.3468874254420398</v>
      </c>
      <c r="BG4" s="20">
        <f t="shared" ref="BG4:BG67" si="7">(BE4+BF4)*0.475*44/12</f>
        <v>8.2086028826448842</v>
      </c>
      <c r="BH4" s="59">
        <f t="shared" ref="BH4:BH67" si="8">BG4+(AY4+AZ4)*44/12</f>
        <v>301.54193621597818</v>
      </c>
      <c r="BI4" s="59">
        <f ca="1">AVERAGE(OFFSET($BH$3,0,0,'Données projet'!$E$11+1,1))-AVERAGE(OFFSET($H$3,0,0,'Données projet'!$E$11+1,1))</f>
        <v>162.52375757962767</v>
      </c>
      <c r="BJ4" s="59">
        <f>$BJ$3</f>
        <v>162.18047435246194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3.6141025641025637</v>
      </c>
      <c r="N5" s="13">
        <f>IF('Données projet'!$A$36&gt;35,N4+M5-V4,IF(A5&lt;'Données projet'!$A$36,$K$205^A5,IF(A5='Données projet'!$A$36,'Données projet'!$B$36,N4+M5-V4)))</f>
        <v>1.3667049955949657</v>
      </c>
      <c r="O5" s="13">
        <f>N5*VLOOKUP('Données projet'!$B$9,Paramètres!$A$1:$I$89,3,0)*VLOOKUP('Données projet'!$B$9,Paramètres!$A$1:$I$89,5,0)</f>
        <v>1.236594680014325</v>
      </c>
      <c r="P5" s="13">
        <f t="shared" ref="P5:P68" si="33">EXP(-1.0587+0.8836*LN(O5)+0.284)</f>
        <v>0.55596080148480498</v>
      </c>
      <c r="Q5" s="20">
        <f t="shared" si="2"/>
        <v>3.1220341302776515</v>
      </c>
      <c r="R5" s="59">
        <f t="shared" si="0"/>
        <v>296.45536746361097</v>
      </c>
      <c r="S5" s="59">
        <f ca="1">AVERAGE(OFFSET($R$3,0,0,'Données projet'!$E$9+1,1))-AVERAGE(OFFSET($H$3,0,0,'Données projet'!$E$9+1,1))</f>
        <v>309.07357540707869</v>
      </c>
      <c r="T5" s="59">
        <f t="shared" ref="T5:T68" si="34">$T$3</f>
        <v>155.9593924683299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3.6141025641025637</v>
      </c>
      <c r="AI5" s="13">
        <f>IF('Données projet'!$A$62&gt;35,AI4+AH5-AQ4,IF(A5&lt;'Données projet'!$A$62,$AF$205^A5,IF(A5='Données projet'!$A$62,'Données projet'!$B$62,AI4+AH5-AQ4)))</f>
        <v>1.3667049955949657</v>
      </c>
      <c r="AJ5" s="13">
        <f>AI5*VLOOKUP('Données projet'!$B$10,Paramètres!$A$1:$I$89,3,0)*VLOOKUP('Données projet'!$B$10,Paramètres!$A$1:$I$89,5,0)</f>
        <v>1.321877071739451</v>
      </c>
      <c r="AK5" s="13">
        <f t="shared" ref="AK5:AK68" si="35">EXP(-1.0587+0.8836*LN(AJ5)+0.284)</f>
        <v>0.58970728657826388</v>
      </c>
      <c r="AL5" s="20">
        <f t="shared" si="4"/>
        <v>3.3293427574033534</v>
      </c>
      <c r="AM5" s="59">
        <f t="shared" si="5"/>
        <v>296.66267609073668</v>
      </c>
      <c r="AN5" s="59">
        <f ca="1">AVERAGE(OFFSET($AM$3,0,0,'Données projet'!$E$10+1,1))-AVERAGE(OFFSET($H$3,0,0,'Données projet'!$E$10+1,1))</f>
        <v>340.4659523898373</v>
      </c>
      <c r="AO5" s="59">
        <f t="shared" ref="AO5:AO68" si="36">$AO$3</f>
        <v>170.54530785680572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6.9983076923076917</v>
      </c>
      <c r="BD5" s="12">
        <f>IF('Données projet'!$A$88&gt;35,BD4+BC5-BL4,IF(A5&lt;'Données projet'!$A$88,$BA$205^A5,IF(A5='Données projet'!$A$88,'Données projet'!$B$88,BD4+BC5-BL4)))</f>
        <v>13.996615384615383</v>
      </c>
      <c r="BE5" s="13">
        <f>BD5*VLOOKUP('Données projet'!$B$11,Paramètres!$A$1:$I$89,3,0)*VLOOKUP('Données projet'!$B$11,Paramètres!$A$1:$I$89,5,0)</f>
        <v>6.7323719999999989</v>
      </c>
      <c r="BF5" s="13">
        <f t="shared" ref="BF5:BF68" si="37">EXP(-1.0587+0.8836*LN(BE5)+0.284)</f>
        <v>2.484971444650848</v>
      </c>
      <c r="BG5" s="20">
        <f t="shared" si="7"/>
        <v>16.053539832766891</v>
      </c>
      <c r="BH5" s="59">
        <f t="shared" si="8"/>
        <v>309.3868731661002</v>
      </c>
      <c r="BI5" s="59">
        <f ca="1">AVERAGE(OFFSET($BH$3,0,0,'Données projet'!$E$11+1,1))-AVERAGE(OFFSET($H$3,0,0,'Données projet'!$E$11+1,1))</f>
        <v>162.52375757962767</v>
      </c>
      <c r="BJ5" s="59">
        <f t="shared" ref="BJ5:BJ68" si="38">$BJ$3</f>
        <v>162.18047435246194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3.6141025641025637</v>
      </c>
      <c r="N6" s="13">
        <f>IF('Données projet'!$A$36&gt;35,N5+M6-V5,IF(A6&lt;'Données projet'!$A$36,$K$205^A6,IF(A6='Données projet'!$A$36,'Données projet'!$B$36,N5+M6-V5)))</f>
        <v>1.5977623119270878</v>
      </c>
      <c r="O6" s="13">
        <f>N6*VLOOKUP('Données projet'!$B$9,Paramètres!$A$1:$I$89,3,0)*VLOOKUP('Données projet'!$B$9,Paramètres!$A$1:$I$89,5,0)</f>
        <v>1.445655339831629</v>
      </c>
      <c r="P6" s="13">
        <f t="shared" si="33"/>
        <v>0.63824186933535754</v>
      </c>
      <c r="Q6" s="20">
        <f t="shared" si="2"/>
        <v>3.6294543059658344</v>
      </c>
      <c r="R6" s="59">
        <f t="shared" si="0"/>
        <v>296.96278763929917</v>
      </c>
      <c r="S6" s="59">
        <f ca="1">AVERAGE(OFFSET($R$3,0,0,'Données projet'!$E$9+1,1))-AVERAGE(OFFSET($H$3,0,0,'Données projet'!$E$9+1,1))</f>
        <v>309.07357540707869</v>
      </c>
      <c r="T6" s="59">
        <f t="shared" si="34"/>
        <v>155.9593924683299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3.6141025641025637</v>
      </c>
      <c r="AI6" s="13">
        <f>IF('Données projet'!$A$62&gt;35,AI5+AH6-AQ5,IF(A6&lt;'Données projet'!$A$62,$AF$205^A6,IF(A6='Données projet'!$A$62,'Données projet'!$B$62,AI5+AH6-AQ5)))</f>
        <v>1.5977623119270878</v>
      </c>
      <c r="AJ6" s="13">
        <f>AI6*VLOOKUP('Données projet'!$B$10,Paramètres!$A$1:$I$89,3,0)*VLOOKUP('Données projet'!$B$10,Paramètres!$A$1:$I$89,5,0)</f>
        <v>1.5453557080958793</v>
      </c>
      <c r="AK6" s="13">
        <f t="shared" si="35"/>
        <v>0.67698276558564041</v>
      </c>
      <c r="AL6" s="20">
        <f t="shared" si="4"/>
        <v>3.8705728416619798</v>
      </c>
      <c r="AM6" s="59">
        <f t="shared" si="5"/>
        <v>297.20390617499527</v>
      </c>
      <c r="AN6" s="59">
        <f ca="1">AVERAGE(OFFSET($AM$3,0,0,'Données projet'!$E$10+1,1))-AVERAGE(OFFSET($H$3,0,0,'Données projet'!$E$10+1,1))</f>
        <v>340.4659523898373</v>
      </c>
      <c r="AO6" s="59">
        <f t="shared" si="36"/>
        <v>170.54530785680572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6.9983076923076917</v>
      </c>
      <c r="BD6" s="12">
        <f>IF('Données projet'!$A$88&gt;35,BD5+BC6-BL5,IF(A6&lt;'Données projet'!$A$88,$BA$205^A6,IF(A6='Données projet'!$A$88,'Données projet'!$B$88,BD5+BC6-BL5)))</f>
        <v>20.994923076923076</v>
      </c>
      <c r="BE6" s="13">
        <f>BD6*VLOOKUP('Données projet'!$B$11,Paramètres!$A$1:$I$89,3,0)*VLOOKUP('Données projet'!$B$11,Paramètres!$A$1:$I$89,5,0)</f>
        <v>10.098558000000001</v>
      </c>
      <c r="BF6" s="13">
        <f t="shared" si="37"/>
        <v>3.5556224449216485</v>
      </c>
      <c r="BG6" s="20">
        <f t="shared" si="7"/>
        <v>23.781030941571871</v>
      </c>
      <c r="BH6" s="59">
        <f t="shared" si="8"/>
        <v>317.1143642749052</v>
      </c>
      <c r="BI6" s="59">
        <f ca="1">AVERAGE(OFFSET($BH$3,0,0,'Données projet'!$E$11+1,1))-AVERAGE(OFFSET($H$3,0,0,'Données projet'!$E$11+1,1))</f>
        <v>162.52375757962767</v>
      </c>
      <c r="BJ6" s="59">
        <f t="shared" si="38"/>
        <v>162.18047435246194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3.6141025641025637</v>
      </c>
      <c r="N7" s="13">
        <f>IF('Données projet'!$A$36&gt;35,N6+M7-V6,IF(A7&lt;'Données projet'!$A$36,$K$205^A7,IF(A7='Données projet'!$A$36,'Données projet'!$B$36,N6+M7-V6)))</f>
        <v>1.8678825449842353</v>
      </c>
      <c r="O7" s="13">
        <f>N7*VLOOKUP('Données projet'!$B$9,Paramètres!$A$1:$I$89,3,0)*VLOOKUP('Données projet'!$B$9,Paramètres!$A$1:$I$89,5,0)</f>
        <v>1.6900601267017361</v>
      </c>
      <c r="P7" s="13">
        <f t="shared" si="33"/>
        <v>0.73270036787625048</v>
      </c>
      <c r="Q7" s="20">
        <f t="shared" si="2"/>
        <v>4.2196411947233265</v>
      </c>
      <c r="R7" s="59">
        <f t="shared" si="0"/>
        <v>297.55297452805667</v>
      </c>
      <c r="S7" s="59">
        <f ca="1">AVERAGE(OFFSET($R$3,0,0,'Données projet'!$E$9+1,1))-AVERAGE(OFFSET($H$3,0,0,'Données projet'!$E$9+1,1))</f>
        <v>309.07357540707869</v>
      </c>
      <c r="T7" s="59">
        <f t="shared" si="34"/>
        <v>155.9593924683299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3.6141025641025637</v>
      </c>
      <c r="AI7" s="13">
        <f>IF('Données projet'!$A$62&gt;35,AI6+AH7-AQ6,IF(A7&lt;'Données projet'!$A$62,$AF$205^A7,IF(A7='Données projet'!$A$62,'Données projet'!$B$62,AI6+AH7-AQ6)))</f>
        <v>1.8678825449842353</v>
      </c>
      <c r="AJ7" s="13">
        <f>AI7*VLOOKUP('Données projet'!$B$10,Paramètres!$A$1:$I$89,3,0)*VLOOKUP('Données projet'!$B$10,Paramètres!$A$1:$I$89,5,0)</f>
        <v>1.8066159975087526</v>
      </c>
      <c r="AK7" s="13">
        <f t="shared" si="35"/>
        <v>0.77717483797642983</v>
      </c>
      <c r="AL7" s="20">
        <f t="shared" si="4"/>
        <v>4.5001023718033588</v>
      </c>
      <c r="AM7" s="59">
        <f t="shared" si="5"/>
        <v>297.83343570513665</v>
      </c>
      <c r="AN7" s="59">
        <f ca="1">AVERAGE(OFFSET($AM$3,0,0,'Données projet'!$E$10+1,1))-AVERAGE(OFFSET($H$3,0,0,'Données projet'!$E$10+1,1))</f>
        <v>340.4659523898373</v>
      </c>
      <c r="AO7" s="59">
        <f t="shared" si="36"/>
        <v>170.54530785680572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6.9983076923076917</v>
      </c>
      <c r="BD7" s="12">
        <f>IF('Données projet'!$A$88&gt;35,BD6+BC7-BL6,IF(A7&lt;'Données projet'!$A$88,$BA$205^A7,IF(A7='Données projet'!$A$88,'Données projet'!$B$88,BD6+BC7-BL6)))</f>
        <v>27.993230769230767</v>
      </c>
      <c r="BE7" s="13">
        <f>BD7*VLOOKUP('Données projet'!$B$11,Paramètres!$A$1:$I$89,3,0)*VLOOKUP('Données projet'!$B$11,Paramètres!$A$1:$I$89,5,0)</f>
        <v>13.464743999999998</v>
      </c>
      <c r="BF7" s="13">
        <f t="shared" si="37"/>
        <v>4.5847061633257864</v>
      </c>
      <c r="BG7" s="20">
        <f t="shared" si="7"/>
        <v>31.436125701125736</v>
      </c>
      <c r="BH7" s="59">
        <f t="shared" si="8"/>
        <v>324.76945903445903</v>
      </c>
      <c r="BI7" s="59">
        <f ca="1">AVERAGE(OFFSET($BH$3,0,0,'Données projet'!$E$11+1,1))-AVERAGE(OFFSET($H$3,0,0,'Données projet'!$E$11+1,1))</f>
        <v>162.52375757962767</v>
      </c>
      <c r="BJ7" s="59">
        <f t="shared" si="38"/>
        <v>162.18047435246194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3.6141025641025637</v>
      </c>
      <c r="N8" s="13">
        <f>IF('Données projet'!$A$36&gt;35,N7+M8-V7,IF(A8&lt;'Données projet'!$A$36,$K$205^A8,IF(A8='Données projet'!$A$36,'Données projet'!$B$36,N7+M8-V7)))</f>
        <v>2.1836697334841126</v>
      </c>
      <c r="O8" s="13">
        <f>N8*VLOOKUP('Données projet'!$B$9,Paramètres!$A$1:$I$89,3,0)*VLOOKUP('Données projet'!$B$9,Paramètres!$A$1:$I$89,5,0)</f>
        <v>1.975784374856425</v>
      </c>
      <c r="P8" s="13">
        <f t="shared" si="33"/>
        <v>0.84113853208196609</v>
      </c>
      <c r="Q8" s="20">
        <f t="shared" si="2"/>
        <v>4.9061407295843642</v>
      </c>
      <c r="R8" s="59">
        <f t="shared" si="0"/>
        <v>298.23947406291768</v>
      </c>
      <c r="S8" s="59">
        <f ca="1">AVERAGE(OFFSET($R$3,0,0,'Données projet'!$E$9+1,1))-AVERAGE(OFFSET($H$3,0,0,'Données projet'!$E$9+1,1))</f>
        <v>309.07357540707869</v>
      </c>
      <c r="T8" s="59">
        <f t="shared" si="34"/>
        <v>155.9593924683299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3.6141025641025637</v>
      </c>
      <c r="AI8" s="13">
        <f>IF('Données projet'!$A$62&gt;35,AI7+AH8-AQ7,IF(A8&lt;'Données projet'!$A$62,$AF$205^A8,IF(A8='Données projet'!$A$62,'Données projet'!$B$62,AI7+AH8-AQ7)))</f>
        <v>2.1836697334841126</v>
      </c>
      <c r="AJ8" s="13">
        <f>AI8*VLOOKUP('Données projet'!$B$10,Paramètres!$A$1:$I$89,3,0)*VLOOKUP('Données projet'!$B$10,Paramètres!$A$1:$I$89,5,0)</f>
        <v>2.1120453662258338</v>
      </c>
      <c r="AK8" s="13">
        <f t="shared" si="35"/>
        <v>0.89219513330030542</v>
      </c>
      <c r="AL8" s="20">
        <f t="shared" si="4"/>
        <v>5.2323855366746921</v>
      </c>
      <c r="AM8" s="59">
        <f t="shared" si="5"/>
        <v>298.56571887000803</v>
      </c>
      <c r="AN8" s="59">
        <f ca="1">AVERAGE(OFFSET($AM$3,0,0,'Données projet'!$E$10+1,1))-AVERAGE(OFFSET($H$3,0,0,'Données projet'!$E$10+1,1))</f>
        <v>340.4659523898373</v>
      </c>
      <c r="AO8" s="59">
        <f t="shared" si="36"/>
        <v>170.54530785680572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6.9983076923076917</v>
      </c>
      <c r="BD8" s="12">
        <f>IF('Données projet'!$A$88&gt;35,BD7+BC8-BL7,IF(A8&lt;'Données projet'!$A$88,$BA$205^A8,IF(A8='Données projet'!$A$88,'Données projet'!$B$88,BD7+BC8-BL7)))</f>
        <v>34.991538461538461</v>
      </c>
      <c r="BE8" s="13">
        <f>BD8*VLOOKUP('Données projet'!$B$11,Paramètres!$A$1:$I$89,3,0)*VLOOKUP('Données projet'!$B$11,Paramètres!$A$1:$I$89,5,0)</f>
        <v>16.830930000000002</v>
      </c>
      <c r="BF8" s="13">
        <f t="shared" si="37"/>
        <v>5.5839457998389292</v>
      </c>
      <c r="BG8" s="20">
        <f t="shared" si="7"/>
        <v>39.039242018052803</v>
      </c>
      <c r="BH8" s="59">
        <f t="shared" si="8"/>
        <v>332.3725753513861</v>
      </c>
      <c r="BI8" s="59">
        <f ca="1">AVERAGE(OFFSET($BH$3,0,0,'Données projet'!$E$11+1,1))-AVERAGE(OFFSET($H$3,0,0,'Données projet'!$E$11+1,1))</f>
        <v>162.52375757962767</v>
      </c>
      <c r="BJ8" s="59">
        <f t="shared" si="38"/>
        <v>162.18047435246194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3.6141025641025637</v>
      </c>
      <c r="N9" s="13">
        <f>IF('Données projet'!$A$36&gt;35,N8+M9-V8,IF(A9&lt;'Données projet'!$A$36,$K$205^A9,IF(A9='Données projet'!$A$36,'Données projet'!$B$36,N8+M9-V8)))</f>
        <v>2.5528444054145929</v>
      </c>
      <c r="O9" s="13">
        <f>N9*VLOOKUP('Données projet'!$B$9,Paramètres!$A$1:$I$89,3,0)*VLOOKUP('Données projet'!$B$9,Paramètres!$A$1:$I$89,5,0)</f>
        <v>2.3098136180191235</v>
      </c>
      <c r="P9" s="13">
        <f t="shared" si="33"/>
        <v>0.96562532403764356</v>
      </c>
      <c r="Q9" s="20">
        <f t="shared" si="2"/>
        <v>5.7047228240822028</v>
      </c>
      <c r="R9" s="59">
        <f t="shared" si="0"/>
        <v>299.0380561574155</v>
      </c>
      <c r="S9" s="59">
        <f ca="1">AVERAGE(OFFSET($R$3,0,0,'Données projet'!$E$9+1,1))-AVERAGE(OFFSET($H$3,0,0,'Données projet'!$E$9+1,1))</f>
        <v>309.07357540707869</v>
      </c>
      <c r="T9" s="59">
        <f t="shared" si="34"/>
        <v>155.9593924683299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3.6141025641025637</v>
      </c>
      <c r="AI9" s="13">
        <f>IF('Données projet'!$A$62&gt;35,AI8+AH9-AQ8,IF(A9&lt;'Données projet'!$A$62,$AF$205^A9,IF(A9='Données projet'!$A$62,'Données projet'!$B$62,AI8+AH9-AQ8)))</f>
        <v>2.5528444054145929</v>
      </c>
      <c r="AJ9" s="13">
        <f>AI9*VLOOKUP('Données projet'!$B$10,Paramètres!$A$1:$I$89,3,0)*VLOOKUP('Données projet'!$B$10,Paramètres!$A$1:$I$89,5,0)</f>
        <v>2.4691111089169944</v>
      </c>
      <c r="AK9" s="13">
        <f t="shared" si="35"/>
        <v>1.0242381983922275</v>
      </c>
      <c r="AL9" s="20">
        <f t="shared" si="4"/>
        <v>6.0842500435635616</v>
      </c>
      <c r="AM9" s="59">
        <f t="shared" si="5"/>
        <v>299.41758337689686</v>
      </c>
      <c r="AN9" s="59">
        <f ca="1">AVERAGE(OFFSET($AM$3,0,0,'Données projet'!$E$10+1,1))-AVERAGE(OFFSET($H$3,0,0,'Données projet'!$E$10+1,1))</f>
        <v>340.4659523898373</v>
      </c>
      <c r="AO9" s="59">
        <f t="shared" si="36"/>
        <v>170.54530785680572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6.9983076923076917</v>
      </c>
      <c r="BD9" s="12">
        <f>IF('Données projet'!$A$88&gt;35,BD8+BC9-BL8,IF(A9&lt;'Données projet'!$A$88,$BA$205^A9,IF(A9='Données projet'!$A$88,'Données projet'!$B$88,BD8+BC9-BL8)))</f>
        <v>41.989846153846152</v>
      </c>
      <c r="BE9" s="13">
        <f>BD9*VLOOKUP('Données projet'!$B$11,Paramètres!$A$1:$I$89,3,0)*VLOOKUP('Données projet'!$B$11,Paramètres!$A$1:$I$89,5,0)</f>
        <v>20.197116000000001</v>
      </c>
      <c r="BF9" s="13">
        <f t="shared" si="37"/>
        <v>6.5600287571844644</v>
      </c>
      <c r="BG9" s="20">
        <f t="shared" si="7"/>
        <v>46.60202711876294</v>
      </c>
      <c r="BH9" s="59">
        <f t="shared" si="8"/>
        <v>339.93536045209623</v>
      </c>
      <c r="BI9" s="59">
        <f ca="1">AVERAGE(OFFSET($BH$3,0,0,'Données projet'!$E$11+1,1))-AVERAGE(OFFSET($H$3,0,0,'Données projet'!$E$11+1,1))</f>
        <v>162.52375757962767</v>
      </c>
      <c r="BJ9" s="59">
        <f t="shared" si="38"/>
        <v>162.18047435246194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3.6141025641025637</v>
      </c>
      <c r="N10" s="13">
        <f>IF('Données projet'!$A$36&gt;35,N9+M10-V9,IF(A10&lt;'Données projet'!$A$36,$K$205^A10,IF(A10='Données projet'!$A$36,'Données projet'!$B$36,N9+M10-V9)))</f>
        <v>2.9844323334822644</v>
      </c>
      <c r="O10" s="13">
        <f>N10*VLOOKUP('Données projet'!$B$9,Paramètres!$A$1:$I$89,3,0)*VLOOKUP('Données projet'!$B$9,Paramètres!$A$1:$I$89,5,0)</f>
        <v>2.7003143753347527</v>
      </c>
      <c r="P10" s="13">
        <f t="shared" si="33"/>
        <v>1.1085359080089574</v>
      </c>
      <c r="Q10" s="20">
        <f t="shared" si="2"/>
        <v>6.6337475768236276</v>
      </c>
      <c r="R10" s="59">
        <f t="shared" si="0"/>
        <v>299.96708091015694</v>
      </c>
      <c r="S10" s="59">
        <f ca="1">AVERAGE(OFFSET($R$3,0,0,'Données projet'!$E$9+1,1))-AVERAGE(OFFSET($H$3,0,0,'Données projet'!$E$9+1,1))</f>
        <v>309.07357540707869</v>
      </c>
      <c r="T10" s="59">
        <f t="shared" si="34"/>
        <v>155.9593924683299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3.6141025641025637</v>
      </c>
      <c r="AI10" s="13">
        <f>IF('Données projet'!$A$62&gt;35,AI9+AH10-AQ9,IF(A10&lt;'Données projet'!$A$62,$AF$205^A10,IF(A10='Données projet'!$A$62,'Données projet'!$B$62,AI9+AH10-AQ9)))</f>
        <v>2.9844323334822644</v>
      </c>
      <c r="AJ10" s="13">
        <f>AI10*VLOOKUP('Données projet'!$B$10,Paramètres!$A$1:$I$89,3,0)*VLOOKUP('Données projet'!$B$10,Paramètres!$A$1:$I$89,5,0)</f>
        <v>2.8865429529440463</v>
      </c>
      <c r="AK10" s="13">
        <f t="shared" si="35"/>
        <v>1.1758233685552395</v>
      </c>
      <c r="AL10" s="20">
        <f t="shared" si="4"/>
        <v>7.0752880099445896</v>
      </c>
      <c r="AM10" s="59">
        <f t="shared" si="5"/>
        <v>300.4086213432779</v>
      </c>
      <c r="AN10" s="59">
        <f ca="1">AVERAGE(OFFSET($AM$3,0,0,'Données projet'!$E$10+1,1))-AVERAGE(OFFSET($H$3,0,0,'Données projet'!$E$10+1,1))</f>
        <v>340.4659523898373</v>
      </c>
      <c r="AO10" s="59">
        <f t="shared" si="36"/>
        <v>170.54530785680572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6.9983076923076917</v>
      </c>
      <c r="BD10" s="12">
        <f>IF('Données projet'!$A$88&gt;35,BD9+BC10-BL9,IF(A10&lt;'Données projet'!$A$88,$BA$205^A10,IF(A10='Données projet'!$A$88,'Données projet'!$B$88,BD9+BC10-BL9)))</f>
        <v>48.988153846153843</v>
      </c>
      <c r="BE10" s="13">
        <f>BD10*VLOOKUP('Données projet'!$B$11,Paramètres!$A$1:$I$89,3,0)*VLOOKUP('Données projet'!$B$11,Paramètres!$A$1:$I$89,5,0)</f>
        <v>23.563302</v>
      </c>
      <c r="BF10" s="13">
        <f t="shared" si="37"/>
        <v>7.5172661453259622</v>
      </c>
      <c r="BG10" s="20">
        <f t="shared" si="7"/>
        <v>54.131989519776056</v>
      </c>
      <c r="BH10" s="59">
        <f t="shared" si="8"/>
        <v>347.46532285310934</v>
      </c>
      <c r="BI10" s="59">
        <f ca="1">AVERAGE(OFFSET($BH$3,0,0,'Données projet'!$E$11+1,1))-AVERAGE(OFFSET($H$3,0,0,'Données projet'!$E$11+1,1))</f>
        <v>162.52375757962767</v>
      </c>
      <c r="BJ10" s="59">
        <f t="shared" si="38"/>
        <v>162.18047435246194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3.6141025641025637</v>
      </c>
      <c r="N11" s="13">
        <f>IF('Données projet'!$A$36&gt;35,N10+M11-V10,IF(A11&lt;'Données projet'!$A$36,$K$205^A11,IF(A11='Données projet'!$A$36,'Données projet'!$B$36,N10+M11-V10)))</f>
        <v>3.4889852018567837</v>
      </c>
      <c r="O11" s="13">
        <f>N11*VLOOKUP('Données projet'!$B$9,Paramètres!$A$1:$I$89,3,0)*VLOOKUP('Données projet'!$B$9,Paramètres!$A$1:$I$89,5,0)</f>
        <v>3.156833810640018</v>
      </c>
      <c r="P11" s="13">
        <f t="shared" si="33"/>
        <v>1.2725969677420546</v>
      </c>
      <c r="Q11" s="20">
        <f t="shared" si="2"/>
        <v>7.7145919390154418</v>
      </c>
      <c r="R11" s="59">
        <f t="shared" si="0"/>
        <v>301.04792527234878</v>
      </c>
      <c r="S11" s="59">
        <f ca="1">AVERAGE(OFFSET($R$3,0,0,'Données projet'!$E$9+1,1))-AVERAGE(OFFSET($H$3,0,0,'Données projet'!$E$9+1,1))</f>
        <v>309.07357540707869</v>
      </c>
      <c r="T11" s="59">
        <f t="shared" si="34"/>
        <v>155.9593924683299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3.6141025641025637</v>
      </c>
      <c r="AI11" s="13">
        <f>IF('Données projet'!$A$62&gt;35,AI10+AH11-AQ10,IF(A11&lt;'Données projet'!$A$62,$AF$205^A11,IF(A11='Données projet'!$A$62,'Données projet'!$B$62,AI10+AH11-AQ10)))</f>
        <v>3.4889852018567837</v>
      </c>
      <c r="AJ11" s="13">
        <f>AI11*VLOOKUP('Données projet'!$B$10,Paramètres!$A$1:$I$89,3,0)*VLOOKUP('Données projet'!$B$10,Paramètres!$A$1:$I$89,5,0)</f>
        <v>3.3745464872358815</v>
      </c>
      <c r="AK11" s="13">
        <f t="shared" si="35"/>
        <v>1.3498428355931567</v>
      </c>
      <c r="AL11" s="20">
        <f t="shared" si="4"/>
        <v>8.2283114039272416</v>
      </c>
      <c r="AM11" s="59">
        <f t="shared" si="5"/>
        <v>301.56164473726056</v>
      </c>
      <c r="AN11" s="59">
        <f ca="1">AVERAGE(OFFSET($AM$3,0,0,'Données projet'!$E$10+1,1))-AVERAGE(OFFSET($H$3,0,0,'Données projet'!$E$10+1,1))</f>
        <v>340.4659523898373</v>
      </c>
      <c r="AO11" s="59">
        <f t="shared" si="36"/>
        <v>170.54530785680572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6.9983076923076917</v>
      </c>
      <c r="BD11" s="12">
        <f>IF('Données projet'!$A$88&gt;35,BD10+BC11-BL10,IF(A11&lt;'Données projet'!$A$88,$BA$205^A11,IF(A11='Données projet'!$A$88,'Données projet'!$B$88,BD10+BC11-BL10)))</f>
        <v>55.986461538461533</v>
      </c>
      <c r="BE11" s="13">
        <f>BD11*VLOOKUP('Données projet'!$B$11,Paramètres!$A$1:$I$89,3,0)*VLOOKUP('Données projet'!$B$11,Paramètres!$A$1:$I$89,5,0)</f>
        <v>26.929487999999996</v>
      </c>
      <c r="BF11" s="13">
        <f t="shared" si="37"/>
        <v>8.4586608225555722</v>
      </c>
      <c r="BG11" s="20">
        <f t="shared" si="7"/>
        <v>61.634359199284269</v>
      </c>
      <c r="BH11" s="59">
        <f t="shared" si="8"/>
        <v>354.9676925326176</v>
      </c>
      <c r="BI11" s="59">
        <f ca="1">AVERAGE(OFFSET($BH$3,0,0,'Données projet'!$E$11+1,1))-AVERAGE(OFFSET($H$3,0,0,'Données projet'!$E$11+1,1))</f>
        <v>162.52375757962767</v>
      </c>
      <c r="BJ11" s="59">
        <f t="shared" si="38"/>
        <v>162.18047435246194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3.6141025641025637</v>
      </c>
      <c r="N12" s="13">
        <f>IF('Données projet'!$A$36&gt;35,N11+M12-V11,IF(A12&lt;'Données projet'!$A$36,$K$205^A12,IF(A12='Données projet'!$A$36,'Données projet'!$B$36,N11+M12-V11)))</f>
        <v>4.0788385791853514</v>
      </c>
      <c r="O12" s="13">
        <f>N12*VLOOKUP('Données projet'!$B$9,Paramètres!$A$1:$I$89,3,0)*VLOOKUP('Données projet'!$B$9,Paramètres!$A$1:$I$89,5,0)</f>
        <v>3.690533146446906</v>
      </c>
      <c r="P12" s="13">
        <f t="shared" si="33"/>
        <v>1.4609387306317054</v>
      </c>
      <c r="Q12" s="20">
        <f t="shared" si="2"/>
        <v>8.9721468525785806</v>
      </c>
      <c r="R12" s="59">
        <f t="shared" si="0"/>
        <v>302.3054801859119</v>
      </c>
      <c r="S12" s="59">
        <f ca="1">AVERAGE(OFFSET($R$3,0,0,'Données projet'!$E$9+1,1))-AVERAGE(OFFSET($H$3,0,0,'Données projet'!$E$9+1,1))</f>
        <v>309.07357540707869</v>
      </c>
      <c r="T12" s="59">
        <f t="shared" si="34"/>
        <v>155.9593924683299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3.6141025641025637</v>
      </c>
      <c r="AI12" s="13">
        <f>IF('Données projet'!$A$62&gt;35,AI11+AH12-AQ11,IF(A12&lt;'Données projet'!$A$62,$AF$205^A12,IF(A12='Données projet'!$A$62,'Données projet'!$B$62,AI11+AH12-AQ11)))</f>
        <v>4.0788385791853514</v>
      </c>
      <c r="AJ12" s="13">
        <f>AI12*VLOOKUP('Données projet'!$B$10,Paramètres!$A$1:$I$89,3,0)*VLOOKUP('Données projet'!$B$10,Paramètres!$A$1:$I$89,5,0)</f>
        <v>3.945052673788072</v>
      </c>
      <c r="AK12" s="13">
        <f t="shared" si="35"/>
        <v>1.5496168298143276</v>
      </c>
      <c r="AL12" s="20">
        <f t="shared" si="4"/>
        <v>9.5698827187741795</v>
      </c>
      <c r="AM12" s="59">
        <f t="shared" si="5"/>
        <v>302.9032160521075</v>
      </c>
      <c r="AN12" s="59">
        <f ca="1">AVERAGE(OFFSET($AM$3,0,0,'Données projet'!$E$10+1,1))-AVERAGE(OFFSET($H$3,0,0,'Données projet'!$E$10+1,1))</f>
        <v>340.4659523898373</v>
      </c>
      <c r="AO12" s="59">
        <f t="shared" si="36"/>
        <v>170.54530785680572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6.9983076923076917</v>
      </c>
      <c r="BD12" s="12">
        <f>IF('Données projet'!$A$88&gt;35,BD11+BC12-BL11,IF(A12&lt;'Données projet'!$A$88,$BA$205^A12,IF(A12='Données projet'!$A$88,'Données projet'!$B$88,BD11+BC12-BL11)))</f>
        <v>62.984769230769224</v>
      </c>
      <c r="BE12" s="13">
        <f>BD12*VLOOKUP('Données projet'!$B$11,Paramètres!$A$1:$I$89,3,0)*VLOOKUP('Données projet'!$B$11,Paramètres!$A$1:$I$89,5,0)</f>
        <v>30.295673999999998</v>
      </c>
      <c r="BF12" s="13">
        <f t="shared" si="37"/>
        <v>9.3864199279174496</v>
      </c>
      <c r="BG12" s="20">
        <f t="shared" si="7"/>
        <v>69.112980257789559</v>
      </c>
      <c r="BH12" s="59">
        <f t="shared" si="8"/>
        <v>362.44631359112287</v>
      </c>
      <c r="BI12" s="59">
        <f ca="1">AVERAGE(OFFSET($BH$3,0,0,'Données projet'!$E$11+1,1))-AVERAGE(OFFSET($H$3,0,0,'Données projet'!$E$11+1,1))</f>
        <v>162.52375757962767</v>
      </c>
      <c r="BJ12" s="59">
        <f t="shared" si="38"/>
        <v>162.18047435246194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3.6141025641025637</v>
      </c>
      <c r="N13" s="13">
        <f>IF('Données projet'!$A$36&gt;35,N12+M13-V12,IF(A13&lt;'Données projet'!$A$36,$K$205^A13,IF(A13='Données projet'!$A$36,'Données projet'!$B$36,N12+M13-V12)))</f>
        <v>4.7684135049345766</v>
      </c>
      <c r="O13" s="13">
        <f>N13*VLOOKUP('Données projet'!$B$9,Paramètres!$A$1:$I$89,3,0)*VLOOKUP('Données projet'!$B$9,Paramètres!$A$1:$I$89,5,0)</f>
        <v>4.3144605392648048</v>
      </c>
      <c r="P13" s="13">
        <f t="shared" si="33"/>
        <v>1.677154691360536</v>
      </c>
      <c r="Q13" s="20">
        <f t="shared" si="2"/>
        <v>10.435396526672468</v>
      </c>
      <c r="R13" s="59">
        <f t="shared" si="0"/>
        <v>303.76872986000581</v>
      </c>
      <c r="S13" s="59">
        <f ca="1">AVERAGE(OFFSET($R$3,0,0,'Données projet'!$E$9+1,1))-AVERAGE(OFFSET($H$3,0,0,'Données projet'!$E$9+1,1))</f>
        <v>309.07357540707869</v>
      </c>
      <c r="T13" s="59">
        <f t="shared" si="34"/>
        <v>155.9593924683299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3.6141025641025637</v>
      </c>
      <c r="AI13" s="13">
        <f>IF('Données projet'!$A$62&gt;35,AI12+AH13-AQ12,IF(A13&lt;'Données projet'!$A$62,$AF$205^A13,IF(A13='Données projet'!$A$62,'Données projet'!$B$62,AI12+AH13-AQ12)))</f>
        <v>4.7684135049345766</v>
      </c>
      <c r="AJ13" s="13">
        <f>AI13*VLOOKUP('Données projet'!$B$10,Paramètres!$A$1:$I$89,3,0)*VLOOKUP('Données projet'!$B$10,Paramètres!$A$1:$I$89,5,0)</f>
        <v>4.6120095419727223</v>
      </c>
      <c r="AK13" s="13">
        <f t="shared" si="35"/>
        <v>1.7789569688597162</v>
      </c>
      <c r="AL13" s="20">
        <f t="shared" si="4"/>
        <v>11.13093333969983</v>
      </c>
      <c r="AM13" s="59">
        <f t="shared" si="5"/>
        <v>304.46426667303314</v>
      </c>
      <c r="AN13" s="59">
        <f ca="1">AVERAGE(OFFSET($AM$3,0,0,'Données projet'!$E$10+1,1))-AVERAGE(OFFSET($H$3,0,0,'Données projet'!$E$10+1,1))</f>
        <v>340.4659523898373</v>
      </c>
      <c r="AO13" s="59">
        <f t="shared" si="36"/>
        <v>170.54530785680572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6.9983076923076917</v>
      </c>
      <c r="BD13" s="12">
        <f>IF('Données projet'!$A$88&gt;35,BD12+BC13-BL12,IF(A13&lt;'Données projet'!$A$88,$BA$205^A13,IF(A13='Données projet'!$A$88,'Données projet'!$B$88,BD12+BC13-BL12)))</f>
        <v>69.983076923076922</v>
      </c>
      <c r="BE13" s="13">
        <f>BD13*VLOOKUP('Données projet'!$B$11,Paramètres!$A$1:$I$89,3,0)*VLOOKUP('Données projet'!$B$11,Paramètres!$A$1:$I$89,5,0)</f>
        <v>33.661860000000004</v>
      </c>
      <c r="BF13" s="13">
        <f t="shared" si="37"/>
        <v>10.302231351312663</v>
      </c>
      <c r="BG13" s="20">
        <f t="shared" si="7"/>
        <v>76.570792436869567</v>
      </c>
      <c r="BH13" s="59">
        <f t="shared" si="8"/>
        <v>369.90412577020288</v>
      </c>
      <c r="BI13" s="59">
        <f ca="1">AVERAGE(OFFSET($BH$3,0,0,'Données projet'!$E$11+1,1))-AVERAGE(OFFSET($H$3,0,0,'Données projet'!$E$11+1,1))</f>
        <v>162.52375757962767</v>
      </c>
      <c r="BJ13" s="59">
        <f t="shared" si="38"/>
        <v>162.18047435246194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3.6141025641025637</v>
      </c>
      <c r="N14" s="13">
        <f>IF('Données projet'!$A$36&gt;35,N13+M14-V13,IF(A14&lt;'Données projet'!$A$36,$K$205^A14,IF(A14='Données projet'!$A$36,'Données projet'!$B$36,N13+M14-V13)))</f>
        <v>5.5745690623980924</v>
      </c>
      <c r="O14" s="13">
        <f>N14*VLOOKUP('Données projet'!$B$9,Paramètres!$A$1:$I$89,3,0)*VLOOKUP('Données projet'!$B$9,Paramètres!$A$1:$I$89,5,0)</f>
        <v>5.043870087657794</v>
      </c>
      <c r="P14" s="13">
        <f t="shared" si="33"/>
        <v>1.9253701745153864</v>
      </c>
      <c r="Q14" s="20">
        <f t="shared" si="2"/>
        <v>12.138093456618288</v>
      </c>
      <c r="R14" s="59">
        <f t="shared" si="0"/>
        <v>305.47142678995158</v>
      </c>
      <c r="S14" s="59">
        <f ca="1">AVERAGE(OFFSET($R$3,0,0,'Données projet'!$E$9+1,1))-AVERAGE(OFFSET($H$3,0,0,'Données projet'!$E$9+1,1))</f>
        <v>309.07357540707869</v>
      </c>
      <c r="T14" s="59">
        <f t="shared" si="34"/>
        <v>155.9593924683299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3.6141025641025637</v>
      </c>
      <c r="AI14" s="13">
        <f>IF('Données projet'!$A$62&gt;35,AI13+AH14-AQ13,IF(A14&lt;'Données projet'!$A$62,$AF$205^A14,IF(A14='Données projet'!$A$62,'Données projet'!$B$62,AI13+AH14-AQ13)))</f>
        <v>5.5745690623980924</v>
      </c>
      <c r="AJ14" s="13">
        <f>AI14*VLOOKUP('Données projet'!$B$10,Paramètres!$A$1:$I$89,3,0)*VLOOKUP('Données projet'!$B$10,Paramètres!$A$1:$I$89,5,0)</f>
        <v>5.3917231971514354</v>
      </c>
      <c r="AK14" s="13">
        <f t="shared" si="35"/>
        <v>2.0422389820286981</v>
      </c>
      <c r="AL14" s="20">
        <f t="shared" si="4"/>
        <v>12.947484128738731</v>
      </c>
      <c r="AM14" s="59">
        <f t="shared" si="5"/>
        <v>306.28081746207204</v>
      </c>
      <c r="AN14" s="59">
        <f ca="1">AVERAGE(OFFSET($AM$3,0,0,'Données projet'!$E$10+1,1))-AVERAGE(OFFSET($H$3,0,0,'Données projet'!$E$10+1,1))</f>
        <v>340.4659523898373</v>
      </c>
      <c r="AO14" s="59">
        <f t="shared" si="36"/>
        <v>170.54530785680572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6.9983076923076917</v>
      </c>
      <c r="BD14" s="12">
        <f>IF('Données projet'!$A$88&gt;35,BD13+BC14-BL13,IF(A14&lt;'Données projet'!$A$88,$BA$205^A14,IF(A14='Données projet'!$A$88,'Données projet'!$B$88,BD13+BC14-BL13)))</f>
        <v>76.981384615384613</v>
      </c>
      <c r="BE14" s="13">
        <f>BD14*VLOOKUP('Données projet'!$B$11,Paramètres!$A$1:$I$89,3,0)*VLOOKUP('Données projet'!$B$11,Paramètres!$A$1:$I$89,5,0)</f>
        <v>37.028045999999996</v>
      </c>
      <c r="BF14" s="13">
        <f t="shared" si="37"/>
        <v>11.207425869926574</v>
      </c>
      <c r="BG14" s="20">
        <f t="shared" si="7"/>
        <v>84.010113506788784</v>
      </c>
      <c r="BH14" s="59">
        <f t="shared" si="8"/>
        <v>377.34344684012211</v>
      </c>
      <c r="BI14" s="59">
        <f ca="1">AVERAGE(OFFSET($BH$3,0,0,'Données projet'!$E$11+1,1))-AVERAGE(OFFSET($H$3,0,0,'Données projet'!$E$11+1,1))</f>
        <v>162.52375757962767</v>
      </c>
      <c r="BJ14" s="59">
        <f t="shared" si="38"/>
        <v>162.18047435246194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3.6141025641025637</v>
      </c>
      <c r="N15" s="13">
        <f>IF('Données projet'!$A$36&gt;35,N14+M15-V14,IF(A15&lt;'Données projet'!$A$36,$K$205^A15,IF(A15='Données projet'!$A$36,'Données projet'!$B$36,N14+M15-V14)))</f>
        <v>6.5170145582565855</v>
      </c>
      <c r="O15" s="13">
        <f>N15*VLOOKUP('Données projet'!$B$9,Paramètres!$A$1:$I$89,3,0)*VLOOKUP('Données projet'!$B$9,Paramètres!$A$1:$I$89,5,0)</f>
        <v>5.896594772310559</v>
      </c>
      <c r="P15" s="13">
        <f t="shared" si="33"/>
        <v>2.21032104433145</v>
      </c>
      <c r="Q15" s="20">
        <f t="shared" si="2"/>
        <v>14.119545047318164</v>
      </c>
      <c r="R15" s="59">
        <f t="shared" si="0"/>
        <v>307.4528783806515</v>
      </c>
      <c r="S15" s="59">
        <f ca="1">AVERAGE(OFFSET($R$3,0,0,'Données projet'!$E$9+1,1))-AVERAGE(OFFSET($H$3,0,0,'Données projet'!$E$9+1,1))</f>
        <v>309.07357540707869</v>
      </c>
      <c r="T15" s="59">
        <f t="shared" si="34"/>
        <v>155.9593924683299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3.6141025641025637</v>
      </c>
      <c r="AI15" s="13">
        <f>IF('Données projet'!$A$62&gt;35,AI14+AH15-AQ14,IF(A15&lt;'Données projet'!$A$62,$AF$205^A15,IF(A15='Données projet'!$A$62,'Données projet'!$B$62,AI14+AH15-AQ14)))</f>
        <v>6.5170145582565855</v>
      </c>
      <c r="AJ15" s="13">
        <f>AI15*VLOOKUP('Données projet'!$B$10,Paramètres!$A$1:$I$89,3,0)*VLOOKUP('Données projet'!$B$10,Paramètres!$A$1:$I$89,5,0)</f>
        <v>6.3032564807457705</v>
      </c>
      <c r="AK15" s="13">
        <f t="shared" si="35"/>
        <v>2.3444861976571532</v>
      </c>
      <c r="AL15" s="20">
        <f t="shared" si="4"/>
        <v>15.061485164885092</v>
      </c>
      <c r="AM15" s="59">
        <f t="shared" si="5"/>
        <v>308.3948184982184</v>
      </c>
      <c r="AN15" s="59">
        <f ca="1">AVERAGE(OFFSET($AM$3,0,0,'Données projet'!$E$10+1,1))-AVERAGE(OFFSET($H$3,0,0,'Données projet'!$E$10+1,1))</f>
        <v>340.4659523898373</v>
      </c>
      <c r="AO15" s="59">
        <f t="shared" si="36"/>
        <v>170.54530785680572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6.9983076923076917</v>
      </c>
      <c r="BD15" s="12">
        <f>IF('Données projet'!$A$88&gt;35,BD14+BC15-BL14,IF(A15&lt;'Données projet'!$A$88,$BA$205^A15,IF(A15='Données projet'!$A$88,'Données projet'!$B$88,BD14+BC15-BL14)))</f>
        <v>83.979692307692304</v>
      </c>
      <c r="BE15" s="13">
        <f>BD15*VLOOKUP('Données projet'!$B$11,Paramètres!$A$1:$I$89,3,0)*VLOOKUP('Données projet'!$B$11,Paramètres!$A$1:$I$89,5,0)</f>
        <v>40.394232000000002</v>
      </c>
      <c r="BF15" s="13">
        <f t="shared" si="37"/>
        <v>12.103078423456019</v>
      </c>
      <c r="BG15" s="20">
        <f t="shared" si="7"/>
        <v>91.432815654185902</v>
      </c>
      <c r="BH15" s="59">
        <f t="shared" si="8"/>
        <v>384.76614898751922</v>
      </c>
      <c r="BI15" s="59">
        <f ca="1">AVERAGE(OFFSET($BH$3,0,0,'Données projet'!$E$11+1,1))-AVERAGE(OFFSET($H$3,0,0,'Données projet'!$E$11+1,1))</f>
        <v>162.52375757962767</v>
      </c>
      <c r="BJ15" s="59">
        <f t="shared" si="38"/>
        <v>162.18047435246194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3.6141025641025637</v>
      </c>
      <c r="N16" s="13">
        <f>IF('Données projet'!$A$36&gt;35,N15+M16-V15,IF(A16&lt;'Données projet'!$A$36,$K$205^A16,IF(A16='Données projet'!$A$36,'Données projet'!$B$36,N15+M16-V15)))</f>
        <v>7.618791385868616</v>
      </c>
      <c r="O16" s="13">
        <f>N16*VLOOKUP('Données projet'!$B$9,Paramètres!$A$1:$I$89,3,0)*VLOOKUP('Données projet'!$B$9,Paramètres!$A$1:$I$89,5,0)</f>
        <v>6.8934824459339232</v>
      </c>
      <c r="P16" s="13">
        <f t="shared" si="33"/>
        <v>2.5374440633184476</v>
      </c>
      <c r="Q16" s="20">
        <f t="shared" si="2"/>
        <v>16.42553033694788</v>
      </c>
      <c r="R16" s="59">
        <f t="shared" si="0"/>
        <v>309.75886367028119</v>
      </c>
      <c r="S16" s="59">
        <f ca="1">AVERAGE(OFFSET($R$3,0,0,'Données projet'!$E$9+1,1))-AVERAGE(OFFSET($H$3,0,0,'Données projet'!$E$9+1,1))</f>
        <v>309.07357540707869</v>
      </c>
      <c r="T16" s="59">
        <f t="shared" si="34"/>
        <v>155.9593924683299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3.6141025641025637</v>
      </c>
      <c r="AI16" s="13">
        <f>IF('Données projet'!$A$62&gt;35,AI15+AH16-AQ15,IF(A16&lt;'Données projet'!$A$62,$AF$205^A16,IF(A16='Données projet'!$A$62,'Données projet'!$B$62,AI15+AH16-AQ15)))</f>
        <v>7.618791385868616</v>
      </c>
      <c r="AJ16" s="13">
        <f>AI16*VLOOKUP('Données projet'!$B$10,Paramètres!$A$1:$I$89,3,0)*VLOOKUP('Données projet'!$B$10,Paramètres!$A$1:$I$89,5,0)</f>
        <v>7.3688950284121262</v>
      </c>
      <c r="AK16" s="13">
        <f t="shared" si="35"/>
        <v>2.6914653864577227</v>
      </c>
      <c r="AL16" s="20">
        <f t="shared" si="4"/>
        <v>17.521794389231651</v>
      </c>
      <c r="AM16" s="59">
        <f t="shared" si="5"/>
        <v>310.85512772256499</v>
      </c>
      <c r="AN16" s="59">
        <f ca="1">AVERAGE(OFFSET($AM$3,0,0,'Données projet'!$E$10+1,1))-AVERAGE(OFFSET($H$3,0,0,'Données projet'!$E$10+1,1))</f>
        <v>340.4659523898373</v>
      </c>
      <c r="AO16" s="59">
        <f t="shared" si="36"/>
        <v>170.54530785680572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6.9983076923076917</v>
      </c>
      <c r="BD16" s="12">
        <f>IF('Données projet'!$A$88&gt;35,BD15+BC16-BL15,IF(A16&lt;'Données projet'!$A$88,$BA$205^A16,IF(A16='Données projet'!$A$88,'Données projet'!$B$88,BD15+BC16-BL15)))</f>
        <v>90.977999999999994</v>
      </c>
      <c r="BE16" s="13">
        <f>BD16*VLOOKUP('Données projet'!$B$11,Paramètres!$A$1:$I$89,3,0)*VLOOKUP('Données projet'!$B$11,Paramètres!$A$1:$I$89,5,0)</f>
        <v>43.760418000000001</v>
      </c>
      <c r="BF16" s="13">
        <f t="shared" si="37"/>
        <v>12.990074578715523</v>
      </c>
      <c r="BG16" s="20">
        <f t="shared" si="7"/>
        <v>98.840441241262852</v>
      </c>
      <c r="BH16" s="59">
        <f t="shared" si="8"/>
        <v>392.17377457459617</v>
      </c>
      <c r="BI16" s="59">
        <f ca="1">AVERAGE(OFFSET($BH$3,0,0,'Données projet'!$E$11+1,1))-AVERAGE(OFFSET($H$3,0,0,'Données projet'!$E$11+1,1))</f>
        <v>162.52375757962767</v>
      </c>
      <c r="BJ16" s="59">
        <f t="shared" si="38"/>
        <v>162.18047435246194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3.6141025641025637</v>
      </c>
      <c r="N17" s="13">
        <f>IF('Données projet'!$A$36&gt;35,N16+M17-V16,IF(A17&lt;'Données projet'!$A$36,$K$205^A17,IF(A17='Données projet'!$A$36,'Données projet'!$B$36,N16+M17-V16)))</f>
        <v>8.9068363531343948</v>
      </c>
      <c r="O17" s="13">
        <f>N17*VLOOKUP('Données projet'!$B$9,Paramètres!$A$1:$I$89,3,0)*VLOOKUP('Données projet'!$B$9,Paramètres!$A$1:$I$89,5,0)</f>
        <v>8.0589055323160004</v>
      </c>
      <c r="P17" s="13">
        <f t="shared" si="33"/>
        <v>2.9129806237797036</v>
      </c>
      <c r="Q17" s="20">
        <f t="shared" si="2"/>
        <v>19.109368388533348</v>
      </c>
      <c r="R17" s="59">
        <f t="shared" si="0"/>
        <v>312.44270172186668</v>
      </c>
      <c r="S17" s="59">
        <f ca="1">AVERAGE(OFFSET($R$3,0,0,'Données projet'!$E$9+1,1))-AVERAGE(OFFSET($H$3,0,0,'Données projet'!$E$9+1,1))</f>
        <v>309.07357540707869</v>
      </c>
      <c r="T17" s="59">
        <f t="shared" si="34"/>
        <v>155.9593924683299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3.6141025641025637</v>
      </c>
      <c r="AI17" s="13">
        <f>IF('Données projet'!$A$62&gt;35,AI16+AH17-AQ16,IF(A17&lt;'Données projet'!$A$62,$AF$205^A17,IF(A17='Données projet'!$A$62,'Données projet'!$B$62,AI16+AH17-AQ16)))</f>
        <v>8.9068363531343948</v>
      </c>
      <c r="AJ17" s="13">
        <f>AI17*VLOOKUP('Données projet'!$B$10,Paramètres!$A$1:$I$89,3,0)*VLOOKUP('Données projet'!$B$10,Paramètres!$A$1:$I$89,5,0)</f>
        <v>8.6146921207515863</v>
      </c>
      <c r="AK17" s="13">
        <f t="shared" si="35"/>
        <v>3.089796789479478</v>
      </c>
      <c r="AL17" s="20">
        <f t="shared" si="4"/>
        <v>20.385318185319104</v>
      </c>
      <c r="AM17" s="59">
        <f t="shared" si="5"/>
        <v>313.71865151865239</v>
      </c>
      <c r="AN17" s="59">
        <f ca="1">AVERAGE(OFFSET($AM$3,0,0,'Données projet'!$E$10+1,1))-AVERAGE(OFFSET($H$3,0,0,'Données projet'!$E$10+1,1))</f>
        <v>340.4659523898373</v>
      </c>
      <c r="AO17" s="59">
        <f t="shared" si="36"/>
        <v>170.54530785680572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6.9983076923076917</v>
      </c>
      <c r="BD17" s="12">
        <f>IF('Données projet'!$A$88&gt;35,BD16+BC17-BL16,IF(A17&lt;'Données projet'!$A$88,$BA$205^A17,IF(A17='Données projet'!$A$88,'Données projet'!$B$88,BD16+BC17-BL16)))</f>
        <v>97.976307692307685</v>
      </c>
      <c r="BE17" s="13">
        <f>BD17*VLOOKUP('Données projet'!$B$11,Paramètres!$A$1:$I$89,3,0)*VLOOKUP('Données projet'!$B$11,Paramètres!$A$1:$I$89,5,0)</f>
        <v>47.126604</v>
      </c>
      <c r="BF17" s="13">
        <f t="shared" si="37"/>
        <v>13.869155922103026</v>
      </c>
      <c r="BG17" s="20">
        <f t="shared" si="7"/>
        <v>106.23428186432943</v>
      </c>
      <c r="BH17" s="59">
        <f t="shared" si="8"/>
        <v>399.56761519766275</v>
      </c>
      <c r="BI17" s="59">
        <f ca="1">AVERAGE(OFFSET($BH$3,0,0,'Données projet'!$E$11+1,1))-AVERAGE(OFFSET($H$3,0,0,'Données projet'!$E$11+1,1))</f>
        <v>162.52375757962767</v>
      </c>
      <c r="BJ17" s="59">
        <f t="shared" si="38"/>
        <v>162.18047435246194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3.6141025641025637</v>
      </c>
      <c r="N18" s="13">
        <f>IF('Données projet'!$A$36&gt;35,N17+M18-V17,IF(A18&lt;'Données projet'!$A$36,$K$205^A18,IF(A18='Données projet'!$A$36,'Données projet'!$B$36,N17+M18-V17)))</f>
        <v>10.41264024746253</v>
      </c>
      <c r="O18" s="13">
        <f>N18*VLOOKUP('Données projet'!$B$9,Paramètres!$A$1:$I$89,3,0)*VLOOKUP('Données projet'!$B$9,Paramètres!$A$1:$I$89,5,0)</f>
        <v>9.421356895904097</v>
      </c>
      <c r="P18" s="13">
        <f t="shared" si="33"/>
        <v>3.3440958313850619</v>
      </c>
      <c r="Q18" s="20">
        <f t="shared" si="2"/>
        <v>22.233163500028613</v>
      </c>
      <c r="R18" s="59">
        <f t="shared" si="0"/>
        <v>315.56649683336195</v>
      </c>
      <c r="S18" s="59">
        <f ca="1">AVERAGE(OFFSET($R$3,0,0,'Données projet'!$E$9+1,1))-AVERAGE(OFFSET($H$3,0,0,'Données projet'!$E$9+1,1))</f>
        <v>309.07357540707869</v>
      </c>
      <c r="T18" s="59">
        <f t="shared" si="34"/>
        <v>155.9593924683299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3.6141025641025637</v>
      </c>
      <c r="AI18" s="13">
        <f>IF('Données projet'!$A$62&gt;35,AI17+AH18-AQ17,IF(A18&lt;'Données projet'!$A$62,$AF$205^A18,IF(A18='Données projet'!$A$62,'Données projet'!$B$62,AI17+AH18-AQ17)))</f>
        <v>10.41264024746253</v>
      </c>
      <c r="AJ18" s="13">
        <f>AI18*VLOOKUP('Données projet'!$B$10,Paramètres!$A$1:$I$89,3,0)*VLOOKUP('Données projet'!$B$10,Paramètres!$A$1:$I$89,5,0)</f>
        <v>10.071105647345759</v>
      </c>
      <c r="AK18" s="13">
        <f t="shared" si="35"/>
        <v>3.5470804299818361</v>
      </c>
      <c r="AL18" s="20">
        <f t="shared" si="4"/>
        <v>23.718340751345561</v>
      </c>
      <c r="AM18" s="59">
        <f t="shared" si="5"/>
        <v>317.05167408467889</v>
      </c>
      <c r="AN18" s="59">
        <f ca="1">AVERAGE(OFFSET($AM$3,0,0,'Données projet'!$E$10+1,1))-AVERAGE(OFFSET($H$3,0,0,'Données projet'!$E$10+1,1))</f>
        <v>340.4659523898373</v>
      </c>
      <c r="AO18" s="59">
        <f t="shared" si="36"/>
        <v>170.54530785680572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6.9983076923076917</v>
      </c>
      <c r="BD18" s="12">
        <f>IF('Données projet'!$A$88&gt;35,BD17+BC18-BL17,IF(A18&lt;'Données projet'!$A$88,$BA$205^A18,IF(A18='Données projet'!$A$88,'Données projet'!$B$88,BD17+BC18-BL17)))</f>
        <v>104.97461538461538</v>
      </c>
      <c r="BE18" s="13">
        <f>BD18*VLOOKUP('Données projet'!$B$11,Paramètres!$A$1:$I$89,3,0)*VLOOKUP('Données projet'!$B$11,Paramètres!$A$1:$I$89,5,0)</f>
        <v>50.492789999999992</v>
      </c>
      <c r="BF18" s="13">
        <f t="shared" si="37"/>
        <v>14.740952095990622</v>
      </c>
      <c r="BG18" s="20">
        <f t="shared" si="7"/>
        <v>113.61543415051698</v>
      </c>
      <c r="BH18" s="59">
        <f t="shared" si="8"/>
        <v>406.9487674838503</v>
      </c>
      <c r="BI18" s="59">
        <f ca="1">AVERAGE(OFFSET($BH$3,0,0,'Données projet'!$E$11+1,1))-AVERAGE(OFFSET($H$3,0,0,'Données projet'!$E$11+1,1))</f>
        <v>162.52375757962767</v>
      </c>
      <c r="BJ18" s="59">
        <f t="shared" si="38"/>
        <v>162.18047435246194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3.6141025641025637</v>
      </c>
      <c r="N19" s="13">
        <f>IF('Données projet'!$A$36&gt;35,N18+M19-V18,IF(A19&lt;'Données projet'!$A$36,$K$205^A19,IF(A19='Données projet'!$A$36,'Données projet'!$B$36,N18+M19-V18)))</f>
        <v>12.173017738775622</v>
      </c>
      <c r="O19" s="13">
        <f>N19*VLOOKUP('Données projet'!$B$9,Paramètres!$A$1:$I$89,3,0)*VLOOKUP('Données projet'!$B$9,Paramètres!$A$1:$I$89,5,0)</f>
        <v>11.014146450044182</v>
      </c>
      <c r="P19" s="13">
        <f t="shared" si="33"/>
        <v>3.8390152128703852</v>
      </c>
      <c r="Q19" s="20">
        <f t="shared" si="2"/>
        <v>25.869256562909538</v>
      </c>
      <c r="R19" s="59">
        <f t="shared" si="0"/>
        <v>319.20258989624284</v>
      </c>
      <c r="S19" s="59">
        <f ca="1">AVERAGE(OFFSET($R$3,0,0,'Données projet'!$E$9+1,1))-AVERAGE(OFFSET($H$3,0,0,'Données projet'!$E$9+1,1))</f>
        <v>309.07357540707869</v>
      </c>
      <c r="T19" s="59">
        <f t="shared" si="34"/>
        <v>155.9593924683299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3.6141025641025637</v>
      </c>
      <c r="AI19" s="13">
        <f>IF('Données projet'!$A$62&gt;35,AI18+AH19-AQ18,IF(A19&lt;'Données projet'!$A$62,$AF$205^A19,IF(A19='Données projet'!$A$62,'Données projet'!$B$62,AI18+AH19-AQ18)))</f>
        <v>12.173017738775622</v>
      </c>
      <c r="AJ19" s="13">
        <f>AI19*VLOOKUP('Données projet'!$B$10,Paramètres!$A$1:$I$89,3,0)*VLOOKUP('Données projet'!$B$10,Paramètres!$A$1:$I$89,5,0)</f>
        <v>11.773742756943783</v>
      </c>
      <c r="AK19" s="13">
        <f t="shared" si="35"/>
        <v>4.0720411192089161</v>
      </c>
      <c r="AL19" s="20">
        <f t="shared" si="4"/>
        <v>27.598073584299282</v>
      </c>
      <c r="AM19" s="59">
        <f t="shared" si="5"/>
        <v>320.93140691763261</v>
      </c>
      <c r="AN19" s="59">
        <f ca="1">AVERAGE(OFFSET($AM$3,0,0,'Données projet'!$E$10+1,1))-AVERAGE(OFFSET($H$3,0,0,'Données projet'!$E$10+1,1))</f>
        <v>340.4659523898373</v>
      </c>
      <c r="AO19" s="59">
        <f t="shared" si="36"/>
        <v>170.54530785680572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6.9983076923076917</v>
      </c>
      <c r="BD19" s="12">
        <f>IF('Données projet'!$A$88&gt;35,BD18+BC19-BL18,IF(A19&lt;'Données projet'!$A$88,$BA$205^A19,IF(A19='Données projet'!$A$88,'Données projet'!$B$88,BD18+BC19-BL18)))</f>
        <v>111.97292307692307</v>
      </c>
      <c r="BE19" s="13">
        <f>BD19*VLOOKUP('Données projet'!$B$11,Paramètres!$A$1:$I$89,3,0)*VLOOKUP('Données projet'!$B$11,Paramètres!$A$1:$I$89,5,0)</f>
        <v>53.858975999999991</v>
      </c>
      <c r="BF19" s="13">
        <f t="shared" si="37"/>
        <v>15.606004040864047</v>
      </c>
      <c r="BG19" s="20">
        <f t="shared" si="7"/>
        <v>120.98484023783818</v>
      </c>
      <c r="BH19" s="59">
        <f t="shared" si="8"/>
        <v>414.31817357117149</v>
      </c>
      <c r="BI19" s="59">
        <f ca="1">AVERAGE(OFFSET($BH$3,0,0,'Données projet'!$E$11+1,1))-AVERAGE(OFFSET($H$3,0,0,'Données projet'!$E$11+1,1))</f>
        <v>162.52375757962767</v>
      </c>
      <c r="BJ19" s="59">
        <f t="shared" si="38"/>
        <v>162.18047435246194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3.6141025641025637</v>
      </c>
      <c r="N20" s="13">
        <f>IF('Données projet'!$A$36&gt;35,N19+M20-V19,IF(A20&lt;'Données projet'!$A$36,$K$205^A20,IF(A20='Données projet'!$A$36,'Données projet'!$B$36,N19+M20-V19)))</f>
        <v>14.231007443540239</v>
      </c>
      <c r="O20" s="13">
        <f>N20*VLOOKUP('Données projet'!$B$9,Paramètres!$A$1:$I$89,3,0)*VLOOKUP('Données projet'!$B$9,Paramètres!$A$1:$I$89,5,0)</f>
        <v>12.876215534915207</v>
      </c>
      <c r="P20" s="13">
        <f t="shared" si="33"/>
        <v>4.4071816561985404</v>
      </c>
      <c r="Q20" s="20">
        <f t="shared" si="2"/>
        <v>30.101916774523115</v>
      </c>
      <c r="R20" s="59">
        <f t="shared" si="0"/>
        <v>323.4352501078564</v>
      </c>
      <c r="S20" s="59">
        <f ca="1">AVERAGE(OFFSET($R$3,0,0,'Données projet'!$E$9+1,1))-AVERAGE(OFFSET($H$3,0,0,'Données projet'!$E$9+1,1))</f>
        <v>309.07357540707869</v>
      </c>
      <c r="T20" s="59">
        <f t="shared" si="34"/>
        <v>155.9593924683299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3.6141025641025637</v>
      </c>
      <c r="AI20" s="13">
        <f>IF('Données projet'!$A$62&gt;35,AI19+AH20-AQ19,IF(A20&lt;'Données projet'!$A$62,$AF$205^A20,IF(A20='Données projet'!$A$62,'Données projet'!$B$62,AI19+AH20-AQ19)))</f>
        <v>14.231007443540239</v>
      </c>
      <c r="AJ20" s="13">
        <f>AI20*VLOOKUP('Données projet'!$B$10,Paramètres!$A$1:$I$89,3,0)*VLOOKUP('Données projet'!$B$10,Paramètres!$A$1:$I$89,5,0)</f>
        <v>13.764230399392121</v>
      </c>
      <c r="AK20" s="13">
        <f t="shared" si="35"/>
        <v>4.6746949227235612</v>
      </c>
      <c r="AL20" s="20">
        <f t="shared" si="4"/>
        <v>32.114461602684813</v>
      </c>
      <c r="AM20" s="59">
        <f t="shared" si="5"/>
        <v>325.44779493601811</v>
      </c>
      <c r="AN20" s="59">
        <f ca="1">AVERAGE(OFFSET($AM$3,0,0,'Données projet'!$E$10+1,1))-AVERAGE(OFFSET($H$3,0,0,'Données projet'!$E$10+1,1))</f>
        <v>340.4659523898373</v>
      </c>
      <c r="AO20" s="59">
        <f t="shared" si="36"/>
        <v>170.54530785680572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6.9983076923076917</v>
      </c>
      <c r="BD20" s="12">
        <f>IF('Données projet'!$A$88&gt;35,BD19+BC20-BL19,IF(A20&lt;'Données projet'!$A$88,$BA$205^A20,IF(A20='Données projet'!$A$88,'Données projet'!$B$88,BD19+BC20-BL19)))</f>
        <v>118.97123076923076</v>
      </c>
      <c r="BE20" s="13">
        <f>BD20*VLOOKUP('Données projet'!$B$11,Paramètres!$A$1:$I$89,3,0)*VLOOKUP('Données projet'!$B$11,Paramètres!$A$1:$I$89,5,0)</f>
        <v>57.225161999999997</v>
      </c>
      <c r="BF20" s="13">
        <f t="shared" si="37"/>
        <v>16.464781257891449</v>
      </c>
      <c r="BG20" s="20">
        <f t="shared" si="7"/>
        <v>128.34331784082761</v>
      </c>
      <c r="BH20" s="59">
        <f t="shared" si="8"/>
        <v>421.67665117416095</v>
      </c>
      <c r="BI20" s="59">
        <f ca="1">AVERAGE(OFFSET($BH$3,0,0,'Données projet'!$E$11+1,1))-AVERAGE(OFFSET($H$3,0,0,'Données projet'!$E$11+1,1))</f>
        <v>162.52375757962767</v>
      </c>
      <c r="BJ20" s="59">
        <f t="shared" si="38"/>
        <v>162.18047435246194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3.6141025641025637</v>
      </c>
      <c r="N21" s="13">
        <f>IF('Données projet'!$A$36&gt;35,N20+M21-V20,IF(A21&lt;'Données projet'!$A$36,$K$205^A21,IF(A21='Données projet'!$A$36,'Données projet'!$B$36,N20+M21-V20)))</f>
        <v>16.636924155050774</v>
      </c>
      <c r="O21" s="13">
        <f>N21*VLOOKUP('Données projet'!$B$9,Paramètres!$A$1:$I$89,3,0)*VLOOKUP('Données projet'!$B$9,Paramètres!$A$1:$I$89,5,0)</f>
        <v>15.053088975489938</v>
      </c>
      <c r="P21" s="13">
        <f t="shared" si="33"/>
        <v>5.0594355775449955</v>
      </c>
      <c r="Q21" s="20">
        <f t="shared" si="2"/>
        <v>35.029313596535836</v>
      </c>
      <c r="R21" s="59">
        <f t="shared" si="0"/>
        <v>328.36264692986913</v>
      </c>
      <c r="S21" s="59">
        <f ca="1">AVERAGE(OFFSET($R$3,0,0,'Données projet'!$E$9+1,1))-AVERAGE(OFFSET($H$3,0,0,'Données projet'!$E$9+1,1))</f>
        <v>309.07357540707869</v>
      </c>
      <c r="T21" s="59">
        <f t="shared" si="34"/>
        <v>155.9593924683299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3.6141025641025637</v>
      </c>
      <c r="AI21" s="13">
        <f>IF('Données projet'!$A$62&gt;35,AI20+AH21-AQ20,IF(A21&lt;'Données projet'!$A$62,$AF$205^A21,IF(A21='Données projet'!$A$62,'Données projet'!$B$62,AI20+AH21-AQ20)))</f>
        <v>16.636924155050774</v>
      </c>
      <c r="AJ21" s="13">
        <f>AI21*VLOOKUP('Données projet'!$B$10,Paramètres!$A$1:$I$89,3,0)*VLOOKUP('Données projet'!$B$10,Paramètres!$A$1:$I$89,5,0)</f>
        <v>16.091233042765108</v>
      </c>
      <c r="AK21" s="13">
        <f t="shared" si="35"/>
        <v>5.3665402634202364</v>
      </c>
      <c r="AL21" s="20">
        <f t="shared" si="4"/>
        <v>37.37228850827281</v>
      </c>
      <c r="AM21" s="59">
        <f t="shared" si="5"/>
        <v>330.7056218416061</v>
      </c>
      <c r="AN21" s="59">
        <f ca="1">AVERAGE(OFFSET($AM$3,0,0,'Données projet'!$E$10+1,1))-AVERAGE(OFFSET($H$3,0,0,'Données projet'!$E$10+1,1))</f>
        <v>340.4659523898373</v>
      </c>
      <c r="AO21" s="59">
        <f t="shared" si="36"/>
        <v>170.54530785680572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6.9983076923076917</v>
      </c>
      <c r="BD21" s="12">
        <f>IF('Données projet'!$A$88&gt;35,BD20+BC21-BL20,IF(A21&lt;'Données projet'!$A$88,$BA$205^A21,IF(A21='Données projet'!$A$88,'Données projet'!$B$88,BD20+BC21-BL20)))</f>
        <v>125.96953846153845</v>
      </c>
      <c r="BE21" s="13">
        <f>BD21*VLOOKUP('Données projet'!$B$11,Paramètres!$A$1:$I$89,3,0)*VLOOKUP('Données projet'!$B$11,Paramètres!$A$1:$I$89,5,0)</f>
        <v>60.591347999999996</v>
      </c>
      <c r="BF21" s="13">
        <f t="shared" si="37"/>
        <v>17.317694892519633</v>
      </c>
      <c r="BG21" s="20">
        <f t="shared" si="7"/>
        <v>135.69158303780503</v>
      </c>
      <c r="BH21" s="59">
        <f t="shared" si="8"/>
        <v>429.02491637113837</v>
      </c>
      <c r="BI21" s="59">
        <f ca="1">AVERAGE(OFFSET($BH$3,0,0,'Données projet'!$E$11+1,1))-AVERAGE(OFFSET($H$3,0,0,'Données projet'!$E$11+1,1))</f>
        <v>162.52375757962767</v>
      </c>
      <c r="BJ21" s="59">
        <f t="shared" si="38"/>
        <v>162.18047435246194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3.6141025641025637</v>
      </c>
      <c r="N22" s="13">
        <f>IF('Données projet'!$A$36&gt;35,N21+M22-V21,IF(A22&lt;'Données projet'!$A$36,$K$205^A22,IF(A22='Données projet'!$A$36,'Données projet'!$B$36,N21+M22-V21)))</f>
        <v>19.449588965435588</v>
      </c>
      <c r="O22" s="13">
        <f>N22*VLOOKUP('Données projet'!$B$9,Paramètres!$A$1:$I$89,3,0)*VLOOKUP('Données projet'!$B$9,Paramètres!$A$1:$I$89,5,0)</f>
        <v>17.597988095926119</v>
      </c>
      <c r="P22" s="13">
        <f t="shared" si="33"/>
        <v>5.8082217526308648</v>
      </c>
      <c r="Q22" s="20">
        <f t="shared" si="2"/>
        <v>40.765815486236747</v>
      </c>
      <c r="R22" s="59">
        <f t="shared" si="0"/>
        <v>334.09914881957008</v>
      </c>
      <c r="S22" s="59">
        <f ca="1">AVERAGE(OFFSET($R$3,0,0,'Données projet'!$E$9+1,1))-AVERAGE(OFFSET($H$3,0,0,'Données projet'!$E$9+1,1))</f>
        <v>309.07357540707869</v>
      </c>
      <c r="T22" s="59">
        <f t="shared" si="34"/>
        <v>155.9593924683299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3.6141025641025637</v>
      </c>
      <c r="AI22" s="13">
        <f>IF('Données projet'!$A$62&gt;35,AI21+AH22-AQ21,IF(A22&lt;'Données projet'!$A$62,$AF$205^A22,IF(A22='Données projet'!$A$62,'Données projet'!$B$62,AI21+AH22-AQ21)))</f>
        <v>19.449588965435588</v>
      </c>
      <c r="AJ22" s="13">
        <f>AI22*VLOOKUP('Données projet'!$B$10,Paramètres!$A$1:$I$89,3,0)*VLOOKUP('Données projet'!$B$10,Paramètres!$A$1:$I$89,5,0)</f>
        <v>18.811642447369302</v>
      </c>
      <c r="AK22" s="13">
        <f t="shared" si="35"/>
        <v>6.1607773073951293</v>
      </c>
      <c r="AL22" s="20">
        <f t="shared" si="4"/>
        <v>43.493631072881378</v>
      </c>
      <c r="AM22" s="59">
        <f t="shared" si="5"/>
        <v>336.8269644062147</v>
      </c>
      <c r="AN22" s="59">
        <f ca="1">AVERAGE(OFFSET($AM$3,0,0,'Données projet'!$E$10+1,1))-AVERAGE(OFFSET($H$3,0,0,'Données projet'!$E$10+1,1))</f>
        <v>340.4659523898373</v>
      </c>
      <c r="AO22" s="59">
        <f t="shared" si="36"/>
        <v>170.54530785680572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6.9983076923076917</v>
      </c>
      <c r="BD22" s="12">
        <f>IF('Données projet'!$A$88&gt;35,BD21+BC22-BL21,IF(A22&lt;'Données projet'!$A$88,$BA$205^A22,IF(A22='Données projet'!$A$88,'Données projet'!$B$88,BD21+BC22-BL21)))</f>
        <v>132.96784615384615</v>
      </c>
      <c r="BE22" s="13">
        <f>BD22*VLOOKUP('Données projet'!$B$11,Paramètres!$A$1:$I$89,3,0)*VLOOKUP('Données projet'!$B$11,Paramètres!$A$1:$I$89,5,0)</f>
        <v>63.957534000000003</v>
      </c>
      <c r="BF22" s="13">
        <f t="shared" si="37"/>
        <v>18.165107827250047</v>
      </c>
      <c r="BG22" s="20">
        <f t="shared" si="7"/>
        <v>143.03026784912717</v>
      </c>
      <c r="BH22" s="59">
        <f t="shared" si="8"/>
        <v>436.36360118246046</v>
      </c>
      <c r="BI22" s="59">
        <f ca="1">AVERAGE(OFFSET($BH$3,0,0,'Données projet'!$E$11+1,1))-AVERAGE(OFFSET($H$3,0,0,'Données projet'!$E$11+1,1))</f>
        <v>162.52375757962767</v>
      </c>
      <c r="BJ22" s="59">
        <f t="shared" si="38"/>
        <v>162.18047435246194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3.6141025641025637</v>
      </c>
      <c r="N23" s="13">
        <f>IF('Données projet'!$A$36&gt;35,N22+M23-V22,IF(A23&lt;'Données projet'!$A$36,$K$205^A23,IF(A23='Données projet'!$A$36,'Données projet'!$B$36,N22+M23-V22)))</f>
        <v>22.73776735404245</v>
      </c>
      <c r="O23" s="13">
        <f>N23*VLOOKUP('Données projet'!$B$9,Paramètres!$A$1:$I$89,3,0)*VLOOKUP('Données projet'!$B$9,Paramètres!$A$1:$I$89,5,0)</f>
        <v>20.573131901937611</v>
      </c>
      <c r="P23" s="13">
        <f t="shared" si="33"/>
        <v>6.6678267586725299</v>
      </c>
      <c r="Q23" s="20">
        <f t="shared" si="2"/>
        <v>47.444669667229327</v>
      </c>
      <c r="R23" s="59">
        <f t="shared" si="0"/>
        <v>340.77800300056265</v>
      </c>
      <c r="S23" s="59">
        <f ca="1">AVERAGE(OFFSET($R$3,0,0,'Données projet'!$E$9+1,1))-AVERAGE(OFFSET($H$3,0,0,'Données projet'!$E$9+1,1))</f>
        <v>309.07357540707869</v>
      </c>
      <c r="T23" s="59">
        <f t="shared" si="34"/>
        <v>155.9593924683299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3.6141025641025637</v>
      </c>
      <c r="AI23" s="13">
        <f>IF('Données projet'!$A$62&gt;35,AI22+AH23-AQ22,IF(A23&lt;'Données projet'!$A$62,$AF$205^A23,IF(A23='Données projet'!$A$62,'Données projet'!$B$62,AI22+AH23-AQ22)))</f>
        <v>22.73776735404245</v>
      </c>
      <c r="AJ23" s="13">
        <f>AI23*VLOOKUP('Données projet'!$B$10,Paramètres!$A$1:$I$89,3,0)*VLOOKUP('Données projet'!$B$10,Paramètres!$A$1:$I$89,5,0)</f>
        <v>21.991968584829859</v>
      </c>
      <c r="AK23" s="13">
        <f t="shared" si="35"/>
        <v>7.0725598184788296</v>
      </c>
      <c r="AL23" s="20">
        <f t="shared" si="4"/>
        <v>50.620720302429298</v>
      </c>
      <c r="AM23" s="59">
        <f t="shared" si="5"/>
        <v>343.95405363576259</v>
      </c>
      <c r="AN23" s="59">
        <f ca="1">AVERAGE(OFFSET($AM$3,0,0,'Données projet'!$E$10+1,1))-AVERAGE(OFFSET($H$3,0,0,'Données projet'!$E$10+1,1))</f>
        <v>340.4659523898373</v>
      </c>
      <c r="AO23" s="59">
        <f t="shared" si="36"/>
        <v>170.54530785680572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6.9983076923076917</v>
      </c>
      <c r="BD23" s="12">
        <f>IF('Données projet'!$A$88&gt;35,BD22+BC23-BL22,IF(A23&lt;'Données projet'!$A$88,$BA$205^A23,IF(A23='Données projet'!$A$88,'Données projet'!$B$88,BD22+BC23-BL22)))</f>
        <v>139.96615384615384</v>
      </c>
      <c r="BE23" s="13">
        <f>BD23*VLOOKUP('Données projet'!$B$11,Paramètres!$A$1:$I$89,3,0)*VLOOKUP('Données projet'!$B$11,Paramètres!$A$1:$I$89,5,0)</f>
        <v>67.323720000000009</v>
      </c>
      <c r="BF23" s="13">
        <f t="shared" si="37"/>
        <v>19.007342589004185</v>
      </c>
      <c r="BG23" s="20">
        <f t="shared" si="7"/>
        <v>150.3599340091823</v>
      </c>
      <c r="BH23" s="59">
        <f t="shared" si="8"/>
        <v>443.69326734251558</v>
      </c>
      <c r="BI23" s="59">
        <f ca="1">AVERAGE(OFFSET($BH$3,0,0,'Données projet'!$E$11+1,1))-AVERAGE(OFFSET($H$3,0,0,'Données projet'!$E$11+1,1))</f>
        <v>162.52375757962767</v>
      </c>
      <c r="BJ23" s="59">
        <f t="shared" si="38"/>
        <v>162.18047435246194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3.6141025641025637</v>
      </c>
      <c r="N24" s="13">
        <f>IF('Données projet'!$A$36&gt;35,N23+M24-V23,IF(A24&lt;'Données projet'!$A$36,$K$205^A24,IF(A24='Données projet'!$A$36,'Données projet'!$B$36,N23+M24-V23)))</f>
        <v>26.581850401329536</v>
      </c>
      <c r="O24" s="13">
        <f>N24*VLOOKUP('Données projet'!$B$9,Paramètres!$A$1:$I$89,3,0)*VLOOKUP('Données projet'!$B$9,Paramètres!$A$1:$I$89,5,0)</f>
        <v>24.051258243122962</v>
      </c>
      <c r="P24" s="13">
        <f t="shared" si="33"/>
        <v>7.6546515572569298</v>
      </c>
      <c r="Q24" s="20">
        <f t="shared" si="2"/>
        <v>55.221126235661643</v>
      </c>
      <c r="R24" s="59">
        <f t="shared" si="0"/>
        <v>348.55445956899496</v>
      </c>
      <c r="S24" s="59">
        <f ca="1">AVERAGE(OFFSET($R$3,0,0,'Données projet'!$E$9+1,1))-AVERAGE(OFFSET($H$3,0,0,'Données projet'!$E$9+1,1))</f>
        <v>309.07357540707869</v>
      </c>
      <c r="T24" s="59">
        <f t="shared" si="34"/>
        <v>155.9593924683299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3.6141025641025637</v>
      </c>
      <c r="AI24" s="13">
        <f>IF('Données projet'!$A$62&gt;35,AI23+AH24-AQ23,IF(A24&lt;'Données projet'!$A$62,$AF$205^A24,IF(A24='Données projet'!$A$62,'Données projet'!$B$62,AI23+AH24-AQ23)))</f>
        <v>26.581850401329536</v>
      </c>
      <c r="AJ24" s="13">
        <f>AI24*VLOOKUP('Données projet'!$B$10,Paramètres!$A$1:$I$89,3,0)*VLOOKUP('Données projet'!$B$10,Paramètres!$A$1:$I$89,5,0)</f>
        <v>25.709965708165928</v>
      </c>
      <c r="AK24" s="13">
        <f t="shared" si="35"/>
        <v>8.1192842867276092</v>
      </c>
      <c r="AL24" s="20">
        <f t="shared" si="4"/>
        <v>58.91927707443957</v>
      </c>
      <c r="AM24" s="59">
        <f t="shared" si="5"/>
        <v>352.25261040777286</v>
      </c>
      <c r="AN24" s="59">
        <f ca="1">AVERAGE(OFFSET($AM$3,0,0,'Données projet'!$E$10+1,1))-AVERAGE(OFFSET($H$3,0,0,'Données projet'!$E$10+1,1))</f>
        <v>340.4659523898373</v>
      </c>
      <c r="AO24" s="59">
        <f t="shared" si="36"/>
        <v>170.54530785680572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6.9983076923076917</v>
      </c>
      <c r="BD24" s="12">
        <f>IF('Données projet'!$A$88&gt;35,BD23+BC24-BL23,IF(A24&lt;'Données projet'!$A$88,$BA$205^A24,IF(A24='Données projet'!$A$88,'Données projet'!$B$88,BD23+BC24-BL23)))</f>
        <v>146.96446153846153</v>
      </c>
      <c r="BE24" s="13">
        <f>BD24*VLOOKUP('Données projet'!$B$11,Paramètres!$A$1:$I$89,3,0)*VLOOKUP('Données projet'!$B$11,Paramètres!$A$1:$I$89,5,0)</f>
        <v>70.689906000000008</v>
      </c>
      <c r="BF24" s="13">
        <f t="shared" si="37"/>
        <v>19.844687630073086</v>
      </c>
      <c r="BG24" s="20">
        <f t="shared" si="7"/>
        <v>157.68108390571064</v>
      </c>
      <c r="BH24" s="59">
        <f t="shared" si="8"/>
        <v>451.01441723904395</v>
      </c>
      <c r="BI24" s="59">
        <f ca="1">AVERAGE(OFFSET($BH$3,0,0,'Données projet'!$E$11+1,1))-AVERAGE(OFFSET($H$3,0,0,'Données projet'!$E$11+1,1))</f>
        <v>162.52375757962767</v>
      </c>
      <c r="BJ24" s="59">
        <f t="shared" si="38"/>
        <v>162.18047435246194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3.6141025641025637</v>
      </c>
      <c r="N25" s="13">
        <f>IF('Données projet'!$A$36&gt;35,N24+M25-V24,IF(A25&lt;'Données projet'!$A$36,$K$205^A25,IF(A25='Données projet'!$A$36,'Données projet'!$B$36,N24+M25-V24)))</f>
        <v>31.075820231445945</v>
      </c>
      <c r="O25" s="13">
        <f>N25*VLOOKUP('Données projet'!$B$9,Paramètres!$A$1:$I$89,3,0)*VLOOKUP('Données projet'!$B$9,Paramètres!$A$1:$I$89,5,0)</f>
        <v>28.117402145412289</v>
      </c>
      <c r="P25" s="13">
        <f t="shared" si="33"/>
        <v>8.7875244189279336</v>
      </c>
      <c r="Q25" s="20">
        <f t="shared" si="2"/>
        <v>64.276080432892542</v>
      </c>
      <c r="R25" s="59">
        <f t="shared" si="0"/>
        <v>357.60941376622588</v>
      </c>
      <c r="S25" s="59">
        <f ca="1">AVERAGE(OFFSET($R$3,0,0,'Données projet'!$E$9+1,1))-AVERAGE(OFFSET($H$3,0,0,'Données projet'!$E$9+1,1))</f>
        <v>309.07357540707869</v>
      </c>
      <c r="T25" s="59">
        <f t="shared" si="34"/>
        <v>155.9593924683299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3.6141025641025637</v>
      </c>
      <c r="AI25" s="13">
        <f>IF('Données projet'!$A$62&gt;35,AI24+AH25-AQ24,IF(A25&lt;'Données projet'!$A$62,$AF$205^A25,IF(A25='Données projet'!$A$62,'Données projet'!$B$62,AI24+AH25-AQ24)))</f>
        <v>31.075820231445945</v>
      </c>
      <c r="AJ25" s="13">
        <f>AI25*VLOOKUP('Données projet'!$B$10,Paramètres!$A$1:$I$89,3,0)*VLOOKUP('Données projet'!$B$10,Paramètres!$A$1:$I$89,5,0)</f>
        <v>30.05653332785452</v>
      </c>
      <c r="AK25" s="13">
        <f t="shared" si="35"/>
        <v>9.3209218473433317</v>
      </c>
      <c r="AL25" s="20">
        <f t="shared" si="4"/>
        <v>68.582401096802926</v>
      </c>
      <c r="AM25" s="59">
        <f t="shared" si="5"/>
        <v>361.91573443013624</v>
      </c>
      <c r="AN25" s="59">
        <f ca="1">AVERAGE(OFFSET($AM$3,0,0,'Données projet'!$E$10+1,1))-AVERAGE(OFFSET($H$3,0,0,'Données projet'!$E$10+1,1))</f>
        <v>340.4659523898373</v>
      </c>
      <c r="AO25" s="59">
        <f t="shared" si="36"/>
        <v>170.54530785680572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6.9983076923076917</v>
      </c>
      <c r="BD25" s="12">
        <f>IF('Données projet'!$A$88&gt;35,BD24+BC25-BL24,IF(A25&lt;'Données projet'!$A$88,$BA$205^A25,IF(A25='Données projet'!$A$88,'Données projet'!$B$88,BD24+BC25-BL24)))</f>
        <v>153.96276923076923</v>
      </c>
      <c r="BE25" s="13">
        <f>BD25*VLOOKUP('Données projet'!$B$11,Paramètres!$A$1:$I$89,3,0)*VLOOKUP('Données projet'!$B$11,Paramètres!$A$1:$I$89,5,0)</f>
        <v>74.056091999999992</v>
      </c>
      <c r="BF25" s="13">
        <f t="shared" si="37"/>
        <v>20.677402378798277</v>
      </c>
      <c r="BG25" s="20">
        <f t="shared" si="7"/>
        <v>164.99416937640697</v>
      </c>
      <c r="BH25" s="59">
        <f t="shared" si="8"/>
        <v>458.32750270974032</v>
      </c>
      <c r="BI25" s="59">
        <f ca="1">AVERAGE(OFFSET($BH$3,0,0,'Données projet'!$E$11+1,1))-AVERAGE(OFFSET($H$3,0,0,'Données projet'!$E$11+1,1))</f>
        <v>162.52375757962767</v>
      </c>
      <c r="BJ25" s="59">
        <f t="shared" si="38"/>
        <v>162.18047435246194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3.6141025641025637</v>
      </c>
      <c r="N26" s="13">
        <f>IF('Données projet'!$A$36&gt;35,N25+M26-V25,IF(A26&lt;'Données projet'!$A$36,$K$205^A26,IF(A26='Données projet'!$A$36,'Données projet'!$B$36,N25+M26-V25)))</f>
        <v>36.329547735655126</v>
      </c>
      <c r="O26" s="13">
        <f>N26*VLOOKUP('Données projet'!$B$9,Paramètres!$A$1:$I$89,3,0)*VLOOKUP('Données projet'!$B$9,Paramètres!$A$1:$I$89,5,0)</f>
        <v>32.87097479122076</v>
      </c>
      <c r="P26" s="13">
        <f t="shared" si="33"/>
        <v>10.088060159975067</v>
      </c>
      <c r="Q26" s="20">
        <f t="shared" si="2"/>
        <v>74.820319206666056</v>
      </c>
      <c r="R26" s="59">
        <f t="shared" si="0"/>
        <v>368.15365253999937</v>
      </c>
      <c r="S26" s="59">
        <f ca="1">AVERAGE(OFFSET($R$3,0,0,'Données projet'!$E$9+1,1))-AVERAGE(OFFSET($H$3,0,0,'Données projet'!$E$9+1,1))</f>
        <v>309.07357540707869</v>
      </c>
      <c r="T26" s="59">
        <f t="shared" si="34"/>
        <v>155.9593924683299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3.6141025641025637</v>
      </c>
      <c r="AI26" s="13">
        <f>IF('Données projet'!$A$62&gt;35,AI25+AH26-AQ25,IF(A26&lt;'Données projet'!$A$62,$AF$205^A26,IF(A26='Données projet'!$A$62,'Données projet'!$B$62,AI25+AH26-AQ25)))</f>
        <v>36.329547735655126</v>
      </c>
      <c r="AJ26" s="13">
        <f>AI26*VLOOKUP('Données projet'!$B$10,Paramètres!$A$1:$I$89,3,0)*VLOOKUP('Données projet'!$B$10,Paramètres!$A$1:$I$89,5,0)</f>
        <v>35.137938569925637</v>
      </c>
      <c r="AK26" s="13">
        <f t="shared" si="35"/>
        <v>10.700399322918406</v>
      </c>
      <c r="AL26" s="20">
        <f t="shared" si="4"/>
        <v>79.835105163370045</v>
      </c>
      <c r="AM26" s="59">
        <f t="shared" si="5"/>
        <v>373.16843849670335</v>
      </c>
      <c r="AN26" s="59">
        <f ca="1">AVERAGE(OFFSET($AM$3,0,0,'Données projet'!$E$10+1,1))-AVERAGE(OFFSET($H$3,0,0,'Données projet'!$E$10+1,1))</f>
        <v>340.4659523898373</v>
      </c>
      <c r="AO26" s="59">
        <f t="shared" si="36"/>
        <v>170.54530785680572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6.9983076923076917</v>
      </c>
      <c r="BD26" s="12">
        <f>IF('Données projet'!$A$88&gt;35,BD25+BC26-BL25,IF(A26&lt;'Données projet'!$A$88,$BA$205^A26,IF(A26='Données projet'!$A$88,'Données projet'!$B$88,BD25+BC26-BL25)))</f>
        <v>160.96107692307692</v>
      </c>
      <c r="BE26" s="13">
        <f>BD26*VLOOKUP('Données projet'!$B$11,Paramètres!$A$1:$I$89,3,0)*VLOOKUP('Données projet'!$B$11,Paramètres!$A$1:$I$89,5,0)</f>
        <v>77.422278000000006</v>
      </c>
      <c r="BF26" s="13">
        <f t="shared" si="37"/>
        <v>21.505721345988707</v>
      </c>
      <c r="BG26" s="20">
        <f t="shared" si="7"/>
        <v>172.29959886093033</v>
      </c>
      <c r="BH26" s="59">
        <f t="shared" si="8"/>
        <v>465.63293219426362</v>
      </c>
      <c r="BI26" s="59">
        <f ca="1">AVERAGE(OFFSET($BH$3,0,0,'Données projet'!$E$11+1,1))-AVERAGE(OFFSET($H$3,0,0,'Données projet'!$E$11+1,1))</f>
        <v>162.52375757962767</v>
      </c>
      <c r="BJ26" s="59">
        <f t="shared" si="38"/>
        <v>162.18047435246194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3.6141025641025637</v>
      </c>
      <c r="N27" s="13">
        <f>IF('Données projet'!$A$36&gt;35,N26+M27-V26,IF(A27&lt;'Données projet'!$A$36,$K$205^A27,IF(A27='Données projet'!$A$36,'Données projet'!$B$36,N26+M27-V26)))</f>
        <v>42.47147875252827</v>
      </c>
      <c r="O27" s="13">
        <f>N27*VLOOKUP('Données projet'!$B$9,Paramètres!$A$1:$I$89,3,0)*VLOOKUP('Données projet'!$B$9,Paramètres!$A$1:$I$89,5,0)</f>
        <v>38.428193975287577</v>
      </c>
      <c r="P27" s="13">
        <f t="shared" si="33"/>
        <v>11.581072545536303</v>
      </c>
      <c r="Q27" s="20">
        <f t="shared" si="2"/>
        <v>87.099472523768256</v>
      </c>
      <c r="R27" s="59">
        <f t="shared" si="0"/>
        <v>380.43280585710158</v>
      </c>
      <c r="S27" s="59">
        <f ca="1">AVERAGE(OFFSET($R$3,0,0,'Données projet'!$E$9+1,1))-AVERAGE(OFFSET($H$3,0,0,'Données projet'!$E$9+1,1))</f>
        <v>309.07357540707869</v>
      </c>
      <c r="T27" s="59">
        <f t="shared" si="34"/>
        <v>155.9593924683299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3.6141025641025637</v>
      </c>
      <c r="AI27" s="13">
        <f>IF('Données projet'!$A$62&gt;35,AI26+AH27-AQ26,IF(A27&lt;'Données projet'!$A$62,$AF$205^A27,IF(A27='Données projet'!$A$62,'Données projet'!$B$62,AI26+AH27-AQ26)))</f>
        <v>42.47147875252827</v>
      </c>
      <c r="AJ27" s="13">
        <f>AI27*VLOOKUP('Données projet'!$B$10,Paramètres!$A$1:$I$89,3,0)*VLOOKUP('Données projet'!$B$10,Paramètres!$A$1:$I$89,5,0)</f>
        <v>41.078414249445345</v>
      </c>
      <c r="AK27" s="13">
        <f t="shared" si="35"/>
        <v>12.284036659158055</v>
      </c>
      <c r="AL27" s="20">
        <f t="shared" si="4"/>
        <v>92.939601999150909</v>
      </c>
      <c r="AM27" s="59">
        <f t="shared" si="5"/>
        <v>386.27293533248422</v>
      </c>
      <c r="AN27" s="59">
        <f ca="1">AVERAGE(OFFSET($AM$3,0,0,'Données projet'!$E$10+1,1))-AVERAGE(OFFSET($H$3,0,0,'Données projet'!$E$10+1,1))</f>
        <v>340.4659523898373</v>
      </c>
      <c r="AO27" s="59">
        <f t="shared" si="36"/>
        <v>170.54530785680572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6.9983076923076917</v>
      </c>
      <c r="BD27" s="12">
        <f>IF('Données projet'!$A$88&gt;35,BD26+BC27-BL26,IF(A27&lt;'Données projet'!$A$88,$BA$205^A27,IF(A27='Données projet'!$A$88,'Données projet'!$B$88,BD26+BC27-BL26)))</f>
        <v>167.95938461538461</v>
      </c>
      <c r="BE27" s="13">
        <f>BD27*VLOOKUP('Données projet'!$B$11,Paramètres!$A$1:$I$89,3,0)*VLOOKUP('Données projet'!$B$11,Paramètres!$A$1:$I$89,5,0)</f>
        <v>80.788464000000005</v>
      </c>
      <c r="BF27" s="13">
        <f t="shared" si="37"/>
        <v>22.329857497026747</v>
      </c>
      <c r="BG27" s="20">
        <f t="shared" si="7"/>
        <v>179.59774327398824</v>
      </c>
      <c r="BH27" s="59">
        <f t="shared" si="8"/>
        <v>472.93107660732153</v>
      </c>
      <c r="BI27" s="59">
        <f ca="1">AVERAGE(OFFSET($BH$3,0,0,'Données projet'!$E$11+1,1))-AVERAGE(OFFSET($H$3,0,0,'Données projet'!$E$11+1,1))</f>
        <v>162.52375757962767</v>
      </c>
      <c r="BJ27" s="59">
        <f t="shared" si="38"/>
        <v>162.18047435246194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3.6141025641025637</v>
      </c>
      <c r="N28" s="13">
        <f>IF('Données projet'!$A$36&gt;35,N27+M28-V27,IF(A28&lt;'Données projet'!$A$36,$K$205^A28,IF(A28='Données projet'!$A$36,'Données projet'!$B$36,N27+M28-V27)))</f>
        <v>49.651774378025635</v>
      </c>
      <c r="O28" s="13">
        <f>N28*VLOOKUP('Données projet'!$B$9,Paramètres!$A$1:$I$89,3,0)*VLOOKUP('Données projet'!$B$9,Paramètres!$A$1:$I$89,5,0)</f>
        <v>44.924925457237592</v>
      </c>
      <c r="P28" s="13">
        <f t="shared" si="33"/>
        <v>13.295047727521297</v>
      </c>
      <c r="Q28" s="20">
        <f t="shared" si="2"/>
        <v>101.39978663012171</v>
      </c>
      <c r="R28" s="59">
        <f t="shared" si="0"/>
        <v>394.73311996345501</v>
      </c>
      <c r="S28" s="59">
        <f ca="1">AVERAGE(OFFSET($R$3,0,0,'Données projet'!$E$9+1,1))-AVERAGE(OFFSET($H$3,0,0,'Données projet'!$E$9+1,1))</f>
        <v>309.07357540707869</v>
      </c>
      <c r="T28" s="59">
        <f t="shared" si="34"/>
        <v>155.9593924683299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3.6141025641025637</v>
      </c>
      <c r="AI28" s="13">
        <f>IF('Données projet'!$A$62&gt;35,AI27+AH28-AQ27,IF(A28&lt;'Données projet'!$A$62,$AF$205^A28,IF(A28='Données projet'!$A$62,'Données projet'!$B$62,AI27+AH28-AQ27)))</f>
        <v>49.651774378025635</v>
      </c>
      <c r="AJ28" s="13">
        <f>AI28*VLOOKUP('Données projet'!$B$10,Paramètres!$A$1:$I$89,3,0)*VLOOKUP('Données projet'!$B$10,Paramètres!$A$1:$I$89,5,0)</f>
        <v>48.023196178426396</v>
      </c>
      <c r="AK28" s="13">
        <f t="shared" si="35"/>
        <v>14.102049100199697</v>
      </c>
      <c r="AL28" s="20">
        <f t="shared" si="4"/>
        <v>108.20146886027378</v>
      </c>
      <c r="AM28" s="59">
        <f t="shared" si="5"/>
        <v>401.53480219360711</v>
      </c>
      <c r="AN28" s="59">
        <f ca="1">AVERAGE(OFFSET($AM$3,0,0,'Données projet'!$E$10+1,1))-AVERAGE(OFFSET($H$3,0,0,'Données projet'!$E$10+1,1))</f>
        <v>340.4659523898373</v>
      </c>
      <c r="AO28" s="59">
        <f t="shared" si="36"/>
        <v>170.54530785680572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6.9983076923076917</v>
      </c>
      <c r="BD28" s="12">
        <f>IF('Données projet'!$A$88&gt;35,BD27+BC28-BL27,IF(A28&lt;'Données projet'!$A$88,$BA$205^A28,IF(A28='Données projet'!$A$88,'Données projet'!$B$88,BD27+BC28-BL27)))</f>
        <v>174.9576923076923</v>
      </c>
      <c r="BE28" s="13">
        <f>BD28*VLOOKUP('Données projet'!$B$11,Paramètres!$A$1:$I$89,3,0)*VLOOKUP('Données projet'!$B$11,Paramètres!$A$1:$I$89,5,0)</f>
        <v>84.15464999999999</v>
      </c>
      <c r="BF28" s="13">
        <f t="shared" si="37"/>
        <v>23.150005046120011</v>
      </c>
      <c r="BG28" s="20">
        <f t="shared" si="7"/>
        <v>186.88894087199233</v>
      </c>
      <c r="BH28" s="59">
        <f t="shared" si="8"/>
        <v>480.22227420532568</v>
      </c>
      <c r="BI28" s="59">
        <f ca="1">AVERAGE(OFFSET($BH$3,0,0,'Données projet'!$E$11+1,1))-AVERAGE(OFFSET($H$3,0,0,'Données projet'!$E$11+1,1))</f>
        <v>162.52375757962767</v>
      </c>
      <c r="BJ28" s="59">
        <f t="shared" si="38"/>
        <v>162.18047435246194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3.6141025641025637</v>
      </c>
      <c r="N29" s="13">
        <f>IF('Données projet'!$A$36&gt;35,N28+M29-V28,IF(A29&lt;'Données projet'!$A$36,$K$205^A29,IF(A29='Données projet'!$A$36,'Données projet'!$B$36,N28+M29-V28)))</f>
        <v>58.045982181385838</v>
      </c>
      <c r="O29" s="13">
        <f>N29*VLOOKUP('Données projet'!$B$9,Paramètres!$A$1:$I$89,3,0)*VLOOKUP('Données projet'!$B$9,Paramètres!$A$1:$I$89,5,0)</f>
        <v>52.520004677717907</v>
      </c>
      <c r="P29" s="13">
        <f t="shared" si="33"/>
        <v>15.262687750384339</v>
      </c>
      <c r="Q29" s="20">
        <f t="shared" si="2"/>
        <v>118.05485597894473</v>
      </c>
      <c r="R29" s="59">
        <f t="shared" si="0"/>
        <v>411.38818931227803</v>
      </c>
      <c r="S29" s="59">
        <f ca="1">AVERAGE(OFFSET($R$3,0,0,'Données projet'!$E$9+1,1))-AVERAGE(OFFSET($H$3,0,0,'Données projet'!$E$9+1,1))</f>
        <v>309.07357540707869</v>
      </c>
      <c r="T29" s="59">
        <f t="shared" si="34"/>
        <v>155.9593924683299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3.6141025641025637</v>
      </c>
      <c r="AI29" s="13">
        <f>IF('Données projet'!$A$62&gt;35,AI28+AH29-AQ28,IF(A29&lt;'Données projet'!$A$62,$AF$205^A29,IF(A29='Données projet'!$A$62,'Données projet'!$B$62,AI28+AH29-AQ28)))</f>
        <v>58.045982181385838</v>
      </c>
      <c r="AJ29" s="13">
        <f>AI29*VLOOKUP('Données projet'!$B$10,Paramètres!$A$1:$I$89,3,0)*VLOOKUP('Données projet'!$B$10,Paramètres!$A$1:$I$89,5,0)</f>
        <v>56.142073965836389</v>
      </c>
      <c r="AK29" s="13">
        <f t="shared" si="35"/>
        <v>16.189123684858295</v>
      </c>
      <c r="AL29" s="20">
        <f t="shared" si="4"/>
        <v>125.97683590829324</v>
      </c>
      <c r="AM29" s="59">
        <f t="shared" si="5"/>
        <v>419.31016924162657</v>
      </c>
      <c r="AN29" s="59">
        <f ca="1">AVERAGE(OFFSET($AM$3,0,0,'Données projet'!$E$10+1,1))-AVERAGE(OFFSET($H$3,0,0,'Données projet'!$E$10+1,1))</f>
        <v>340.4659523898373</v>
      </c>
      <c r="AO29" s="59">
        <f t="shared" si="36"/>
        <v>170.54530785680572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6.9983076923076917</v>
      </c>
      <c r="BD29" s="12">
        <f>IF('Données projet'!$A$88&gt;35,BD28+BC29-BL28,IF(A29&lt;'Données projet'!$A$88,$BA$205^A29,IF(A29='Données projet'!$A$88,'Données projet'!$B$88,BD28+BC29-BL28)))</f>
        <v>181.95599999999999</v>
      </c>
      <c r="BE29" s="13">
        <f>BD29*VLOOKUP('Données projet'!$B$11,Paramètres!$A$1:$I$89,3,0)*VLOOKUP('Données projet'!$B$11,Paramètres!$A$1:$I$89,5,0)</f>
        <v>87.520836000000003</v>
      </c>
      <c r="BF29" s="13">
        <f t="shared" si="37"/>
        <v>23.966341790887885</v>
      </c>
      <c r="BG29" s="20">
        <f t="shared" si="7"/>
        <v>194.17350131912971</v>
      </c>
      <c r="BH29" s="59">
        <f t="shared" si="8"/>
        <v>487.506834652463</v>
      </c>
      <c r="BI29" s="59">
        <f ca="1">AVERAGE(OFFSET($BH$3,0,0,'Données projet'!$E$11+1,1))-AVERAGE(OFFSET($H$3,0,0,'Données projet'!$E$11+1,1))</f>
        <v>162.52375757962767</v>
      </c>
      <c r="BJ29" s="59">
        <f t="shared" si="38"/>
        <v>162.18047435246194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3.6141025641025637</v>
      </c>
      <c r="N30" s="13">
        <f>IF('Données projet'!$A$36&gt;35,N29+M30-V29,IF(A30&lt;'Données projet'!$A$36,$K$205^A30,IF(A30='Données projet'!$A$36,'Données projet'!$B$36,N29+M30-V29)))</f>
        <v>67.859328082601763</v>
      </c>
      <c r="O30" s="13">
        <f>N30*VLOOKUP('Données projet'!$B$9,Paramètres!$A$1:$I$89,3,0)*VLOOKUP('Données projet'!$B$9,Paramètres!$A$1:$I$89,5,0)</f>
        <v>61.39912004913807</v>
      </c>
      <c r="P30" s="13">
        <f t="shared" si="33"/>
        <v>17.521534494646211</v>
      </c>
      <c r="Q30" s="20">
        <f t="shared" si="2"/>
        <v>137.45347333042426</v>
      </c>
      <c r="R30" s="59">
        <f t="shared" si="0"/>
        <v>430.7868066637576</v>
      </c>
      <c r="S30" s="59">
        <f ca="1">AVERAGE(OFFSET($R$3,0,0,'Données projet'!$E$9+1,1))-AVERAGE(OFFSET($H$3,0,0,'Données projet'!$E$9+1,1))</f>
        <v>309.07357540707869</v>
      </c>
      <c r="T30" s="59">
        <f t="shared" si="34"/>
        <v>155.9593924683299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3.6141025641025637</v>
      </c>
      <c r="AI30" s="13">
        <f>IF('Données projet'!$A$62&gt;35,AI29+AH30-AQ29,IF(A30&lt;'Données projet'!$A$62,$AF$205^A30,IF(A30='Données projet'!$A$62,'Données projet'!$B$62,AI29+AH30-AQ29)))</f>
        <v>67.859328082601763</v>
      </c>
      <c r="AJ30" s="13">
        <f>AI30*VLOOKUP('Données projet'!$B$10,Paramètres!$A$1:$I$89,3,0)*VLOOKUP('Données projet'!$B$10,Paramètres!$A$1:$I$89,5,0)</f>
        <v>65.633542121492425</v>
      </c>
      <c r="AK30" s="13">
        <f t="shared" si="35"/>
        <v>18.585081063143392</v>
      </c>
      <c r="AL30" s="20">
        <f t="shared" si="4"/>
        <v>146.68076871324072</v>
      </c>
      <c r="AM30" s="59">
        <f t="shared" si="5"/>
        <v>440.01410204657407</v>
      </c>
      <c r="AN30" s="59">
        <f ca="1">AVERAGE(OFFSET($AM$3,0,0,'Données projet'!$E$10+1,1))-AVERAGE(OFFSET($H$3,0,0,'Données projet'!$E$10+1,1))</f>
        <v>340.4659523898373</v>
      </c>
      <c r="AO30" s="59">
        <f t="shared" si="36"/>
        <v>170.54530785680572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6.9983076923076917</v>
      </c>
      <c r="BD30" s="12">
        <f>IF('Données projet'!$A$88&gt;35,BD29+BC30-BL29,IF(A30&lt;'Données projet'!$A$88,$BA$205^A30,IF(A30='Données projet'!$A$88,'Données projet'!$B$88,BD29+BC30-BL29)))</f>
        <v>188.95430769230768</v>
      </c>
      <c r="BE30" s="13">
        <f>BD30*VLOOKUP('Données projet'!$B$11,Paramètres!$A$1:$I$89,3,0)*VLOOKUP('Données projet'!$B$11,Paramètres!$A$1:$I$89,5,0)</f>
        <v>90.887022000000002</v>
      </c>
      <c r="BF30" s="13">
        <f t="shared" si="37"/>
        <v>24.779031077678813</v>
      </c>
      <c r="BG30" s="20">
        <f t="shared" si="7"/>
        <v>201.45170911029058</v>
      </c>
      <c r="BH30" s="59">
        <f t="shared" si="8"/>
        <v>494.78504244362387</v>
      </c>
      <c r="BI30" s="59">
        <f ca="1">AVERAGE(OFFSET($BH$3,0,0,'Données projet'!$E$11+1,1))-AVERAGE(OFFSET($H$3,0,0,'Données projet'!$E$11+1,1))</f>
        <v>162.52375757962767</v>
      </c>
      <c r="BJ30" s="59">
        <f t="shared" si="38"/>
        <v>162.18047435246194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3.6141025641025637</v>
      </c>
      <c r="N31" s="13">
        <f>IF('Données projet'!$A$36&gt;35,N30+M31-V30,IF(A31&lt;'Données projet'!$A$36,$K$205^A31,IF(A31='Données projet'!$A$36,'Données projet'!$B$36,N30+M31-V30)))</f>
        <v>79.331733821516394</v>
      </c>
      <c r="O31" s="13">
        <f>N31*VLOOKUP('Données projet'!$B$9,Paramètres!$A$1:$I$89,3,0)*VLOOKUP('Données projet'!$B$9,Paramètres!$A$1:$I$89,5,0)</f>
        <v>71.779352761708026</v>
      </c>
      <c r="P31" s="13">
        <f t="shared" si="33"/>
        <v>20.114685962788318</v>
      </c>
      <c r="Q31" s="20">
        <f t="shared" si="2"/>
        <v>160.04878411183111</v>
      </c>
      <c r="R31" s="59">
        <f t="shared" si="0"/>
        <v>453.38211744516445</v>
      </c>
      <c r="S31" s="59">
        <f ca="1">AVERAGE(OFFSET($R$3,0,0,'Données projet'!$E$9+1,1))-AVERAGE(OFFSET($H$3,0,0,'Données projet'!$E$9+1,1))</f>
        <v>309.07357540707869</v>
      </c>
      <c r="T31" s="59">
        <f t="shared" si="34"/>
        <v>155.9593924683299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3.6141025641025637</v>
      </c>
      <c r="AI31" s="13">
        <f>IF('Données projet'!$A$62&gt;35,AI30+AH31-AQ30,IF(A31&lt;'Données projet'!$A$62,$AF$205^A31,IF(A31='Données projet'!$A$62,'Données projet'!$B$62,AI30+AH31-AQ30)))</f>
        <v>79.331733821516394</v>
      </c>
      <c r="AJ31" s="13">
        <f>AI31*VLOOKUP('Données projet'!$B$10,Paramètres!$A$1:$I$89,3,0)*VLOOKUP('Données projet'!$B$10,Paramètres!$A$1:$I$89,5,0)</f>
        <v>76.729652952170653</v>
      </c>
      <c r="AK31" s="13">
        <f t="shared" si="35"/>
        <v>21.335635260274714</v>
      </c>
      <c r="AL31" s="20">
        <f t="shared" si="4"/>
        <v>170.79704363667568</v>
      </c>
      <c r="AM31" s="59">
        <f t="shared" si="5"/>
        <v>464.13037697000902</v>
      </c>
      <c r="AN31" s="59">
        <f ca="1">AVERAGE(OFFSET($AM$3,0,0,'Données projet'!$E$10+1,1))-AVERAGE(OFFSET($H$3,0,0,'Données projet'!$E$10+1,1))</f>
        <v>340.4659523898373</v>
      </c>
      <c r="AO31" s="59">
        <f t="shared" si="36"/>
        <v>170.54530785680572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6.9983076923076917</v>
      </c>
      <c r="BD31" s="12">
        <f>IF('Données projet'!$A$88&gt;35,BD30+BC31-BL30,IF(A31&lt;'Données projet'!$A$88,$BA$205^A31,IF(A31='Données projet'!$A$88,'Données projet'!$B$88,BD30+BC31-BL30)))</f>
        <v>195.95261538461537</v>
      </c>
      <c r="BE31" s="13">
        <f>BD31*VLOOKUP('Données projet'!$B$11,Paramètres!$A$1:$I$89,3,0)*VLOOKUP('Données projet'!$B$11,Paramètres!$A$1:$I$89,5,0)</f>
        <v>94.253208000000001</v>
      </c>
      <c r="BF31" s="13">
        <f t="shared" si="37"/>
        <v>25.588223467544204</v>
      </c>
      <c r="BG31" s="20">
        <f t="shared" si="7"/>
        <v>208.72382647263944</v>
      </c>
      <c r="BH31" s="59">
        <f t="shared" si="8"/>
        <v>502.05715980597279</v>
      </c>
      <c r="BI31" s="59">
        <f ca="1">AVERAGE(OFFSET($BH$3,0,0,'Données projet'!$E$11+1,1))-AVERAGE(OFFSET($H$3,0,0,'Données projet'!$E$11+1,1))</f>
        <v>162.52375757962767</v>
      </c>
      <c r="BJ31" s="59">
        <f t="shared" si="38"/>
        <v>162.18047435246194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3.6141025641025637</v>
      </c>
      <c r="N32" s="13">
        <f>IF('Données projet'!$A$36&gt;35,N31+M32-V31,IF(A32&lt;'Données projet'!$A$36,$K$205^A32,IF(A32='Données projet'!$A$36,'Données projet'!$B$36,N31+M32-V31)))</f>
        <v>92.74368268820956</v>
      </c>
      <c r="O32" s="13">
        <f>N32*VLOOKUP('Données projet'!$B$9,Paramètres!$A$1:$I$89,3,0)*VLOOKUP('Données projet'!$B$9,Paramètres!$A$1:$I$89,5,0)</f>
        <v>83.914484096292014</v>
      </c>
      <c r="P32" s="13">
        <f t="shared" si="33"/>
        <v>23.091618574002229</v>
      </c>
      <c r="Q32" s="20">
        <f t="shared" si="2"/>
        <v>186.36896215076243</v>
      </c>
      <c r="R32" s="59">
        <f t="shared" si="0"/>
        <v>479.70229548409577</v>
      </c>
      <c r="S32" s="59">
        <f ca="1">AVERAGE(OFFSET($R$3,0,0,'Données projet'!$E$9+1,1))-AVERAGE(OFFSET($H$3,0,0,'Données projet'!$E$9+1,1))</f>
        <v>309.07357540707869</v>
      </c>
      <c r="T32" s="59">
        <f t="shared" si="34"/>
        <v>155.9593924683299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3.6141025641025637</v>
      </c>
      <c r="AI32" s="13">
        <f>IF('Données projet'!$A$62&gt;35,AI31+AH32-AQ31,IF(A32&lt;'Données projet'!$A$62,$AF$205^A32,IF(A32='Données projet'!$A$62,'Données projet'!$B$62,AI31+AH32-AQ31)))</f>
        <v>92.74368268820956</v>
      </c>
      <c r="AJ32" s="13">
        <f>AI32*VLOOKUP('Données projet'!$B$10,Paramètres!$A$1:$I$89,3,0)*VLOOKUP('Données projet'!$B$10,Paramètres!$A$1:$I$89,5,0)</f>
        <v>89.701689896036285</v>
      </c>
      <c r="AK32" s="13">
        <f t="shared" si="35"/>
        <v>24.493265884226673</v>
      </c>
      <c r="AL32" s="20">
        <f t="shared" si="4"/>
        <v>198.88954798395798</v>
      </c>
      <c r="AM32" s="59">
        <f t="shared" si="5"/>
        <v>492.2228813172913</v>
      </c>
      <c r="AN32" s="59">
        <f ca="1">AVERAGE(OFFSET($AM$3,0,0,'Données projet'!$E$10+1,1))-AVERAGE(OFFSET($H$3,0,0,'Données projet'!$E$10+1,1))</f>
        <v>340.4659523898373</v>
      </c>
      <c r="AO32" s="59">
        <f t="shared" si="36"/>
        <v>170.54530785680572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6.9983076923076917</v>
      </c>
      <c r="BD32" s="12">
        <f>IF('Données projet'!$A$88&gt;35,BD31+BC32-BL31,IF(A32&lt;'Données projet'!$A$88,$BA$205^A32,IF(A32='Données projet'!$A$88,'Données projet'!$B$88,BD31+BC32-BL31)))</f>
        <v>202.95092307692306</v>
      </c>
      <c r="BE32" s="13">
        <f>BD32*VLOOKUP('Données projet'!$B$11,Paramètres!$A$1:$I$89,3,0)*VLOOKUP('Données projet'!$B$11,Paramètres!$A$1:$I$89,5,0)</f>
        <v>97.619394</v>
      </c>
      <c r="BF32" s="13">
        <f t="shared" si="37"/>
        <v>26.394058157528367</v>
      </c>
      <c r="BG32" s="20">
        <f t="shared" si="7"/>
        <v>215.99009584102853</v>
      </c>
      <c r="BH32" s="59">
        <f t="shared" si="8"/>
        <v>509.32342917436188</v>
      </c>
      <c r="BI32" s="59">
        <f ca="1">AVERAGE(OFFSET($BH$3,0,0,'Données projet'!$E$11+1,1))-AVERAGE(OFFSET($H$3,0,0,'Données projet'!$E$11+1,1))</f>
        <v>162.52375757962767</v>
      </c>
      <c r="BJ32" s="59">
        <f t="shared" si="38"/>
        <v>162.18047435246194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108.42307692307691</v>
      </c>
      <c r="L33" s="12">
        <f>VLOOKUP(A33,'Données projet'!$A$35:$I$55,9,0)</f>
        <v>3.6141025641025637</v>
      </c>
      <c r="M33" s="12">
        <f t="array" ref="M33">INDEX(L:L,MIN(IF(ISNUMBER(L33:L229),ROW(L33:L229),"")))</f>
        <v>3.6141025641025637</v>
      </c>
      <c r="N33" s="13">
        <f>IF('Données projet'!$A$36&gt;35,N32+M33-V32,IF(A33&lt;'Données projet'!$A$36,$K$205^A33,IF(A33='Données projet'!$A$36,'Données projet'!$B$36,N32+M33-V32)))</f>
        <v>108.42307692307691</v>
      </c>
      <c r="O33" s="13">
        <f>N33*VLOOKUP('Données projet'!$B$9,Paramètres!$A$1:$I$89,3,0)*VLOOKUP('Données projet'!$B$9,Paramètres!$A$1:$I$89,5,0)</f>
        <v>98.101199999999977</v>
      </c>
      <c r="P33" s="13">
        <f t="shared" si="33"/>
        <v>26.509131156889861</v>
      </c>
      <c r="Q33" s="20">
        <f t="shared" si="2"/>
        <v>217.02966009824979</v>
      </c>
      <c r="R33" s="59">
        <f t="shared" si="0"/>
        <v>510.36299343158311</v>
      </c>
      <c r="S33" s="59">
        <f ca="1">AVERAGE(OFFSET($R$3,0,0,'Données projet'!$E$9+1,1))-AVERAGE(OFFSET($H$3,0,0,'Données projet'!$E$9+1,1))</f>
        <v>309.07357540707869</v>
      </c>
      <c r="T33" s="59">
        <f t="shared" si="34"/>
        <v>155.9593924683299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108.42307692307691</v>
      </c>
      <c r="AG33" s="12">
        <f>VLOOKUP(A33,'Données projet'!$A$61:$I$81,9,0)</f>
        <v>3.6141025641025637</v>
      </c>
      <c r="AH33" s="12">
        <f t="array" ref="AH33">INDEX(AG:AG,MIN(IF(ISNUMBER(AG33:AG229),ROW(AG33:AG229),"")))</f>
        <v>3.6141025641025637</v>
      </c>
      <c r="AI33" s="13">
        <f>IF('Données projet'!$A$62&gt;35,AI32+AH33-AQ32,IF(A33&lt;'Données projet'!$A$62,$AF$205^A33,IF(A33='Données projet'!$A$62,'Données projet'!$B$62,AI32+AH33-AQ32)))</f>
        <v>108.42307692307691</v>
      </c>
      <c r="AJ33" s="13">
        <f>AI33*VLOOKUP('Données projet'!$B$10,Paramètres!$A$1:$I$89,3,0)*VLOOKUP('Données projet'!$B$10,Paramètres!$A$1:$I$89,5,0)</f>
        <v>104.86679999999998</v>
      </c>
      <c r="AK33" s="13">
        <f t="shared" si="35"/>
        <v>28.118219418215713</v>
      </c>
      <c r="AL33" s="20">
        <f t="shared" si="4"/>
        <v>231.61557548672567</v>
      </c>
      <c r="AM33" s="59">
        <f t="shared" si="5"/>
        <v>524.94890882005893</v>
      </c>
      <c r="AN33" s="59">
        <f ca="1">AVERAGE(OFFSET($AM$3,0,0,'Données projet'!$E$10+1,1))-AVERAGE(OFFSET($H$3,0,0,'Données projet'!$E$10+1,1))</f>
        <v>340.4659523898373</v>
      </c>
      <c r="AO33" s="59">
        <f t="shared" si="36"/>
        <v>170.54530785680572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6.9983076923076917</v>
      </c>
      <c r="BD33" s="12">
        <f>IF('Données projet'!$A$88&gt;35,BD32+BC33-BL32,IF(A33&lt;'Données projet'!$A$88,$BA$205^A33,IF(A33='Données projet'!$A$88,'Données projet'!$B$88,BD32+BC33-BL32)))</f>
        <v>209.94923076923075</v>
      </c>
      <c r="BE33" s="13">
        <f>BD33*VLOOKUP('Données projet'!$B$11,Paramètres!$A$1:$I$89,3,0)*VLOOKUP('Données projet'!$B$11,Paramètres!$A$1:$I$89,5,0)</f>
        <v>100.98557999999998</v>
      </c>
      <c r="BF33" s="13">
        <f t="shared" si="37"/>
        <v>27.19666420041062</v>
      </c>
      <c r="BG33" s="20">
        <f t="shared" si="7"/>
        <v>223.25074198238178</v>
      </c>
      <c r="BH33" s="59">
        <f t="shared" si="8"/>
        <v>516.58407531571515</v>
      </c>
      <c r="BI33" s="59">
        <f ca="1">AVERAGE(OFFSET($BH$3,0,0,'Données projet'!$E$11+1,1))-AVERAGE(OFFSET($H$3,0,0,'Données projet'!$E$11+1,1))</f>
        <v>162.52375757962767</v>
      </c>
      <c r="BJ33" s="59">
        <f t="shared" si="38"/>
        <v>162.18047435246194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8.3413461538461533</v>
      </c>
      <c r="N34" s="13">
        <f>IF('Données projet'!$A$36&gt;35,N33+M34-V33,IF(A34&lt;'Données projet'!$A$36,$K$205^A34,IF(A34='Données projet'!$A$36,'Données projet'!$B$36,N33+M34-V33)))</f>
        <v>116.76442307692307</v>
      </c>
      <c r="O34" s="13">
        <f>N34*VLOOKUP('Données projet'!$B$9,Paramètres!$A$1:$I$89,3,0)*VLOOKUP('Données projet'!$B$9,Paramètres!$A$1:$I$89,5,0)</f>
        <v>105.64845</v>
      </c>
      <c r="P34" s="13">
        <f t="shared" si="33"/>
        <v>28.30332943441833</v>
      </c>
      <c r="Q34" s="20">
        <f t="shared" si="2"/>
        <v>233.29934918161189</v>
      </c>
      <c r="R34" s="59">
        <f t="shared" si="0"/>
        <v>526.63268251494515</v>
      </c>
      <c r="S34" s="59">
        <f ca="1">AVERAGE(OFFSET($R$3,0,0,'Données projet'!$E$9+1,1))-AVERAGE(OFFSET($H$3,0,0,'Données projet'!$E$9+1,1))</f>
        <v>309.07357540707869</v>
      </c>
      <c r="T34" s="59">
        <f t="shared" si="34"/>
        <v>155.9593924683299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8.3413461538461533</v>
      </c>
      <c r="AI34" s="13">
        <f>IF('Données projet'!$A$62&gt;35,AI33+AH34-AQ33,IF(A34&lt;'Données projet'!$A$62,$AF$205^A34,IF(A34='Données projet'!$A$62,'Données projet'!$B$62,AI33+AH34-AQ33)))</f>
        <v>116.76442307692307</v>
      </c>
      <c r="AJ34" s="13">
        <f>AI34*VLOOKUP('Données projet'!$B$10,Paramètres!$A$1:$I$89,3,0)*VLOOKUP('Données projet'!$B$10,Paramètres!$A$1:$I$89,5,0)</f>
        <v>112.93454999999999</v>
      </c>
      <c r="AK34" s="13">
        <f t="shared" si="35"/>
        <v>30.021324448280776</v>
      </c>
      <c r="AL34" s="20">
        <f t="shared" si="4"/>
        <v>248.98148133075566</v>
      </c>
      <c r="AM34" s="59">
        <f t="shared" si="5"/>
        <v>542.314814664089</v>
      </c>
      <c r="AN34" s="59">
        <f ca="1">AVERAGE(OFFSET($AM$3,0,0,'Données projet'!$E$10+1,1))-AVERAGE(OFFSET($H$3,0,0,'Données projet'!$E$10+1,1))</f>
        <v>340.4659523898373</v>
      </c>
      <c r="AO34" s="59">
        <f t="shared" si="36"/>
        <v>170.54530785680572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6.9983076923076917</v>
      </c>
      <c r="BD34" s="12">
        <f>IF('Données projet'!$A$88&gt;35,BD33+BC34-BL33,IF(A34&lt;'Données projet'!$A$88,$BA$205^A34,IF(A34='Données projet'!$A$88,'Données projet'!$B$88,BD33+BC34-BL33)))</f>
        <v>216.94753846153844</v>
      </c>
      <c r="BE34" s="13">
        <f>BD34*VLOOKUP('Données projet'!$B$11,Paramètres!$A$1:$I$89,3,0)*VLOOKUP('Données projet'!$B$11,Paramètres!$A$1:$I$89,5,0)</f>
        <v>104.35176599999998</v>
      </c>
      <c r="BF34" s="13">
        <f t="shared" si="37"/>
        <v>27.996161557246662</v>
      </c>
      <c r="BG34" s="20">
        <f t="shared" si="7"/>
        <v>230.50597382887122</v>
      </c>
      <c r="BH34" s="59">
        <f t="shared" si="8"/>
        <v>523.83930716220448</v>
      </c>
      <c r="BI34" s="59">
        <f ca="1">AVERAGE(OFFSET($BH$3,0,0,'Données projet'!$E$11+1,1))-AVERAGE(OFFSET($H$3,0,0,'Données projet'!$E$11+1,1))</f>
        <v>162.52375757962767</v>
      </c>
      <c r="BJ34" s="59">
        <f t="shared" si="38"/>
        <v>162.18047435246194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8.3413461538461533</v>
      </c>
      <c r="N35" s="13">
        <f>IF('Données projet'!$A$36&gt;35,N34+M35-V34,IF(A35&lt;'Données projet'!$A$36,$K$205^A35,IF(A35='Données projet'!$A$36,'Données projet'!$B$36,N34+M35-V34)))</f>
        <v>125.10576923076923</v>
      </c>
      <c r="O35" s="13">
        <f>N35*VLOOKUP('Données projet'!$B$9,Paramètres!$A$1:$I$89,3,0)*VLOOKUP('Données projet'!$B$9,Paramètres!$A$1:$I$89,5,0)</f>
        <v>113.19569999999999</v>
      </c>
      <c r="P35" s="13">
        <f t="shared" si="33"/>
        <v>30.08265690456005</v>
      </c>
      <c r="Q35" s="20">
        <f t="shared" ref="Q35:Q66" si="53">(O35+P35)*0.475*44/12</f>
        <v>249.54313827544206</v>
      </c>
      <c r="R35" s="59">
        <f t="shared" si="0"/>
        <v>542.87647160877532</v>
      </c>
      <c r="S35" s="59">
        <f ca="1">AVERAGE(OFFSET($R$3,0,0,'Données projet'!$E$9+1,1))-AVERAGE(OFFSET($H$3,0,0,'Données projet'!$E$9+1,1))</f>
        <v>309.07357540707869</v>
      </c>
      <c r="T35" s="59">
        <f t="shared" si="34"/>
        <v>155.9593924683299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8.3413461538461533</v>
      </c>
      <c r="AI35" s="13">
        <f>IF('Données projet'!$A$62&gt;35,AI34+AH35-AQ34,IF(A35&lt;'Données projet'!$A$62,$AF$205^A35,IF(A35='Données projet'!$A$62,'Données projet'!$B$62,AI34+AH35-AQ34)))</f>
        <v>125.10576923076923</v>
      </c>
      <c r="AJ35" s="13">
        <f>AI35*VLOOKUP('Données projet'!$B$10,Paramètres!$A$1:$I$89,3,0)*VLOOKUP('Données projet'!$B$10,Paramètres!$A$1:$I$89,5,0)</f>
        <v>121.00229999999999</v>
      </c>
      <c r="AK35" s="13">
        <f t="shared" si="35"/>
        <v>31.908656021926088</v>
      </c>
      <c r="AL35" s="20">
        <f t="shared" si="4"/>
        <v>266.31991507152122</v>
      </c>
      <c r="AM35" s="59">
        <f t="shared" si="5"/>
        <v>559.65324840485459</v>
      </c>
      <c r="AN35" s="59">
        <f ca="1">AVERAGE(OFFSET($AM$3,0,0,'Données projet'!$E$10+1,1))-AVERAGE(OFFSET($H$3,0,0,'Données projet'!$E$10+1,1))</f>
        <v>340.4659523898373</v>
      </c>
      <c r="AO35" s="59">
        <f t="shared" si="36"/>
        <v>170.54530785680572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6.9983076923076917</v>
      </c>
      <c r="BD35" s="12">
        <f>IF('Données projet'!$A$88&gt;35,BD34+BC35-BL34,IF(A35&lt;'Données projet'!$A$88,$BA$205^A35,IF(A35='Données projet'!$A$88,'Données projet'!$B$88,BD34+BC35-BL34)))</f>
        <v>223.94584615384613</v>
      </c>
      <c r="BE35" s="13">
        <f>BD35*VLOOKUP('Données projet'!$B$11,Paramètres!$A$1:$I$89,3,0)*VLOOKUP('Données projet'!$B$11,Paramètres!$A$1:$I$89,5,0)</f>
        <v>107.71795199999998</v>
      </c>
      <c r="BF35" s="13">
        <f t="shared" si="37"/>
        <v>28.792662010282985</v>
      </c>
      <c r="BG35" s="20">
        <f t="shared" si="7"/>
        <v>237.7559860679095</v>
      </c>
      <c r="BH35" s="59">
        <f t="shared" si="8"/>
        <v>531.08931940124285</v>
      </c>
      <c r="BI35" s="59">
        <f ca="1">AVERAGE(OFFSET($BH$3,0,0,'Données projet'!$E$11+1,1))-AVERAGE(OFFSET($H$3,0,0,'Données projet'!$E$11+1,1))</f>
        <v>162.52375757962767</v>
      </c>
      <c r="BJ35" s="59">
        <f t="shared" si="38"/>
        <v>162.18047435246194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8.3413461538461533</v>
      </c>
      <c r="N36" s="13">
        <f>IF('Données projet'!$A$36&gt;35,N35+M36-V35,IF(A36&lt;'Données projet'!$A$36,$K$205^A36,IF(A36='Données projet'!$A$36,'Données projet'!$B$36,N35+M36-V35)))</f>
        <v>133.44711538461539</v>
      </c>
      <c r="O36" s="13">
        <f>N36*VLOOKUP('Données projet'!$B$9,Paramètres!$A$1:$I$89,3,0)*VLOOKUP('Données projet'!$B$9,Paramètres!$A$1:$I$89,5,0)</f>
        <v>120.74294999999999</v>
      </c>
      <c r="P36" s="13">
        <f t="shared" si="33"/>
        <v>31.84821788595394</v>
      </c>
      <c r="Q36" s="20">
        <f t="shared" si="53"/>
        <v>265.76295073470305</v>
      </c>
      <c r="R36" s="59">
        <f t="shared" si="0"/>
        <v>559.09628406803631</v>
      </c>
      <c r="S36" s="59">
        <f ca="1">AVERAGE(OFFSET($R$3,0,0,'Données projet'!$E$9+1,1))-AVERAGE(OFFSET($H$3,0,0,'Données projet'!$E$9+1,1))</f>
        <v>309.07357540707869</v>
      </c>
      <c r="T36" s="59">
        <f t="shared" si="34"/>
        <v>155.9593924683299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8.3413461538461533</v>
      </c>
      <c r="AI36" s="13">
        <f>IF('Données projet'!$A$62&gt;35,AI35+AH36-AQ35,IF(A36&lt;'Données projet'!$A$62,$AF$205^A36,IF(A36='Données projet'!$A$62,'Données projet'!$B$62,AI35+AH36-AQ35)))</f>
        <v>133.44711538461539</v>
      </c>
      <c r="AJ36" s="13">
        <f>AI36*VLOOKUP('Données projet'!$B$10,Paramètres!$A$1:$I$89,3,0)*VLOOKUP('Données projet'!$B$10,Paramètres!$A$1:$I$89,5,0)</f>
        <v>129.07005000000001</v>
      </c>
      <c r="AK36" s="13">
        <f t="shared" si="35"/>
        <v>33.781385489265531</v>
      </c>
      <c r="AL36" s="20">
        <f t="shared" si="4"/>
        <v>283.63291681047082</v>
      </c>
      <c r="AM36" s="59">
        <f t="shared" si="5"/>
        <v>576.96625014380413</v>
      </c>
      <c r="AN36" s="59">
        <f ca="1">AVERAGE(OFFSET($AM$3,0,0,'Données projet'!$E$10+1,1))-AVERAGE(OFFSET($H$3,0,0,'Données projet'!$E$10+1,1))</f>
        <v>340.4659523898373</v>
      </c>
      <c r="AO36" s="59">
        <f t="shared" si="36"/>
        <v>170.54530785680572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6.9983076923076917</v>
      </c>
      <c r="BD36" s="12">
        <f>IF('Données projet'!$A$88&gt;35,BD35+BC36-BL35,IF(A36&lt;'Données projet'!$A$88,$BA$205^A36,IF(A36='Données projet'!$A$88,'Données projet'!$B$88,BD35+BC36-BL35)))</f>
        <v>230.94415384615382</v>
      </c>
      <c r="BE36" s="13">
        <f>BD36*VLOOKUP('Données projet'!$B$11,Paramètres!$A$1:$I$89,3,0)*VLOOKUP('Données projet'!$B$11,Paramètres!$A$1:$I$89,5,0)</f>
        <v>111.084138</v>
      </c>
      <c r="BF36" s="13">
        <f t="shared" si="37"/>
        <v>29.58626995855137</v>
      </c>
      <c r="BG36" s="20">
        <f t="shared" si="7"/>
        <v>245.00096052781029</v>
      </c>
      <c r="BH36" s="59">
        <f t="shared" si="8"/>
        <v>538.33429386114358</v>
      </c>
      <c r="BI36" s="59">
        <f ca="1">AVERAGE(OFFSET($BH$3,0,0,'Données projet'!$E$11+1,1))-AVERAGE(OFFSET($H$3,0,0,'Données projet'!$E$11+1,1))</f>
        <v>162.52375757962767</v>
      </c>
      <c r="BJ36" s="59">
        <f t="shared" si="38"/>
        <v>162.18047435246194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141.78846153846152</v>
      </c>
      <c r="L37" s="12">
        <f>VLOOKUP(A37,'Données projet'!$A$35:$I$55,9,0)</f>
        <v>8.3413461538461533</v>
      </c>
      <c r="M37" s="12">
        <f t="array" ref="M37">INDEX(L:L,MIN(IF(ISNUMBER(L37:L233),ROW(L37:L233),"")))</f>
        <v>8.3413461538461533</v>
      </c>
      <c r="N37" s="13">
        <f>IF('Données projet'!$A$36&gt;35,N36+M37-V36,IF(A37&lt;'Données projet'!$A$36,$K$205^A37,IF(A37='Données projet'!$A$36,'Données projet'!$B$36,N36+M37-V36)))</f>
        <v>141.78846153846155</v>
      </c>
      <c r="O37" s="13">
        <f>N37*VLOOKUP('Données projet'!$B$9,Paramètres!$A$1:$I$89,3,0)*VLOOKUP('Données projet'!$B$9,Paramètres!$A$1:$I$89,5,0)</f>
        <v>128.2902</v>
      </c>
      <c r="P37" s="13">
        <f t="shared" si="33"/>
        <v>33.600970839600329</v>
      </c>
      <c r="Q37" s="20">
        <f t="shared" si="53"/>
        <v>281.96045587897055</v>
      </c>
      <c r="R37" s="59">
        <f t="shared" si="0"/>
        <v>575.29378921230386</v>
      </c>
      <c r="S37" s="59">
        <f ca="1">AVERAGE(OFFSET($R$3,0,0,'Données projet'!$E$9+1,1))-AVERAGE(OFFSET($H$3,0,0,'Données projet'!$E$9+1,1))</f>
        <v>309.07357540707869</v>
      </c>
      <c r="T37" s="59">
        <f t="shared" si="34"/>
        <v>155.9593924683299</v>
      </c>
      <c r="U37" s="15">
        <f>IF(ISNA(VLOOKUP(A37,'Données projet'!$A$35:$I$55,3,0)),0,VLOOKUP(A37,'Données projet'!$A$35:$I$55,3,0))</f>
        <v>1</v>
      </c>
      <c r="V37" s="15">
        <f>IF(ISNA(VLOOKUP(A37,'Données projet'!$A$35:$I$55,4,0)),0,VLOOKUP(A37,'Données projet'!$A$35:$I$55,4,0))</f>
        <v>31.615384615384613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141.78846153846152</v>
      </c>
      <c r="AG37" s="12">
        <f>VLOOKUP(A37,'Données projet'!$A$61:$I$81,9,0)</f>
        <v>8.3413461538461533</v>
      </c>
      <c r="AH37" s="12">
        <f t="array" ref="AH37">INDEX(AG:AG,MIN(IF(ISNUMBER(AG37:AG233),ROW(AG37:AG233),"")))</f>
        <v>8.3413461538461533</v>
      </c>
      <c r="AI37" s="13">
        <f>IF('Données projet'!$A$62&gt;35,AI36+AH37-AQ36,IF(A37&lt;'Données projet'!$A$62,$AF$205^A37,IF(A37='Données projet'!$A$62,'Données projet'!$B$62,AI36+AH37-AQ36)))</f>
        <v>141.78846153846155</v>
      </c>
      <c r="AJ37" s="13">
        <f>AI37*VLOOKUP('Données projet'!$B$10,Paramètres!$A$1:$I$89,3,0)*VLOOKUP('Données projet'!$B$10,Paramètres!$A$1:$I$89,5,0)</f>
        <v>137.1378</v>
      </c>
      <c r="AK37" s="13">
        <f t="shared" si="35"/>
        <v>35.640529489303631</v>
      </c>
      <c r="AL37" s="20">
        <f t="shared" si="4"/>
        <v>300.92225719387051</v>
      </c>
      <c r="AM37" s="59">
        <f t="shared" si="5"/>
        <v>594.25559052720382</v>
      </c>
      <c r="AN37" s="59">
        <f ca="1">AVERAGE(OFFSET($AM$3,0,0,'Données projet'!$E$10+1,1))-AVERAGE(OFFSET($H$3,0,0,'Données projet'!$E$10+1,1))</f>
        <v>340.4659523898373</v>
      </c>
      <c r="AO37" s="59">
        <f t="shared" si="36"/>
        <v>170.54530785680572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31.615384615384613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6.9983076923076917</v>
      </c>
      <c r="BD37" s="12">
        <f>IF('Données projet'!$A$88&gt;35,BD36+BC37-BL36,IF(A37&lt;'Données projet'!$A$88,$BA$205^A37,IF(A37='Données projet'!$A$88,'Données projet'!$B$88,BD36+BC37-BL36)))</f>
        <v>237.94246153846152</v>
      </c>
      <c r="BE37" s="13">
        <f>BD37*VLOOKUP('Données projet'!$B$11,Paramètres!$A$1:$I$89,3,0)*VLOOKUP('Données projet'!$B$11,Paramètres!$A$1:$I$89,5,0)</f>
        <v>114.45032399999999</v>
      </c>
      <c r="BF37" s="13">
        <f t="shared" si="37"/>
        <v>30.377083114318072</v>
      </c>
      <c r="BG37" s="20">
        <f t="shared" si="7"/>
        <v>252.24106739077067</v>
      </c>
      <c r="BH37" s="59">
        <f t="shared" si="8"/>
        <v>545.57440072410395</v>
      </c>
      <c r="BI37" s="59">
        <f ca="1">AVERAGE(OFFSET($BH$3,0,0,'Données projet'!$E$11+1,1))-AVERAGE(OFFSET($H$3,0,0,'Données projet'!$E$11+1,1))</f>
        <v>162.52375757962767</v>
      </c>
      <c r="BJ37" s="59">
        <f t="shared" si="38"/>
        <v>162.18047435246194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9.8108974358974379</v>
      </c>
      <c r="N38" s="13">
        <f>IF('Données projet'!$A$36&gt;35,N37+M38-V37,IF(A38&lt;'Données projet'!$A$36,$K$205^A38,IF(A38='Données projet'!$A$36,'Données projet'!$B$36,N37+M38-V37)))</f>
        <v>119.98397435897436</v>
      </c>
      <c r="O38" s="13">
        <f>N38*VLOOKUP('Données projet'!$B$9,Paramètres!$A$1:$I$89,3,0)*VLOOKUP('Données projet'!$B$9,Paramètres!$A$1:$I$89,5,0)</f>
        <v>108.56150000000001</v>
      </c>
      <c r="P38" s="13">
        <f t="shared" si="33"/>
        <v>28.9918035361205</v>
      </c>
      <c r="Q38" s="20">
        <f t="shared" si="53"/>
        <v>239.57200365874317</v>
      </c>
      <c r="R38" s="59">
        <f t="shared" si="0"/>
        <v>532.90533699207651</v>
      </c>
      <c r="S38" s="59">
        <f ca="1">AVERAGE(OFFSET($R$3,0,0,'Données projet'!$E$9+1,1))-AVERAGE(OFFSET($H$3,0,0,'Données projet'!$E$9+1,1))</f>
        <v>309.07357540707869</v>
      </c>
      <c r="T38" s="59">
        <f t="shared" si="34"/>
        <v>155.9593924683299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9.8108974358974379</v>
      </c>
      <c r="AI38" s="13">
        <f>IF('Données projet'!$A$62&gt;35,AI37+AH38-AQ37,IF(A38&lt;'Données projet'!$A$62,$AF$205^A38,IF(A38='Données projet'!$A$62,'Données projet'!$B$62,AI37+AH38-AQ37)))</f>
        <v>119.98397435897436</v>
      </c>
      <c r="AJ38" s="13">
        <f>AI38*VLOOKUP('Données projet'!$B$10,Paramètres!$A$1:$I$89,3,0)*VLOOKUP('Données projet'!$B$10,Paramètres!$A$1:$I$89,5,0)</f>
        <v>116.04850000000002</v>
      </c>
      <c r="AK38" s="13">
        <f t="shared" si="35"/>
        <v>30.751588512419616</v>
      </c>
      <c r="AL38" s="20">
        <f t="shared" si="4"/>
        <v>255.67682082579753</v>
      </c>
      <c r="AM38" s="59">
        <f t="shared" si="5"/>
        <v>549.01015415913082</v>
      </c>
      <c r="AN38" s="59">
        <f ca="1">AVERAGE(OFFSET($AM$3,0,0,'Données projet'!$E$10+1,1))-AVERAGE(OFFSET($H$3,0,0,'Données projet'!$E$10+1,1))</f>
        <v>340.4659523898373</v>
      </c>
      <c r="AO38" s="59">
        <f t="shared" si="36"/>
        <v>170.54530785680572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6.9983076923076917</v>
      </c>
      <c r="BD38" s="12">
        <f>IF('Données projet'!$A$88&gt;35,BD37+BC38-BL37,IF(A38&lt;'Données projet'!$A$88,$BA$205^A38,IF(A38='Données projet'!$A$88,'Données projet'!$B$88,BD37+BC38-BL37)))</f>
        <v>244.94076923076921</v>
      </c>
      <c r="BE38" s="13">
        <f>BD38*VLOOKUP('Données projet'!$B$11,Paramètres!$A$1:$I$89,3,0)*VLOOKUP('Données projet'!$B$11,Paramètres!$A$1:$I$89,5,0)</f>
        <v>117.81650999999999</v>
      </c>
      <c r="BF38" s="13">
        <f t="shared" si="37"/>
        <v>31.165193115295441</v>
      </c>
      <c r="BG38" s="20">
        <f t="shared" si="7"/>
        <v>259.4764662591395</v>
      </c>
      <c r="BH38" s="59">
        <f t="shared" si="8"/>
        <v>552.80979959247281</v>
      </c>
      <c r="BI38" s="59">
        <f ca="1">AVERAGE(OFFSET($BH$3,0,0,'Données projet'!$E$11+1,1))-AVERAGE(OFFSET($H$3,0,0,'Données projet'!$E$11+1,1))</f>
        <v>162.52375757962767</v>
      </c>
      <c r="BJ38" s="59">
        <f t="shared" si="38"/>
        <v>162.18047435246194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9.8108974358974379</v>
      </c>
      <c r="N39" s="13">
        <f>IF('Données projet'!$A$36&gt;35,N38+M39-V38,IF(A39&lt;'Données projet'!$A$36,$K$205^A39,IF(A39='Données projet'!$A$36,'Données projet'!$B$36,N38+M39-V38)))</f>
        <v>129.7948717948718</v>
      </c>
      <c r="O39" s="13">
        <f>N39*VLOOKUP('Données projet'!$B$9,Paramètres!$A$1:$I$89,3,0)*VLOOKUP('Données projet'!$B$9,Paramètres!$A$1:$I$89,5,0)</f>
        <v>117.4384</v>
      </c>
      <c r="P39" s="13">
        <f t="shared" si="33"/>
        <v>31.076799937563745</v>
      </c>
      <c r="Q39" s="20">
        <f t="shared" si="53"/>
        <v>258.66397322459017</v>
      </c>
      <c r="R39" s="59">
        <f t="shared" si="0"/>
        <v>551.99730655792348</v>
      </c>
      <c r="S39" s="59">
        <f ca="1">AVERAGE(OFFSET($R$3,0,0,'Données projet'!$E$9+1,1))-AVERAGE(OFFSET($H$3,0,0,'Données projet'!$E$9+1,1))</f>
        <v>309.07357540707869</v>
      </c>
      <c r="T39" s="59">
        <f t="shared" si="34"/>
        <v>155.9593924683299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9.8108974358974379</v>
      </c>
      <c r="AI39" s="13">
        <f>IF('Données projet'!$A$62&gt;35,AI38+AH39-AQ38,IF(A39&lt;'Données projet'!$A$62,$AF$205^A39,IF(A39='Données projet'!$A$62,'Données projet'!$B$62,AI38+AH39-AQ38)))</f>
        <v>129.7948717948718</v>
      </c>
      <c r="AJ39" s="13">
        <f>AI39*VLOOKUP('Données projet'!$B$10,Paramètres!$A$1:$I$89,3,0)*VLOOKUP('Données projet'!$B$10,Paramètres!$A$1:$I$89,5,0)</f>
        <v>125.53760000000001</v>
      </c>
      <c r="AK39" s="13">
        <f t="shared" si="35"/>
        <v>32.96314293700641</v>
      </c>
      <c r="AL39" s="20">
        <f t="shared" si="4"/>
        <v>276.05546061528617</v>
      </c>
      <c r="AM39" s="59">
        <f t="shared" si="5"/>
        <v>569.38879394861942</v>
      </c>
      <c r="AN39" s="59">
        <f ca="1">AVERAGE(OFFSET($AM$3,0,0,'Données projet'!$E$10+1,1))-AVERAGE(OFFSET($H$3,0,0,'Données projet'!$E$10+1,1))</f>
        <v>340.4659523898373</v>
      </c>
      <c r="AO39" s="59">
        <f t="shared" si="36"/>
        <v>170.54530785680572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6.9983076923076917</v>
      </c>
      <c r="BD39" s="12">
        <f>IF('Données projet'!$A$88&gt;35,BD38+BC39-BL38,IF(A39&lt;'Données projet'!$A$88,$BA$205^A39,IF(A39='Données projet'!$A$88,'Données projet'!$B$88,BD38+BC39-BL38)))</f>
        <v>251.9390769230769</v>
      </c>
      <c r="BE39" s="13">
        <f>BD39*VLOOKUP('Données projet'!$B$11,Paramètres!$A$1:$I$89,3,0)*VLOOKUP('Données projet'!$B$11,Paramètres!$A$1:$I$89,5,0)</f>
        <v>121.18269599999999</v>
      </c>
      <c r="BF39" s="13">
        <f t="shared" si="37"/>
        <v>31.950686064920117</v>
      </c>
      <c r="BG39" s="20">
        <f t="shared" si="7"/>
        <v>266.70730709640253</v>
      </c>
      <c r="BH39" s="59">
        <f t="shared" si="8"/>
        <v>560.04064042973584</v>
      </c>
      <c r="BI39" s="59">
        <f ca="1">AVERAGE(OFFSET($BH$3,0,0,'Données projet'!$E$11+1,1))-AVERAGE(OFFSET($H$3,0,0,'Données projet'!$E$11+1,1))</f>
        <v>162.52375757962767</v>
      </c>
      <c r="BJ39" s="59">
        <f t="shared" si="38"/>
        <v>162.18047435246194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9.8108974358974379</v>
      </c>
      <c r="N40" s="13">
        <f>IF('Données projet'!$A$36&gt;35,N39+M40-V39,IF(A40&lt;'Données projet'!$A$36,$K$205^A40,IF(A40='Données projet'!$A$36,'Données projet'!$B$36,N39+M40-V39)))</f>
        <v>139.60576923076923</v>
      </c>
      <c r="O40" s="13">
        <f>N40*VLOOKUP('Données projet'!$B$9,Paramètres!$A$1:$I$89,3,0)*VLOOKUP('Données projet'!$B$9,Paramètres!$A$1:$I$89,5,0)</f>
        <v>126.31529999999998</v>
      </c>
      <c r="P40" s="13">
        <f t="shared" si="33"/>
        <v>33.143513784775976</v>
      </c>
      <c r="Q40" s="20">
        <f t="shared" si="53"/>
        <v>277.72410067515142</v>
      </c>
      <c r="R40" s="59">
        <f t="shared" si="0"/>
        <v>571.05743400848473</v>
      </c>
      <c r="S40" s="59">
        <f ca="1">AVERAGE(OFFSET($R$3,0,0,'Données projet'!$E$9+1,1))-AVERAGE(OFFSET($H$3,0,0,'Données projet'!$E$9+1,1))</f>
        <v>309.07357540707869</v>
      </c>
      <c r="T40" s="59">
        <f t="shared" si="34"/>
        <v>155.9593924683299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9.8108974358974379</v>
      </c>
      <c r="AI40" s="13">
        <f>IF('Données projet'!$A$62&gt;35,AI39+AH40-AQ39,IF(A40&lt;'Données projet'!$A$62,$AF$205^A40,IF(A40='Données projet'!$A$62,'Données projet'!$B$62,AI39+AH40-AQ39)))</f>
        <v>139.60576923076923</v>
      </c>
      <c r="AJ40" s="13">
        <f>AI40*VLOOKUP('Données projet'!$B$10,Paramètres!$A$1:$I$89,3,0)*VLOOKUP('Données projet'!$B$10,Paramètres!$A$1:$I$89,5,0)</f>
        <v>135.02669999999998</v>
      </c>
      <c r="AK40" s="13">
        <f t="shared" si="35"/>
        <v>35.155305067355044</v>
      </c>
      <c r="AL40" s="20">
        <f t="shared" si="4"/>
        <v>296.40032549230995</v>
      </c>
      <c r="AM40" s="59">
        <f t="shared" si="5"/>
        <v>589.73365882564326</v>
      </c>
      <c r="AN40" s="59">
        <f ca="1">AVERAGE(OFFSET($AM$3,0,0,'Données projet'!$E$10+1,1))-AVERAGE(OFFSET($H$3,0,0,'Données projet'!$E$10+1,1))</f>
        <v>340.4659523898373</v>
      </c>
      <c r="AO40" s="59">
        <f t="shared" si="36"/>
        <v>170.54530785680572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6.9983076923076917</v>
      </c>
      <c r="BD40" s="12">
        <f>IF('Données projet'!$A$88&gt;35,BD39+BC40-BL39,IF(A40&lt;'Données projet'!$A$88,$BA$205^A40,IF(A40='Données projet'!$A$88,'Données projet'!$B$88,BD39+BC40-BL39)))</f>
        <v>258.93738461538459</v>
      </c>
      <c r="BE40" s="13">
        <f>BD40*VLOOKUP('Données projet'!$B$11,Paramètres!$A$1:$I$89,3,0)*VLOOKUP('Données projet'!$B$11,Paramètres!$A$1:$I$89,5,0)</f>
        <v>124.54888199999998</v>
      </c>
      <c r="BF40" s="13">
        <f t="shared" si="37"/>
        <v>32.73364301091226</v>
      </c>
      <c r="BG40" s="20">
        <f t="shared" si="7"/>
        <v>273.93373106067219</v>
      </c>
      <c r="BH40" s="59">
        <f t="shared" si="8"/>
        <v>567.2670643940055</v>
      </c>
      <c r="BI40" s="59">
        <f ca="1">AVERAGE(OFFSET($BH$3,0,0,'Données projet'!$E$11+1,1))-AVERAGE(OFFSET($H$3,0,0,'Données projet'!$E$11+1,1))</f>
        <v>162.52375757962767</v>
      </c>
      <c r="BJ40" s="59">
        <f t="shared" si="38"/>
        <v>162.18047435246194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9.8108974358974379</v>
      </c>
      <c r="N41" s="13">
        <f>IF('Données projet'!$A$36&gt;35,N40+M41-V40,IF(A41&lt;'Données projet'!$A$36,$K$205^A41,IF(A41='Données projet'!$A$36,'Données projet'!$B$36,N40+M41-V40)))</f>
        <v>149.41666666666666</v>
      </c>
      <c r="O41" s="13">
        <f>N41*VLOOKUP('Données projet'!$B$9,Paramètres!$A$1:$I$89,3,0)*VLOOKUP('Données projet'!$B$9,Paramètres!$A$1:$I$89,5,0)</f>
        <v>135.19219999999999</v>
      </c>
      <c r="P41" s="13">
        <f t="shared" si="33"/>
        <v>35.193376038491699</v>
      </c>
      <c r="Q41" s="20">
        <f t="shared" si="53"/>
        <v>296.75487826703966</v>
      </c>
      <c r="R41" s="59">
        <f t="shared" si="0"/>
        <v>590.08821160037292</v>
      </c>
      <c r="S41" s="59">
        <f ca="1">AVERAGE(OFFSET($R$3,0,0,'Données projet'!$E$9+1,1))-AVERAGE(OFFSET($H$3,0,0,'Données projet'!$E$9+1,1))</f>
        <v>309.07357540707869</v>
      </c>
      <c r="T41" s="59">
        <f t="shared" si="34"/>
        <v>155.9593924683299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9.8108974358974379</v>
      </c>
      <c r="AI41" s="13">
        <f>IF('Données projet'!$A$62&gt;35,AI40+AH41-AQ40,IF(A41&lt;'Données projet'!$A$62,$AF$205^A41,IF(A41='Données projet'!$A$62,'Données projet'!$B$62,AI40+AH41-AQ40)))</f>
        <v>149.41666666666666</v>
      </c>
      <c r="AJ41" s="13">
        <f>AI41*VLOOKUP('Données projet'!$B$10,Paramètres!$A$1:$I$89,3,0)*VLOOKUP('Données projet'!$B$10,Paramètres!$A$1:$I$89,5,0)</f>
        <v>144.51579999999998</v>
      </c>
      <c r="AK41" s="13">
        <f t="shared" si="35"/>
        <v>37.329592722652883</v>
      </c>
      <c r="AL41" s="20">
        <f t="shared" si="4"/>
        <v>316.71405899195372</v>
      </c>
      <c r="AM41" s="59">
        <f t="shared" si="5"/>
        <v>610.04739232528709</v>
      </c>
      <c r="AN41" s="59">
        <f ca="1">AVERAGE(OFFSET($AM$3,0,0,'Données projet'!$E$10+1,1))-AVERAGE(OFFSET($H$3,0,0,'Données projet'!$E$10+1,1))</f>
        <v>340.4659523898373</v>
      </c>
      <c r="AO41" s="59">
        <f t="shared" si="36"/>
        <v>170.54530785680572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6.9983076923076917</v>
      </c>
      <c r="BD41" s="12">
        <f>IF('Données projet'!$A$88&gt;35,BD40+BC41-BL40,IF(A41&lt;'Données projet'!$A$88,$BA$205^A41,IF(A41='Données projet'!$A$88,'Données projet'!$B$88,BD40+BC41-BL40)))</f>
        <v>265.93569230769231</v>
      </c>
      <c r="BE41" s="13">
        <f>BD41*VLOOKUP('Données projet'!$B$11,Paramètres!$A$1:$I$89,3,0)*VLOOKUP('Données projet'!$B$11,Paramètres!$A$1:$I$89,5,0)</f>
        <v>127.91506800000001</v>
      </c>
      <c r="BF41" s="13">
        <f t="shared" si="37"/>
        <v>33.5141403706441</v>
      </c>
      <c r="BG41" s="20">
        <f t="shared" si="7"/>
        <v>281.15587124553849</v>
      </c>
      <c r="BH41" s="59">
        <f t="shared" si="8"/>
        <v>574.48920457887175</v>
      </c>
      <c r="BI41" s="59">
        <f ca="1">AVERAGE(OFFSET($BH$3,0,0,'Données projet'!$E$11+1,1))-AVERAGE(OFFSET($H$3,0,0,'Données projet'!$E$11+1,1))</f>
        <v>162.52375757962767</v>
      </c>
      <c r="BJ41" s="59">
        <f t="shared" si="38"/>
        <v>162.18047435246194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9.8108974358974379</v>
      </c>
      <c r="N42" s="13">
        <f>IF('Données projet'!$A$36&gt;35,N41+M42-V41,IF(A42&lt;'Données projet'!$A$36,$K$205^A42,IF(A42='Données projet'!$A$36,'Données projet'!$B$36,N41+M42-V41)))</f>
        <v>159.22756410256409</v>
      </c>
      <c r="O42" s="13">
        <f>N42*VLOOKUP('Données projet'!$B$9,Paramètres!$A$1:$I$89,3,0)*VLOOKUP('Données projet'!$B$9,Paramètres!$A$1:$I$89,5,0)</f>
        <v>144.06909999999999</v>
      </c>
      <c r="P42" s="13">
        <f t="shared" si="33"/>
        <v>37.227619113359864</v>
      </c>
      <c r="Q42" s="20">
        <f t="shared" si="53"/>
        <v>315.75845245576846</v>
      </c>
      <c r="R42" s="59">
        <f t="shared" si="0"/>
        <v>609.09178578910178</v>
      </c>
      <c r="S42" s="59">
        <f ca="1">AVERAGE(OFFSET($R$3,0,0,'Données projet'!$E$9+1,1))-AVERAGE(OFFSET($H$3,0,0,'Données projet'!$E$9+1,1))</f>
        <v>309.07357540707869</v>
      </c>
      <c r="T42" s="59">
        <f t="shared" si="34"/>
        <v>155.9593924683299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9.8108974358974379</v>
      </c>
      <c r="AI42" s="13">
        <f>IF('Données projet'!$A$62&gt;35,AI41+AH42-AQ41,IF(A42&lt;'Données projet'!$A$62,$AF$205^A42,IF(A42='Données projet'!$A$62,'Données projet'!$B$62,AI41+AH42-AQ41)))</f>
        <v>159.22756410256409</v>
      </c>
      <c r="AJ42" s="13">
        <f>AI42*VLOOKUP('Données projet'!$B$10,Paramètres!$A$1:$I$89,3,0)*VLOOKUP('Données projet'!$B$10,Paramètres!$A$1:$I$89,5,0)</f>
        <v>154.00489999999999</v>
      </c>
      <c r="AK42" s="13">
        <f t="shared" si="35"/>
        <v>39.487313124374232</v>
      </c>
      <c r="AL42" s="20">
        <f t="shared" si="4"/>
        <v>336.99893785828505</v>
      </c>
      <c r="AM42" s="59">
        <f t="shared" si="5"/>
        <v>630.33227119161836</v>
      </c>
      <c r="AN42" s="59">
        <f ca="1">AVERAGE(OFFSET($AM$3,0,0,'Données projet'!$E$10+1,1))-AVERAGE(OFFSET($H$3,0,0,'Données projet'!$E$10+1,1))</f>
        <v>340.4659523898373</v>
      </c>
      <c r="AO42" s="59">
        <f t="shared" si="36"/>
        <v>170.54530785680572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6.9983076923076917</v>
      </c>
      <c r="BD42" s="12">
        <f>IF('Données projet'!$A$88&gt;35,BD41+BC42-BL41,IF(A42&lt;'Données projet'!$A$88,$BA$205^A42,IF(A42='Données projet'!$A$88,'Données projet'!$B$88,BD41+BC42-BL41)))</f>
        <v>272.93400000000003</v>
      </c>
      <c r="BE42" s="13">
        <f>BD42*VLOOKUP('Données projet'!$B$11,Paramètres!$A$1:$I$89,3,0)*VLOOKUP('Données projet'!$B$11,Paramètres!$A$1:$I$89,5,0)</f>
        <v>131.28125400000002</v>
      </c>
      <c r="BF42" s="13">
        <f t="shared" si="37"/>
        <v>34.292250310473037</v>
      </c>
      <c r="BG42" s="20">
        <f t="shared" si="7"/>
        <v>288.37385334074054</v>
      </c>
      <c r="BH42" s="59">
        <f t="shared" si="8"/>
        <v>581.70718667407391</v>
      </c>
      <c r="BI42" s="59">
        <f ca="1">AVERAGE(OFFSET($BH$3,0,0,'Données projet'!$E$11+1,1))-AVERAGE(OFFSET($H$3,0,0,'Données projet'!$E$11+1,1))</f>
        <v>162.52375757962767</v>
      </c>
      <c r="BJ42" s="59">
        <f t="shared" si="38"/>
        <v>162.18047435246194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9.8108974358974379</v>
      </c>
      <c r="N43" s="13">
        <f>IF('Données projet'!$A$36&gt;35,N42+M43-V42,IF(A43&lt;'Données projet'!$A$36,$K$205^A43,IF(A43='Données projet'!$A$36,'Données projet'!$B$36,N42+M43-V42)))</f>
        <v>169.03846153846152</v>
      </c>
      <c r="O43" s="13">
        <f>N43*VLOOKUP('Données projet'!$B$9,Paramètres!$A$1:$I$89,3,0)*VLOOKUP('Données projet'!$B$9,Paramètres!$A$1:$I$89,5,0)</f>
        <v>152.94599999999997</v>
      </c>
      <c r="P43" s="13">
        <f t="shared" si="33"/>
        <v>39.247314969652741</v>
      </c>
      <c r="Q43" s="20">
        <f t="shared" si="53"/>
        <v>334.73669023881172</v>
      </c>
      <c r="R43" s="59">
        <f t="shared" si="0"/>
        <v>628.07002357214503</v>
      </c>
      <c r="S43" s="59">
        <f ca="1">AVERAGE(OFFSET($R$3,0,0,'Données projet'!$E$9+1,1))-AVERAGE(OFFSET($H$3,0,0,'Données projet'!$E$9+1,1))</f>
        <v>309.07357540707869</v>
      </c>
      <c r="T43" s="59">
        <f t="shared" si="34"/>
        <v>155.9593924683299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9.8108974358974379</v>
      </c>
      <c r="AI43" s="13">
        <f>IF('Données projet'!$A$62&gt;35,AI42+AH43-AQ42,IF(A43&lt;'Données projet'!$A$62,$AF$205^A43,IF(A43='Données projet'!$A$62,'Données projet'!$B$62,AI42+AH43-AQ42)))</f>
        <v>169.03846153846152</v>
      </c>
      <c r="AJ43" s="13">
        <f>AI43*VLOOKUP('Données projet'!$B$10,Paramètres!$A$1:$I$89,3,0)*VLOOKUP('Données projet'!$B$10,Paramètres!$A$1:$I$89,5,0)</f>
        <v>163.49399999999997</v>
      </c>
      <c r="AK43" s="13">
        <f t="shared" si="35"/>
        <v>41.629603300132899</v>
      </c>
      <c r="AL43" s="20">
        <f t="shared" si="4"/>
        <v>357.25694241439805</v>
      </c>
      <c r="AM43" s="59">
        <f t="shared" si="5"/>
        <v>650.59027574773131</v>
      </c>
      <c r="AN43" s="59">
        <f ca="1">AVERAGE(OFFSET($AM$3,0,0,'Données projet'!$E$10+1,1))-AVERAGE(OFFSET($H$3,0,0,'Données projet'!$E$10+1,1))</f>
        <v>340.4659523898373</v>
      </c>
      <c r="AO43" s="59">
        <f t="shared" si="36"/>
        <v>170.54530785680572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6.9983076923076917</v>
      </c>
      <c r="BD43" s="12">
        <f>IF('Données projet'!$A$88&gt;35,BD42+BC43-BL42,IF(A43&lt;'Données projet'!$A$88,$BA$205^A43,IF(A43='Données projet'!$A$88,'Données projet'!$B$88,BD42+BC43-BL42)))</f>
        <v>279.93230769230775</v>
      </c>
      <c r="BE43" s="13">
        <f>BD43*VLOOKUP('Données projet'!$B$11,Paramètres!$A$1:$I$89,3,0)*VLOOKUP('Données projet'!$B$11,Paramètres!$A$1:$I$89,5,0)</f>
        <v>134.64744000000002</v>
      </c>
      <c r="BF43" s="13">
        <f t="shared" si="37"/>
        <v>35.068041085074228</v>
      </c>
      <c r="BG43" s="20">
        <f t="shared" si="7"/>
        <v>295.58779622317098</v>
      </c>
      <c r="BH43" s="59">
        <f t="shared" si="8"/>
        <v>588.9211295565043</v>
      </c>
      <c r="BI43" s="59">
        <f ca="1">AVERAGE(OFFSET($BH$3,0,0,'Données projet'!$E$11+1,1))-AVERAGE(OFFSET($H$3,0,0,'Données projet'!$E$11+1,1))</f>
        <v>162.52375757962767</v>
      </c>
      <c r="BJ43" s="59">
        <f t="shared" si="38"/>
        <v>162.18047435246194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9.8108974358974379</v>
      </c>
      <c r="N44" s="13">
        <f>IF('Données projet'!$A$36&gt;35,N43+M44-V43,IF(A44&lt;'Données projet'!$A$36,$K$205^A44,IF(A44='Données projet'!$A$36,'Données projet'!$B$36,N43+M44-V43)))</f>
        <v>178.84935897435895</v>
      </c>
      <c r="O44" s="13">
        <f>N44*VLOOKUP('Données projet'!$B$9,Paramètres!$A$1:$I$89,3,0)*VLOOKUP('Données projet'!$B$9,Paramètres!$A$1:$I$89,5,0)</f>
        <v>161.82289999999998</v>
      </c>
      <c r="P44" s="13">
        <f t="shared" si="33"/>
        <v>41.253404106950768</v>
      </c>
      <c r="Q44" s="20">
        <f t="shared" si="53"/>
        <v>353.69122965293923</v>
      </c>
      <c r="R44" s="59">
        <f t="shared" si="0"/>
        <v>647.02456298627249</v>
      </c>
      <c r="S44" s="59">
        <f ca="1">AVERAGE(OFFSET($R$3,0,0,'Données projet'!$E$9+1,1))-AVERAGE(OFFSET($H$3,0,0,'Données projet'!$E$9+1,1))</f>
        <v>309.07357540707869</v>
      </c>
      <c r="T44" s="59">
        <f t="shared" si="34"/>
        <v>155.9593924683299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9.8108974358974379</v>
      </c>
      <c r="AI44" s="13">
        <f>IF('Données projet'!$A$62&gt;35,AI43+AH44-AQ43,IF(A44&lt;'Données projet'!$A$62,$AF$205^A44,IF(A44='Données projet'!$A$62,'Données projet'!$B$62,AI43+AH44-AQ43)))</f>
        <v>178.84935897435895</v>
      </c>
      <c r="AJ44" s="13">
        <f>AI44*VLOOKUP('Données projet'!$B$10,Paramètres!$A$1:$I$89,3,0)*VLOOKUP('Données projet'!$B$10,Paramètres!$A$1:$I$89,5,0)</f>
        <v>172.98309999999998</v>
      </c>
      <c r="AK44" s="13">
        <f t="shared" si="35"/>
        <v>43.757460837266301</v>
      </c>
      <c r="AL44" s="20">
        <f t="shared" si="4"/>
        <v>377.48981012490543</v>
      </c>
      <c r="AM44" s="59">
        <f t="shared" si="5"/>
        <v>670.82314345823875</v>
      </c>
      <c r="AN44" s="59">
        <f ca="1">AVERAGE(OFFSET($AM$3,0,0,'Données projet'!$E$10+1,1))-AVERAGE(OFFSET($H$3,0,0,'Données projet'!$E$10+1,1))</f>
        <v>340.4659523898373</v>
      </c>
      <c r="AO44" s="59">
        <f t="shared" si="36"/>
        <v>170.54530785680572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6.9983076923076917</v>
      </c>
      <c r="BD44" s="12">
        <f>IF('Données projet'!$A$88&gt;35,BD43+BC44-BL43,IF(A44&lt;'Données projet'!$A$88,$BA$205^A44,IF(A44='Données projet'!$A$88,'Données projet'!$B$88,BD43+BC44-BL43)))</f>
        <v>286.93061538461546</v>
      </c>
      <c r="BE44" s="13">
        <f>BD44*VLOOKUP('Données projet'!$B$11,Paramètres!$A$1:$I$89,3,0)*VLOOKUP('Données projet'!$B$11,Paramètres!$A$1:$I$89,5,0)</f>
        <v>138.01362600000004</v>
      </c>
      <c r="BF44" s="13">
        <f t="shared" si="37"/>
        <v>35.841577341884559</v>
      </c>
      <c r="BG44" s="20">
        <f t="shared" si="7"/>
        <v>302.79781248711566</v>
      </c>
      <c r="BH44" s="59">
        <f t="shared" si="8"/>
        <v>596.13114582044898</v>
      </c>
      <c r="BI44" s="59">
        <f ca="1">AVERAGE(OFFSET($BH$3,0,0,'Données projet'!$E$11+1,1))-AVERAGE(OFFSET($H$3,0,0,'Données projet'!$E$11+1,1))</f>
        <v>162.52375757962767</v>
      </c>
      <c r="BJ44" s="59">
        <f t="shared" si="38"/>
        <v>162.18047435246194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188.66025641025641</v>
      </c>
      <c r="L45" s="12">
        <f>VLOOKUP(A45,'Données projet'!$A$35:$I$55,9,0)</f>
        <v>9.8108974358974379</v>
      </c>
      <c r="M45" s="12">
        <f t="array" ref="M45">INDEX(L:L,MIN(IF(ISNUMBER(L45:L241),ROW(L45:L241),"")))</f>
        <v>9.8108974358974379</v>
      </c>
      <c r="N45" s="13">
        <f>IF('Données projet'!$A$36&gt;35,N44+M45-V44,IF(A45&lt;'Données projet'!$A$36,$K$205^A45,IF(A45='Données projet'!$A$36,'Données projet'!$B$36,N44+M45-V44)))</f>
        <v>188.66025641025638</v>
      </c>
      <c r="O45" s="13">
        <f>N45*VLOOKUP('Données projet'!$B$9,Paramètres!$A$1:$I$89,3,0)*VLOOKUP('Données projet'!$B$9,Paramètres!$A$1:$I$89,5,0)</f>
        <v>170.69979999999998</v>
      </c>
      <c r="P45" s="13">
        <f t="shared" si="33"/>
        <v>43.246718013796333</v>
      </c>
      <c r="Q45" s="20">
        <f t="shared" si="53"/>
        <v>372.62351887402855</v>
      </c>
      <c r="R45" s="59">
        <f t="shared" si="0"/>
        <v>665.95685220736186</v>
      </c>
      <c r="S45" s="59">
        <f ca="1">AVERAGE(OFFSET($R$3,0,0,'Données projet'!$E$9+1,1))-AVERAGE(OFFSET($H$3,0,0,'Données projet'!$E$9+1,1))</f>
        <v>309.07357540707869</v>
      </c>
      <c r="T45" s="59">
        <f t="shared" si="34"/>
        <v>155.9593924683299</v>
      </c>
      <c r="U45" s="15">
        <f>IF(ISNA(VLOOKUP(A45,'Données projet'!$A$35:$I$55,3,0)),0,VLOOKUP(A45,'Données projet'!$A$35:$I$55,3,0))</f>
        <v>2</v>
      </c>
      <c r="V45" s="15">
        <f>IF(ISNA(VLOOKUP(A45,'Données projet'!$A$35:$I$55,4,0)),0,VLOOKUP(A45,'Données projet'!$A$35:$I$55,4,0))</f>
        <v>45.198717948717949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188.66025641025641</v>
      </c>
      <c r="AG45" s="12">
        <f>VLOOKUP(A45,'Données projet'!$A$61:$I$81,9,0)</f>
        <v>9.8108974358974379</v>
      </c>
      <c r="AH45" s="12">
        <f t="array" ref="AH45">INDEX(AG:AG,MIN(IF(ISNUMBER(AG45:AG241),ROW(AG45:AG241),"")))</f>
        <v>9.8108974358974379</v>
      </c>
      <c r="AI45" s="13">
        <f>IF('Données projet'!$A$62&gt;35,AI44+AH45-AQ44,IF(A45&lt;'Données projet'!$A$62,$AF$205^A45,IF(A45='Données projet'!$A$62,'Données projet'!$B$62,AI44+AH45-AQ44)))</f>
        <v>188.66025641025638</v>
      </c>
      <c r="AJ45" s="13">
        <f>AI45*VLOOKUP('Données projet'!$B$10,Paramètres!$A$1:$I$89,3,0)*VLOOKUP('Données projet'!$B$10,Paramètres!$A$1:$I$89,5,0)</f>
        <v>182.47219999999999</v>
      </c>
      <c r="AK45" s="13">
        <f t="shared" si="35"/>
        <v>45.871767695169382</v>
      </c>
      <c r="AL45" s="20">
        <f t="shared" si="4"/>
        <v>397.69907706908663</v>
      </c>
      <c r="AM45" s="59">
        <f t="shared" si="5"/>
        <v>691.03241040241994</v>
      </c>
      <c r="AN45" s="59">
        <f ca="1">AVERAGE(OFFSET($AM$3,0,0,'Données projet'!$E$10+1,1))-AVERAGE(OFFSET($H$3,0,0,'Données projet'!$E$10+1,1))</f>
        <v>340.4659523898373</v>
      </c>
      <c r="AO45" s="59">
        <f t="shared" si="36"/>
        <v>170.54530785680572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45.198717948717949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6.9983076923076917</v>
      </c>
      <c r="BD45" s="12">
        <f>IF('Données projet'!$A$88&gt;35,BD44+BC45-BL44,IF(A45&lt;'Données projet'!$A$88,$BA$205^A45,IF(A45='Données projet'!$A$88,'Données projet'!$B$88,BD44+BC45-BL44)))</f>
        <v>293.92892307692318</v>
      </c>
      <c r="BE45" s="13">
        <f>BD45*VLOOKUP('Données projet'!$B$11,Paramètres!$A$1:$I$89,3,0)*VLOOKUP('Données projet'!$B$11,Paramètres!$A$1:$I$89,5,0)</f>
        <v>141.37981200000004</v>
      </c>
      <c r="BF45" s="13">
        <f t="shared" si="37"/>
        <v>36.612920395008608</v>
      </c>
      <c r="BG45" s="20">
        <f t="shared" si="7"/>
        <v>310.00400892130671</v>
      </c>
      <c r="BH45" s="59">
        <f t="shared" si="8"/>
        <v>603.33734225464002</v>
      </c>
      <c r="BI45" s="59">
        <f ca="1">AVERAGE(OFFSET($BH$3,0,0,'Données projet'!$E$11+1,1))-AVERAGE(OFFSET($H$3,0,0,'Données projet'!$E$11+1,1))</f>
        <v>162.52375757962767</v>
      </c>
      <c r="BJ45" s="59">
        <f t="shared" si="38"/>
        <v>162.18047435246194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9.9423076923076934</v>
      </c>
      <c r="N46" s="13">
        <f>IF('Données projet'!$A$36&gt;35,N45+M46-V45,IF(A46&lt;'Données projet'!$A$36,$K$205^A46,IF(A46='Données projet'!$A$36,'Données projet'!$B$36,N45+M46-V45)))</f>
        <v>153.40384615384613</v>
      </c>
      <c r="O46" s="13">
        <f>N46*VLOOKUP('Données projet'!$B$9,Paramètres!$A$1:$I$89,3,0)*VLOOKUP('Données projet'!$B$9,Paramètres!$A$1:$I$89,5,0)</f>
        <v>138.79979999999998</v>
      </c>
      <c r="P46" s="13">
        <f t="shared" si="33"/>
        <v>36.021918906010839</v>
      </c>
      <c r="Q46" s="20">
        <f t="shared" si="53"/>
        <v>304.4811604279688</v>
      </c>
      <c r="R46" s="59">
        <f t="shared" si="0"/>
        <v>597.81449376130217</v>
      </c>
      <c r="S46" s="59">
        <f ca="1">AVERAGE(OFFSET($R$3,0,0,'Données projet'!$E$9+1,1))-AVERAGE(OFFSET($H$3,0,0,'Données projet'!$E$9+1,1))</f>
        <v>309.07357540707869</v>
      </c>
      <c r="T46" s="59">
        <f t="shared" si="34"/>
        <v>155.9593924683299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9.9423076923076934</v>
      </c>
      <c r="AI46" s="13">
        <f>IF('Données projet'!$A$62&gt;35,AI45+AH46-AQ45,IF(A46&lt;'Données projet'!$A$62,$AF$205^A46,IF(A46='Données projet'!$A$62,'Données projet'!$B$62,AI45+AH46-AQ45)))</f>
        <v>153.40384615384613</v>
      </c>
      <c r="AJ46" s="13">
        <f>AI46*VLOOKUP('Données projet'!$B$10,Paramètres!$A$1:$I$89,3,0)*VLOOKUP('Données projet'!$B$10,Paramètres!$A$1:$I$89,5,0)</f>
        <v>148.37219999999999</v>
      </c>
      <c r="AK46" s="13">
        <f t="shared" si="35"/>
        <v>38.208427642153666</v>
      </c>
      <c r="AL46" s="20">
        <f t="shared" si="4"/>
        <v>324.9612598100843</v>
      </c>
      <c r="AM46" s="59">
        <f t="shared" si="5"/>
        <v>618.29459314341761</v>
      </c>
      <c r="AN46" s="59">
        <f ca="1">AVERAGE(OFFSET($AM$3,0,0,'Données projet'!$E$10+1,1))-AVERAGE(OFFSET($H$3,0,0,'Données projet'!$E$10+1,1))</f>
        <v>340.4659523898373</v>
      </c>
      <c r="AO46" s="59">
        <f t="shared" si="36"/>
        <v>170.54530785680572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6.9983076923076917</v>
      </c>
      <c r="BD46" s="12">
        <f>IF('Données projet'!$A$88&gt;35,BD45+BC46-BL45,IF(A46&lt;'Données projet'!$A$88,$BA$205^A46,IF(A46='Données projet'!$A$88,'Données projet'!$B$88,BD45+BC46-BL45)))</f>
        <v>300.9272307692309</v>
      </c>
      <c r="BE46" s="13">
        <f>BD46*VLOOKUP('Données projet'!$B$11,Paramètres!$A$1:$I$89,3,0)*VLOOKUP('Données projet'!$B$11,Paramètres!$A$1:$I$89,5,0)</f>
        <v>144.74599800000007</v>
      </c>
      <c r="BF46" s="13">
        <f t="shared" si="37"/>
        <v>37.382128472303464</v>
      </c>
      <c r="BG46" s="20">
        <f t="shared" si="7"/>
        <v>317.20648693926199</v>
      </c>
      <c r="BH46" s="59">
        <f t="shared" si="8"/>
        <v>610.53982027259531</v>
      </c>
      <c r="BI46" s="59">
        <f ca="1">AVERAGE(OFFSET($BH$3,0,0,'Données projet'!$E$11+1,1))-AVERAGE(OFFSET($H$3,0,0,'Données projet'!$E$11+1,1))</f>
        <v>162.52375757962767</v>
      </c>
      <c r="BJ46" s="59">
        <f t="shared" si="38"/>
        <v>162.18047435246194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9.9423076923076934</v>
      </c>
      <c r="N47" s="13">
        <f>IF('Données projet'!$A$36&gt;35,N46+M47-V46,IF(A47&lt;'Données projet'!$A$36,$K$205^A47,IF(A47='Données projet'!$A$36,'Données projet'!$B$36,N46+M47-V46)))</f>
        <v>163.34615384615381</v>
      </c>
      <c r="O47" s="13">
        <f>N47*VLOOKUP('Données projet'!$B$9,Paramètres!$A$1:$I$89,3,0)*VLOOKUP('Données projet'!$B$9,Paramètres!$A$1:$I$89,5,0)</f>
        <v>147.79559999999995</v>
      </c>
      <c r="P47" s="13">
        <f t="shared" si="33"/>
        <v>38.077196976190542</v>
      </c>
      <c r="Q47" s="20">
        <f t="shared" si="53"/>
        <v>323.72845473353181</v>
      </c>
      <c r="R47" s="59">
        <f t="shared" si="0"/>
        <v>617.06178806686512</v>
      </c>
      <c r="S47" s="59">
        <f ca="1">AVERAGE(OFFSET($R$3,0,0,'Données projet'!$E$9+1,1))-AVERAGE(OFFSET($H$3,0,0,'Données projet'!$E$9+1,1))</f>
        <v>309.07357540707869</v>
      </c>
      <c r="T47" s="59">
        <f t="shared" si="34"/>
        <v>155.9593924683299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9.9423076923076934</v>
      </c>
      <c r="AI47" s="13">
        <f>IF('Données projet'!$A$62&gt;35,AI46+AH47-AQ46,IF(A47&lt;'Données projet'!$A$62,$AF$205^A47,IF(A47='Données projet'!$A$62,'Données projet'!$B$62,AI46+AH47-AQ46)))</f>
        <v>163.34615384615381</v>
      </c>
      <c r="AJ47" s="13">
        <f>AI47*VLOOKUP('Données projet'!$B$10,Paramètres!$A$1:$I$89,3,0)*VLOOKUP('Données projet'!$B$10,Paramètres!$A$1:$I$89,5,0)</f>
        <v>157.98839999999996</v>
      </c>
      <c r="AK47" s="13">
        <f t="shared" si="35"/>
        <v>40.388459850706035</v>
      </c>
      <c r="AL47" s="20">
        <f t="shared" si="4"/>
        <v>345.50636423997958</v>
      </c>
      <c r="AM47" s="59">
        <f t="shared" si="5"/>
        <v>638.83969757331283</v>
      </c>
      <c r="AN47" s="59">
        <f ca="1">AVERAGE(OFFSET($AM$3,0,0,'Données projet'!$E$10+1,1))-AVERAGE(OFFSET($H$3,0,0,'Données projet'!$E$10+1,1))</f>
        <v>340.4659523898373</v>
      </c>
      <c r="AO47" s="59">
        <f t="shared" si="36"/>
        <v>170.54530785680572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6.9983076923076917</v>
      </c>
      <c r="BD47" s="12">
        <f>IF('Données projet'!$A$88&gt;35,BD46+BC47-BL46,IF(A47&lt;'Données projet'!$A$88,$BA$205^A47,IF(A47='Données projet'!$A$88,'Données projet'!$B$88,BD46+BC47-BL46)))</f>
        <v>307.92553846153862</v>
      </c>
      <c r="BE47" s="13">
        <f>BD47*VLOOKUP('Données projet'!$B$11,Paramètres!$A$1:$I$89,3,0)*VLOOKUP('Données projet'!$B$11,Paramètres!$A$1:$I$89,5,0)</f>
        <v>148.1121840000001</v>
      </c>
      <c r="BF47" s="13">
        <f t="shared" si="37"/>
        <v>38.149256938831194</v>
      </c>
      <c r="BG47" s="20">
        <f t="shared" si="7"/>
        <v>324.40534296846448</v>
      </c>
      <c r="BH47" s="59">
        <f t="shared" si="8"/>
        <v>617.7386763017978</v>
      </c>
      <c r="BI47" s="59">
        <f ca="1">AVERAGE(OFFSET($BH$3,0,0,'Données projet'!$E$11+1,1))-AVERAGE(OFFSET($H$3,0,0,'Données projet'!$E$11+1,1))</f>
        <v>162.52375757962767</v>
      </c>
      <c r="BJ47" s="59">
        <f t="shared" si="38"/>
        <v>162.18047435246194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9.9423076923076934</v>
      </c>
      <c r="N48" s="13">
        <f>IF('Données projet'!$A$36&gt;35,N47+M48-V47,IF(A48&lt;'Données projet'!$A$36,$K$205^A48,IF(A48='Données projet'!$A$36,'Données projet'!$B$36,N47+M48-V47)))</f>
        <v>173.28846153846149</v>
      </c>
      <c r="O48" s="13">
        <f>N48*VLOOKUP('Données projet'!$B$9,Paramètres!$A$1:$I$89,3,0)*VLOOKUP('Données projet'!$B$9,Paramètres!$A$1:$I$89,5,0)</f>
        <v>156.79139999999995</v>
      </c>
      <c r="P48" s="13">
        <f t="shared" si="33"/>
        <v>40.117955688416771</v>
      </c>
      <c r="Q48" s="20">
        <f t="shared" si="53"/>
        <v>342.95046115732583</v>
      </c>
      <c r="R48" s="59">
        <f t="shared" si="0"/>
        <v>636.28379449065915</v>
      </c>
      <c r="S48" s="59">
        <f ca="1">AVERAGE(OFFSET($R$3,0,0,'Données projet'!$E$9+1,1))-AVERAGE(OFFSET($H$3,0,0,'Données projet'!$E$9+1,1))</f>
        <v>309.07357540707869</v>
      </c>
      <c r="T48" s="59">
        <f t="shared" si="34"/>
        <v>155.9593924683299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9.9423076923076934</v>
      </c>
      <c r="AI48" s="13">
        <f>IF('Données projet'!$A$62&gt;35,AI47+AH48-AQ47,IF(A48&lt;'Données projet'!$A$62,$AF$205^A48,IF(A48='Données projet'!$A$62,'Données projet'!$B$62,AI47+AH48-AQ47)))</f>
        <v>173.28846153846149</v>
      </c>
      <c r="AJ48" s="13">
        <f>AI48*VLOOKUP('Données projet'!$B$10,Paramètres!$A$1:$I$89,3,0)*VLOOKUP('Données projet'!$B$10,Paramètres!$A$1:$I$89,5,0)</f>
        <v>167.60459999999998</v>
      </c>
      <c r="AK48" s="13">
        <f t="shared" si="35"/>
        <v>42.553091385040481</v>
      </c>
      <c r="AL48" s="20">
        <f t="shared" si="4"/>
        <v>366.02464582894544</v>
      </c>
      <c r="AM48" s="59">
        <f t="shared" si="5"/>
        <v>659.35797916227875</v>
      </c>
      <c r="AN48" s="59">
        <f ca="1">AVERAGE(OFFSET($AM$3,0,0,'Données projet'!$E$10+1,1))-AVERAGE(OFFSET($H$3,0,0,'Données projet'!$E$10+1,1))</f>
        <v>340.4659523898373</v>
      </c>
      <c r="AO48" s="59">
        <f t="shared" si="36"/>
        <v>170.54530785680572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6.9983076923076917</v>
      </c>
      <c r="BD48" s="12">
        <f>IF('Données projet'!$A$88&gt;35,BD47+BC48-BL47,IF(A48&lt;'Données projet'!$A$88,$BA$205^A48,IF(A48='Données projet'!$A$88,'Données projet'!$B$88,BD47+BC48-BL47)))</f>
        <v>314.92384615384634</v>
      </c>
      <c r="BE48" s="13">
        <f>BD48*VLOOKUP('Données projet'!$B$11,Paramètres!$A$1:$I$89,3,0)*VLOOKUP('Données projet'!$B$11,Paramètres!$A$1:$I$89,5,0)</f>
        <v>151.4783700000001</v>
      </c>
      <c r="BF48" s="13">
        <f t="shared" si="37"/>
        <v>38.914358499425013</v>
      </c>
      <c r="BG48" s="20">
        <f t="shared" si="7"/>
        <v>331.60066880316543</v>
      </c>
      <c r="BH48" s="59">
        <f t="shared" si="8"/>
        <v>624.93400213649875</v>
      </c>
      <c r="BI48" s="59">
        <f ca="1">AVERAGE(OFFSET($BH$3,0,0,'Données projet'!$E$11+1,1))-AVERAGE(OFFSET($H$3,0,0,'Données projet'!$E$11+1,1))</f>
        <v>162.52375757962767</v>
      </c>
      <c r="BJ48" s="59">
        <f t="shared" si="38"/>
        <v>162.18047435246194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9.9423076923076934</v>
      </c>
      <c r="N49" s="13">
        <f>IF('Données projet'!$A$36&gt;35,N48+M49-V48,IF(A49&lt;'Données projet'!$A$36,$K$205^A49,IF(A49='Données projet'!$A$36,'Données projet'!$B$36,N48+M49-V48)))</f>
        <v>183.23076923076917</v>
      </c>
      <c r="O49" s="13">
        <f>N49*VLOOKUP('Données projet'!$B$9,Paramètres!$A$1:$I$89,3,0)*VLOOKUP('Données projet'!$B$9,Paramètres!$A$1:$I$89,5,0)</f>
        <v>165.78719999999993</v>
      </c>
      <c r="P49" s="13">
        <f t="shared" si="33"/>
        <v>42.145122994841088</v>
      </c>
      <c r="Q49" s="20">
        <f t="shared" si="53"/>
        <v>362.14879588268133</v>
      </c>
      <c r="R49" s="59">
        <f t="shared" si="0"/>
        <v>655.48212921601464</v>
      </c>
      <c r="S49" s="59">
        <f ca="1">AVERAGE(OFFSET($R$3,0,0,'Données projet'!$E$9+1,1))-AVERAGE(OFFSET($H$3,0,0,'Données projet'!$E$9+1,1))</f>
        <v>309.07357540707869</v>
      </c>
      <c r="T49" s="59">
        <f t="shared" si="34"/>
        <v>155.9593924683299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9.9423076923076934</v>
      </c>
      <c r="AI49" s="13">
        <f>IF('Données projet'!$A$62&gt;35,AI48+AH49-AQ48,IF(A49&lt;'Données projet'!$A$62,$AF$205^A49,IF(A49='Données projet'!$A$62,'Données projet'!$B$62,AI48+AH49-AQ48)))</f>
        <v>183.23076923076917</v>
      </c>
      <c r="AJ49" s="13">
        <f>AI49*VLOOKUP('Données projet'!$B$10,Paramètres!$A$1:$I$89,3,0)*VLOOKUP('Données projet'!$B$10,Paramètres!$A$1:$I$89,5,0)</f>
        <v>177.22079999999994</v>
      </c>
      <c r="AK49" s="13">
        <f t="shared" si="35"/>
        <v>44.703306523444198</v>
      </c>
      <c r="AL49" s="20">
        <f t="shared" si="4"/>
        <v>386.51781886166515</v>
      </c>
      <c r="AM49" s="59">
        <f t="shared" si="5"/>
        <v>679.85115219499846</v>
      </c>
      <c r="AN49" s="59">
        <f ca="1">AVERAGE(OFFSET($AM$3,0,0,'Données projet'!$E$10+1,1))-AVERAGE(OFFSET($H$3,0,0,'Données projet'!$E$10+1,1))</f>
        <v>340.4659523898373</v>
      </c>
      <c r="AO49" s="59">
        <f t="shared" si="36"/>
        <v>170.54530785680572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6.9983076923076917</v>
      </c>
      <c r="BD49" s="12">
        <f>IF('Données projet'!$A$88&gt;35,BD48+BC49-BL48,IF(A49&lt;'Données projet'!$A$88,$BA$205^A49,IF(A49='Données projet'!$A$88,'Données projet'!$B$88,BD48+BC49-BL48)))</f>
        <v>321.92215384615406</v>
      </c>
      <c r="BE49" s="13">
        <f>BD49*VLOOKUP('Données projet'!$B$11,Paramètres!$A$1:$I$89,3,0)*VLOOKUP('Données projet'!$B$11,Paramètres!$A$1:$I$89,5,0)</f>
        <v>154.8445560000001</v>
      </c>
      <c r="BF49" s="13">
        <f t="shared" si="37"/>
        <v>39.677483382741613</v>
      </c>
      <c r="BG49" s="20">
        <f t="shared" si="7"/>
        <v>338.79255192494179</v>
      </c>
      <c r="BH49" s="59">
        <f t="shared" si="8"/>
        <v>632.12588525827505</v>
      </c>
      <c r="BI49" s="59">
        <f ca="1">AVERAGE(OFFSET($BH$3,0,0,'Données projet'!$E$11+1,1))-AVERAGE(OFFSET($H$3,0,0,'Données projet'!$E$11+1,1))</f>
        <v>162.52375757962767</v>
      </c>
      <c r="BJ49" s="59">
        <f t="shared" si="38"/>
        <v>162.18047435246194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9.9423076923076934</v>
      </c>
      <c r="N50" s="13">
        <f>IF('Données projet'!$A$36&gt;35,N49+M50-V49,IF(A50&lt;'Données projet'!$A$36,$K$205^A50,IF(A50='Données projet'!$A$36,'Données projet'!$B$36,N49+M50-V49)))</f>
        <v>193.17307692307685</v>
      </c>
      <c r="O50" s="13">
        <f>N50*VLOOKUP('Données projet'!$B$9,Paramètres!$A$1:$I$89,3,0)*VLOOKUP('Données projet'!$B$9,Paramètres!$A$1:$I$89,5,0)</f>
        <v>174.78299999999993</v>
      </c>
      <c r="P50" s="13">
        <f t="shared" si="33"/>
        <v>44.159520456631583</v>
      </c>
      <c r="Q50" s="20">
        <f t="shared" si="53"/>
        <v>381.3248897952999</v>
      </c>
      <c r="R50" s="59">
        <f t="shared" si="0"/>
        <v>674.65822312863315</v>
      </c>
      <c r="S50" s="59">
        <f ca="1">AVERAGE(OFFSET($R$3,0,0,'Données projet'!$E$9+1,1))-AVERAGE(OFFSET($H$3,0,0,'Données projet'!$E$9+1,1))</f>
        <v>309.07357540707869</v>
      </c>
      <c r="T50" s="59">
        <f t="shared" si="34"/>
        <v>155.9593924683299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9.9423076923076934</v>
      </c>
      <c r="AI50" s="13">
        <f>IF('Données projet'!$A$62&gt;35,AI49+AH50-AQ49,IF(A50&lt;'Données projet'!$A$62,$AF$205^A50,IF(A50='Données projet'!$A$62,'Données projet'!$B$62,AI49+AH50-AQ49)))</f>
        <v>193.17307692307685</v>
      </c>
      <c r="AJ50" s="13">
        <f>AI50*VLOOKUP('Données projet'!$B$10,Paramètres!$A$1:$I$89,3,0)*VLOOKUP('Données projet'!$B$10,Paramètres!$A$1:$I$89,5,0)</f>
        <v>186.83699999999993</v>
      </c>
      <c r="AK50" s="13">
        <f t="shared" si="35"/>
        <v>46.8399766953521</v>
      </c>
      <c r="AL50" s="20">
        <f t="shared" si="4"/>
        <v>406.98740107773807</v>
      </c>
      <c r="AM50" s="59">
        <f t="shared" si="5"/>
        <v>700.32073441107138</v>
      </c>
      <c r="AN50" s="59">
        <f ca="1">AVERAGE(OFFSET($AM$3,0,0,'Données projet'!$E$10+1,1))-AVERAGE(OFFSET($H$3,0,0,'Données projet'!$E$10+1,1))</f>
        <v>340.4659523898373</v>
      </c>
      <c r="AO50" s="59">
        <f t="shared" si="36"/>
        <v>170.54530785680572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6.9983076923076917</v>
      </c>
      <c r="BD50" s="12">
        <f>IF('Données projet'!$A$88&gt;35,BD49+BC50-BL49,IF(A50&lt;'Données projet'!$A$88,$BA$205^A50,IF(A50='Données projet'!$A$88,'Données projet'!$B$88,BD49+BC50-BL49)))</f>
        <v>328.92046153846178</v>
      </c>
      <c r="BE50" s="13">
        <f>BD50*VLOOKUP('Données projet'!$B$11,Paramètres!$A$1:$I$89,3,0)*VLOOKUP('Données projet'!$B$11,Paramètres!$A$1:$I$89,5,0)</f>
        <v>158.21074200000012</v>
      </c>
      <c r="BF50" s="13">
        <f t="shared" si="37"/>
        <v>40.438679508857838</v>
      </c>
      <c r="BG50" s="20">
        <f t="shared" si="7"/>
        <v>345.98107579459423</v>
      </c>
      <c r="BH50" s="59">
        <f t="shared" si="8"/>
        <v>639.31440912792755</v>
      </c>
      <c r="BI50" s="59">
        <f ca="1">AVERAGE(OFFSET($BH$3,0,0,'Données projet'!$E$11+1,1))-AVERAGE(OFFSET($H$3,0,0,'Données projet'!$E$11+1,1))</f>
        <v>162.52375757962767</v>
      </c>
      <c r="BJ50" s="59">
        <f t="shared" si="38"/>
        <v>162.18047435246194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9.9423076923076934</v>
      </c>
      <c r="N51" s="13">
        <f>IF('Données projet'!$A$36&gt;35,N50+M51-V50,IF(A51&lt;'Données projet'!$A$36,$K$205^A51,IF(A51='Données projet'!$A$36,'Données projet'!$B$36,N50+M51-V50)))</f>
        <v>203.11538461538453</v>
      </c>
      <c r="O51" s="13">
        <f>N51*VLOOKUP('Données projet'!$B$9,Paramètres!$A$1:$I$89,3,0)*VLOOKUP('Données projet'!$B$9,Paramètres!$A$1:$I$89,5,0)</f>
        <v>183.7787999999999</v>
      </c>
      <c r="P51" s="13">
        <f t="shared" si="33"/>
        <v>46.161880289388137</v>
      </c>
      <c r="Q51" s="20">
        <f t="shared" si="53"/>
        <v>400.48001817068416</v>
      </c>
      <c r="R51" s="59">
        <f t="shared" si="0"/>
        <v>693.81335150401742</v>
      </c>
      <c r="S51" s="59">
        <f ca="1">AVERAGE(OFFSET($R$3,0,0,'Données projet'!$E$9+1,1))-AVERAGE(OFFSET($H$3,0,0,'Données projet'!$E$9+1,1))</f>
        <v>309.07357540707869</v>
      </c>
      <c r="T51" s="59">
        <f t="shared" si="34"/>
        <v>155.9593924683299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9.9423076923076934</v>
      </c>
      <c r="AI51" s="13">
        <f>IF('Données projet'!$A$62&gt;35,AI50+AH51-AQ50,IF(A51&lt;'Données projet'!$A$62,$AF$205^A51,IF(A51='Données projet'!$A$62,'Données projet'!$B$62,AI50+AH51-AQ50)))</f>
        <v>203.11538461538453</v>
      </c>
      <c r="AJ51" s="13">
        <f>AI51*VLOOKUP('Données projet'!$B$10,Paramètres!$A$1:$I$89,3,0)*VLOOKUP('Données projet'!$B$10,Paramètres!$A$1:$I$89,5,0)</f>
        <v>196.45319999999992</v>
      </c>
      <c r="AK51" s="13">
        <f t="shared" si="35"/>
        <v>48.963878561409146</v>
      </c>
      <c r="AL51" s="20">
        <f t="shared" si="4"/>
        <v>427.43474516112082</v>
      </c>
      <c r="AM51" s="59">
        <f t="shared" si="5"/>
        <v>720.76807849445413</v>
      </c>
      <c r="AN51" s="59">
        <f ca="1">AVERAGE(OFFSET($AM$3,0,0,'Données projet'!$E$10+1,1))-AVERAGE(OFFSET($H$3,0,0,'Données projet'!$E$10+1,1))</f>
        <v>340.4659523898373</v>
      </c>
      <c r="AO51" s="59">
        <f t="shared" si="36"/>
        <v>170.54530785680572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6.9983076923076917</v>
      </c>
      <c r="BD51" s="12">
        <f>IF('Données projet'!$A$88&gt;35,BD50+BC51-BL50,IF(A51&lt;'Données projet'!$A$88,$BA$205^A51,IF(A51='Données projet'!$A$88,'Données projet'!$B$88,BD50+BC51-BL50)))</f>
        <v>335.9187692307695</v>
      </c>
      <c r="BE51" s="13">
        <f>BD51*VLOOKUP('Données projet'!$B$11,Paramètres!$A$1:$I$89,3,0)*VLOOKUP('Données projet'!$B$11,Paramètres!$A$1:$I$89,5,0)</f>
        <v>161.57692800000012</v>
      </c>
      <c r="BF51" s="13">
        <f t="shared" si="37"/>
        <v>41.197992642200973</v>
      </c>
      <c r="BG51" s="20">
        <f t="shared" si="7"/>
        <v>353.16632011850021</v>
      </c>
      <c r="BH51" s="59">
        <f t="shared" si="8"/>
        <v>646.49965345183352</v>
      </c>
      <c r="BI51" s="59">
        <f ca="1">AVERAGE(OFFSET($BH$3,0,0,'Données projet'!$E$11+1,1))-AVERAGE(OFFSET($H$3,0,0,'Données projet'!$E$11+1,1))</f>
        <v>162.52375757962767</v>
      </c>
      <c r="BJ51" s="59">
        <f t="shared" si="38"/>
        <v>162.18047435246194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9.9423076923076934</v>
      </c>
      <c r="N52" s="13">
        <f>IF('Données projet'!$A$36&gt;35,N51+M52-V51,IF(A52&lt;'Données projet'!$A$36,$K$205^A52,IF(A52='Données projet'!$A$36,'Données projet'!$B$36,N51+M52-V51)))</f>
        <v>213.05769230769221</v>
      </c>
      <c r="O52" s="13">
        <f>N52*VLOOKUP('Données projet'!$B$9,Paramètres!$A$1:$I$89,3,0)*VLOOKUP('Données projet'!$B$9,Paramètres!$A$1:$I$89,5,0)</f>
        <v>192.77459999999991</v>
      </c>
      <c r="P52" s="13">
        <f t="shared" si="33"/>
        <v>48.152858976416411</v>
      </c>
      <c r="Q52" s="20">
        <f t="shared" si="53"/>
        <v>419.6153243839251</v>
      </c>
      <c r="R52" s="59">
        <f t="shared" si="0"/>
        <v>712.94865771725836</v>
      </c>
      <c r="S52" s="59">
        <f ca="1">AVERAGE(OFFSET($R$3,0,0,'Données projet'!$E$9+1,1))-AVERAGE(OFFSET($H$3,0,0,'Données projet'!$E$9+1,1))</f>
        <v>309.07357540707869</v>
      </c>
      <c r="T52" s="59">
        <f t="shared" si="34"/>
        <v>155.9593924683299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9.9423076923076934</v>
      </c>
      <c r="AI52" s="13">
        <f>IF('Données projet'!$A$62&gt;35,AI51+AH52-AQ51,IF(A52&lt;'Données projet'!$A$62,$AF$205^A52,IF(A52='Données projet'!$A$62,'Données projet'!$B$62,AI51+AH52-AQ51)))</f>
        <v>213.05769230769221</v>
      </c>
      <c r="AJ52" s="13">
        <f>AI52*VLOOKUP('Données projet'!$B$10,Paramètres!$A$1:$I$89,3,0)*VLOOKUP('Données projet'!$B$10,Paramètres!$A$1:$I$89,5,0)</f>
        <v>206.06939999999992</v>
      </c>
      <c r="AK52" s="13">
        <f t="shared" si="35"/>
        <v>51.075708453061566</v>
      </c>
      <c r="AL52" s="20">
        <f t="shared" si="4"/>
        <v>447.86106388908206</v>
      </c>
      <c r="AM52" s="59">
        <f t="shared" si="5"/>
        <v>741.19439722241532</v>
      </c>
      <c r="AN52" s="59">
        <f ca="1">AVERAGE(OFFSET($AM$3,0,0,'Données projet'!$E$10+1,1))-AVERAGE(OFFSET($H$3,0,0,'Données projet'!$E$10+1,1))</f>
        <v>340.4659523898373</v>
      </c>
      <c r="AO52" s="59">
        <f t="shared" si="36"/>
        <v>170.54530785680572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6.9983076923076917</v>
      </c>
      <c r="BD52" s="12">
        <f>IF('Données projet'!$A$88&gt;35,BD51+BC52-BL51,IF(A52&lt;'Données projet'!$A$88,$BA$205^A52,IF(A52='Données projet'!$A$88,'Données projet'!$B$88,BD51+BC52-BL51)))</f>
        <v>342.91707692307722</v>
      </c>
      <c r="BE52" s="13">
        <f>BD52*VLOOKUP('Données projet'!$B$11,Paramètres!$A$1:$I$89,3,0)*VLOOKUP('Données projet'!$B$11,Paramètres!$A$1:$I$89,5,0)</f>
        <v>164.94311400000015</v>
      </c>
      <c r="BF52" s="13">
        <f t="shared" si="37"/>
        <v>41.9554665313754</v>
      </c>
      <c r="BG52" s="20">
        <f t="shared" si="7"/>
        <v>360.34836109214575</v>
      </c>
      <c r="BH52" s="59">
        <f t="shared" si="8"/>
        <v>653.68169442547901</v>
      </c>
      <c r="BI52" s="59">
        <f ca="1">AVERAGE(OFFSET($BH$3,0,0,'Données projet'!$E$11+1,1))-AVERAGE(OFFSET($H$3,0,0,'Données projet'!$E$11+1,1))</f>
        <v>162.52375757962767</v>
      </c>
      <c r="BJ52" s="59">
        <f t="shared" si="38"/>
        <v>162.18047435246194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223</v>
      </c>
      <c r="L53" s="12">
        <f>VLOOKUP(A53,'Données projet'!$A$35:$I$55,9,0)</f>
        <v>9.9423076923076934</v>
      </c>
      <c r="M53" s="12">
        <f t="array" ref="M53">INDEX(L:L,MIN(IF(ISNUMBER(L53:L249),ROW(L53:L249),"")))</f>
        <v>9.9423076923076934</v>
      </c>
      <c r="N53" s="13">
        <f>IF('Données projet'!$A$36&gt;35,N52+M53-V52,IF(A53&lt;'Données projet'!$A$36,$K$205^A53,IF(A53='Données projet'!$A$36,'Données projet'!$B$36,N52+M53-V52)))</f>
        <v>222.99999999999989</v>
      </c>
      <c r="O53" s="13">
        <f>N53*VLOOKUP('Données projet'!$B$9,Paramètres!$A$1:$I$89,3,0)*VLOOKUP('Données projet'!$B$9,Paramètres!$A$1:$I$89,5,0)</f>
        <v>201.77039999999988</v>
      </c>
      <c r="P53" s="13">
        <f t="shared" si="33"/>
        <v>50.133048269036053</v>
      </c>
      <c r="Q53" s="20">
        <f t="shared" si="53"/>
        <v>438.73183906857093</v>
      </c>
      <c r="R53" s="59">
        <f t="shared" si="0"/>
        <v>732.06517240190419</v>
      </c>
      <c r="S53" s="59">
        <f ca="1">AVERAGE(OFFSET($R$3,0,0,'Données projet'!$E$9+1,1))-AVERAGE(OFFSET($H$3,0,0,'Données projet'!$E$9+1,1))</f>
        <v>309.07357540707869</v>
      </c>
      <c r="T53" s="59">
        <f t="shared" si="34"/>
        <v>155.9593924683299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52.282051282051285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223</v>
      </c>
      <c r="AG53" s="12">
        <f>VLOOKUP(A53,'Données projet'!$A$61:$I$81,9,0)</f>
        <v>9.9423076923076934</v>
      </c>
      <c r="AH53" s="12">
        <f t="array" ref="AH53">INDEX(AG:AG,MIN(IF(ISNUMBER(AG53:AG249),ROW(AG53:AG249),"")))</f>
        <v>9.9423076923076934</v>
      </c>
      <c r="AI53" s="13">
        <f>IF('Données projet'!$A$62&gt;35,AI52+AH53-AQ52,IF(A53&lt;'Données projet'!$A$62,$AF$205^A53,IF(A53='Données projet'!$A$62,'Données projet'!$B$62,AI52+AH53-AQ52)))</f>
        <v>222.99999999999989</v>
      </c>
      <c r="AJ53" s="13">
        <f>AI53*VLOOKUP('Données projet'!$B$10,Paramètres!$A$1:$I$89,3,0)*VLOOKUP('Données projet'!$B$10,Paramètres!$A$1:$I$89,5,0)</f>
        <v>215.68559999999991</v>
      </c>
      <c r="AK53" s="13">
        <f t="shared" si="35"/>
        <v>53.176094040576679</v>
      </c>
      <c r="AL53" s="20">
        <f t="shared" si="4"/>
        <v>468.26745045400418</v>
      </c>
      <c r="AM53" s="59">
        <f t="shared" si="5"/>
        <v>761.60078378733749</v>
      </c>
      <c r="AN53" s="59">
        <f ca="1">AVERAGE(OFFSET($AM$3,0,0,'Données projet'!$E$10+1,1))-AVERAGE(OFFSET($H$3,0,0,'Données projet'!$E$10+1,1))</f>
        <v>340.4659523898373</v>
      </c>
      <c r="AO53" s="59">
        <f t="shared" si="36"/>
        <v>170.54530785680572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52.282051282051285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349.9153846153846</v>
      </c>
      <c r="BB53" s="12">
        <f>VLOOKUP(A53,'Données projet'!$A$87:$I$107,9,0)</f>
        <v>6.9983076923076917</v>
      </c>
      <c r="BC53" s="12">
        <f t="array" ref="BC53">INDEX(BB:BB,MIN(IF(ISNUMBER(BB53:BB249),ROW(BB53:BB249),"")))</f>
        <v>6.9983076923076917</v>
      </c>
      <c r="BD53" s="12">
        <f>IF('Données projet'!$A$88&gt;35,BD52+BC53-BL52,IF(A53&lt;'Données projet'!$A$88,$BA$205^A53,IF(A53='Données projet'!$A$88,'Données projet'!$B$88,BD52+BC53-BL52)))</f>
        <v>349.91538461538494</v>
      </c>
      <c r="BE53" s="13">
        <f>BD53*VLOOKUP('Données projet'!$B$11,Paramètres!$A$1:$I$89,3,0)*VLOOKUP('Données projet'!$B$11,Paramètres!$A$1:$I$89,5,0)</f>
        <v>168.30930000000018</v>
      </c>
      <c r="BF53" s="13">
        <f t="shared" si="37"/>
        <v>42.711143037252207</v>
      </c>
      <c r="BG53" s="20">
        <f t="shared" si="7"/>
        <v>367.52727162321457</v>
      </c>
      <c r="BH53" s="59">
        <f t="shared" si="8"/>
        <v>660.86060495654783</v>
      </c>
      <c r="BI53" s="59">
        <f ca="1">AVERAGE(OFFSET($BH$3,0,0,'Données projet'!$E$11+1,1))-AVERAGE(OFFSET($H$3,0,0,'Données projet'!$E$11+1,1))</f>
        <v>162.52375757962767</v>
      </c>
      <c r="BJ53" s="59">
        <f t="shared" si="38"/>
        <v>162.18047435246194</v>
      </c>
      <c r="BK53" s="15">
        <f>IF(ISNA(VLOOKUP(A53,'Données projet'!$A$87:$I$107,3,0)),0,VLOOKUP(A53,'Données projet'!$A$87:$I$107,3,0))</f>
        <v>1</v>
      </c>
      <c r="BL53" s="15">
        <f>IF(ISNA(VLOOKUP(A53,'Données projet'!$A$87:$I$107,4,0)),0,VLOOKUP(A53,'Données projet'!$A$87:$I$107,4,0))</f>
        <v>104.55384615384614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9.6586538461538431</v>
      </c>
      <c r="N54" s="13">
        <f>IF('Données projet'!$A$36&gt;35,N53+M54-V53,IF(A54&lt;'Données projet'!$A$36,$K$205^A54,IF(A54='Données projet'!$A$36,'Données projet'!$B$36,N53+M54-V53)))</f>
        <v>180.37660256410243</v>
      </c>
      <c r="O54" s="13">
        <f>N54*VLOOKUP('Données projet'!$B$9,Paramètres!$A$1:$I$89,3,0)*VLOOKUP('Données projet'!$B$9,Paramètres!$A$1:$I$89,5,0)</f>
        <v>163.20474999999988</v>
      </c>
      <c r="P54" s="13">
        <f t="shared" si="33"/>
        <v>41.564519294689731</v>
      </c>
      <c r="Q54" s="20">
        <f t="shared" si="53"/>
        <v>356.63981068825109</v>
      </c>
      <c r="R54" s="59">
        <f t="shared" si="0"/>
        <v>649.9731440215844</v>
      </c>
      <c r="S54" s="59">
        <f ca="1">AVERAGE(OFFSET($R$3,0,0,'Données projet'!$E$9+1,1))-AVERAGE(OFFSET($H$3,0,0,'Données projet'!$E$9+1,1))</f>
        <v>309.07357540707869</v>
      </c>
      <c r="T54" s="59">
        <f t="shared" si="34"/>
        <v>155.9593924683299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9.6586538461538431</v>
      </c>
      <c r="AI54" s="13">
        <f>IF('Données projet'!$A$62&gt;35,AI53+AH54-AQ53,IF(A54&lt;'Données projet'!$A$62,$AF$205^A54,IF(A54='Données projet'!$A$62,'Données projet'!$B$62,AI53+AH54-AQ53)))</f>
        <v>180.37660256410243</v>
      </c>
      <c r="AJ54" s="13">
        <f>AI54*VLOOKUP('Données projet'!$B$10,Paramètres!$A$1:$I$89,3,0)*VLOOKUP('Données projet'!$B$10,Paramètres!$A$1:$I$89,5,0)</f>
        <v>174.46024999999986</v>
      </c>
      <c r="AK54" s="13">
        <f t="shared" si="35"/>
        <v>44.087460529123796</v>
      </c>
      <c r="AL54" s="20">
        <f t="shared" si="4"/>
        <v>380.63726250489032</v>
      </c>
      <c r="AM54" s="59">
        <f t="shared" si="5"/>
        <v>673.97059583822363</v>
      </c>
      <c r="AN54" s="59">
        <f ca="1">AVERAGE(OFFSET($AM$3,0,0,'Données projet'!$E$10+1,1))-AVERAGE(OFFSET($H$3,0,0,'Données projet'!$E$10+1,1))</f>
        <v>340.4659523898373</v>
      </c>
      <c r="AO54" s="59">
        <f t="shared" si="36"/>
        <v>170.54530785680572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15.727692307692305</v>
      </c>
      <c r="BD54" s="12">
        <f>IF('Données projet'!$A$88&gt;35,BD53+BC54-BL53,IF(A54&lt;'Données projet'!$A$88,$BA$205^A54,IF(A54='Données projet'!$A$88,'Données projet'!$B$88,BD53+BC54-BL53)))</f>
        <v>261.08923076923111</v>
      </c>
      <c r="BE54" s="13">
        <f>BD54*VLOOKUP('Données projet'!$B$11,Paramètres!$A$1:$I$89,3,0)*VLOOKUP('Données projet'!$B$11,Paramètres!$A$1:$I$89,5,0)</f>
        <v>125.58392000000016</v>
      </c>
      <c r="BF54" s="13">
        <f t="shared" si="37"/>
        <v>32.973889503371076</v>
      </c>
      <c r="BG54" s="20">
        <f t="shared" si="7"/>
        <v>276.15485155170489</v>
      </c>
      <c r="BH54" s="59">
        <f t="shared" si="8"/>
        <v>569.48818488503821</v>
      </c>
      <c r="BI54" s="59">
        <f ca="1">AVERAGE(OFFSET($BH$3,0,0,'Données projet'!$E$11+1,1))-AVERAGE(OFFSET($H$3,0,0,'Données projet'!$E$11+1,1))</f>
        <v>162.52375757962767</v>
      </c>
      <c r="BJ54" s="59">
        <f t="shared" si="38"/>
        <v>162.18047435246194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9.6586538461538431</v>
      </c>
      <c r="N55" s="13">
        <f>IF('Données projet'!$A$36&gt;35,N54+M55-V54,IF(A55&lt;'Données projet'!$A$36,$K$205^A55,IF(A55='Données projet'!$A$36,'Données projet'!$B$36,N54+M55-V54)))</f>
        <v>190.03525641025627</v>
      </c>
      <c r="O55" s="13">
        <f>N55*VLOOKUP('Données projet'!$B$9,Paramètres!$A$1:$I$89,3,0)*VLOOKUP('Données projet'!$B$9,Paramètres!$A$1:$I$89,5,0)</f>
        <v>171.94389999999987</v>
      </c>
      <c r="P55" s="13">
        <f t="shared" si="33"/>
        <v>43.525104007742414</v>
      </c>
      <c r="Q55" s="20">
        <f t="shared" si="53"/>
        <v>375.2751819801511</v>
      </c>
      <c r="R55" s="59">
        <f t="shared" si="0"/>
        <v>668.60851531348442</v>
      </c>
      <c r="S55" s="59">
        <f ca="1">AVERAGE(OFFSET($R$3,0,0,'Données projet'!$E$9+1,1))-AVERAGE(OFFSET($H$3,0,0,'Données projet'!$E$9+1,1))</f>
        <v>309.07357540707869</v>
      </c>
      <c r="T55" s="59">
        <f t="shared" si="34"/>
        <v>155.9593924683299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9.6586538461538431</v>
      </c>
      <c r="AI55" s="13">
        <f>IF('Données projet'!$A$62&gt;35,AI54+AH55-AQ54,IF(A55&lt;'Données projet'!$A$62,$AF$205^A55,IF(A55='Données projet'!$A$62,'Données projet'!$B$62,AI54+AH55-AQ54)))</f>
        <v>190.03525641025627</v>
      </c>
      <c r="AJ55" s="13">
        <f>AI55*VLOOKUP('Données projet'!$B$10,Paramètres!$A$1:$I$89,3,0)*VLOOKUP('Données projet'!$B$10,Paramètres!$A$1:$I$89,5,0)</f>
        <v>183.80209999999988</v>
      </c>
      <c r="AK55" s="13">
        <f t="shared" si="35"/>
        <v>46.167051550924853</v>
      </c>
      <c r="AL55" s="20">
        <f t="shared" si="4"/>
        <v>400.52960561786057</v>
      </c>
      <c r="AM55" s="59">
        <f t="shared" si="5"/>
        <v>693.86293895119388</v>
      </c>
      <c r="AN55" s="59">
        <f ca="1">AVERAGE(OFFSET($AM$3,0,0,'Données projet'!$E$10+1,1))-AVERAGE(OFFSET($H$3,0,0,'Données projet'!$E$10+1,1))</f>
        <v>340.4659523898373</v>
      </c>
      <c r="AO55" s="59">
        <f t="shared" si="36"/>
        <v>170.54530785680572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15.727692307692305</v>
      </c>
      <c r="BD55" s="12">
        <f>IF('Données projet'!$A$88&gt;35,BD54+BC55-BL54,IF(A55&lt;'Données projet'!$A$88,$BA$205^A55,IF(A55='Données projet'!$A$88,'Données projet'!$B$88,BD54+BC55-BL54)))</f>
        <v>276.81692307692339</v>
      </c>
      <c r="BE55" s="13">
        <f>BD55*VLOOKUP('Données projet'!$B$11,Paramètres!$A$1:$I$89,3,0)*VLOOKUP('Données projet'!$B$11,Paramètres!$A$1:$I$89,5,0)</f>
        <v>133.14894000000015</v>
      </c>
      <c r="BF55" s="13">
        <f t="shared" si="37"/>
        <v>34.722970263352643</v>
      </c>
      <c r="BG55" s="20">
        <f t="shared" si="7"/>
        <v>292.37691037533943</v>
      </c>
      <c r="BH55" s="59">
        <f t="shared" si="8"/>
        <v>585.71024370867281</v>
      </c>
      <c r="BI55" s="59">
        <f ca="1">AVERAGE(OFFSET($BH$3,0,0,'Données projet'!$E$11+1,1))-AVERAGE(OFFSET($H$3,0,0,'Données projet'!$E$11+1,1))</f>
        <v>162.52375757962767</v>
      </c>
      <c r="BJ55" s="59">
        <f t="shared" si="38"/>
        <v>162.18047435246194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9.6586538461538431</v>
      </c>
      <c r="N56" s="13">
        <f>IF('Données projet'!$A$36&gt;35,N55+M56-V55,IF(A56&lt;'Données projet'!$A$36,$K$205^A56,IF(A56='Données projet'!$A$36,'Données projet'!$B$36,N55+M56-V55)))</f>
        <v>199.69391025641011</v>
      </c>
      <c r="O56" s="13">
        <f>N56*VLOOKUP('Données projet'!$B$9,Paramètres!$A$1:$I$89,3,0)*VLOOKUP('Données projet'!$B$9,Paramètres!$A$1:$I$89,5,0)</f>
        <v>180.68304999999987</v>
      </c>
      <c r="P56" s="13">
        <f t="shared" si="33"/>
        <v>45.474118692283398</v>
      </c>
      <c r="Q56" s="20">
        <f t="shared" si="53"/>
        <v>393.89040213906009</v>
      </c>
      <c r="R56" s="59">
        <f t="shared" si="0"/>
        <v>687.2237354723934</v>
      </c>
      <c r="S56" s="59">
        <f ca="1">AVERAGE(OFFSET($R$3,0,0,'Données projet'!$E$9+1,1))-AVERAGE(OFFSET($H$3,0,0,'Données projet'!$E$9+1,1))</f>
        <v>309.07357540707869</v>
      </c>
      <c r="T56" s="59">
        <f t="shared" si="34"/>
        <v>155.9593924683299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9.6586538461538431</v>
      </c>
      <c r="AI56" s="13">
        <f>IF('Données projet'!$A$62&gt;35,AI55+AH56-AQ55,IF(A56&lt;'Données projet'!$A$62,$AF$205^A56,IF(A56='Données projet'!$A$62,'Données projet'!$B$62,AI55+AH56-AQ55)))</f>
        <v>199.69391025641011</v>
      </c>
      <c r="AJ56" s="13">
        <f>AI56*VLOOKUP('Données projet'!$B$10,Paramètres!$A$1:$I$89,3,0)*VLOOKUP('Données projet'!$B$10,Paramètres!$A$1:$I$89,5,0)</f>
        <v>193.14394999999988</v>
      </c>
      <c r="AK56" s="13">
        <f t="shared" si="35"/>
        <v>48.234370250466817</v>
      </c>
      <c r="AL56" s="20">
        <f t="shared" si="4"/>
        <v>420.40057443622942</v>
      </c>
      <c r="AM56" s="59">
        <f t="shared" si="5"/>
        <v>713.73390776956273</v>
      </c>
      <c r="AN56" s="59">
        <f ca="1">AVERAGE(OFFSET($AM$3,0,0,'Données projet'!$E$10+1,1))-AVERAGE(OFFSET($H$3,0,0,'Données projet'!$E$10+1,1))</f>
        <v>340.4659523898373</v>
      </c>
      <c r="AO56" s="59">
        <f t="shared" si="36"/>
        <v>170.54530785680572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15.727692307692305</v>
      </c>
      <c r="BD56" s="12">
        <f>IF('Données projet'!$A$88&gt;35,BD55+BC56-BL55,IF(A56&lt;'Données projet'!$A$88,$BA$205^A56,IF(A56='Données projet'!$A$88,'Données projet'!$B$88,BD55+BC56-BL55)))</f>
        <v>292.54461538461567</v>
      </c>
      <c r="BE56" s="13">
        <f>BD56*VLOOKUP('Données projet'!$B$11,Paramètres!$A$1:$I$89,3,0)*VLOOKUP('Données projet'!$B$11,Paramètres!$A$1:$I$89,5,0)</f>
        <v>140.71396000000013</v>
      </c>
      <c r="BF56" s="13">
        <f t="shared" si="37"/>
        <v>36.460515252502923</v>
      </c>
      <c r="BG56" s="20">
        <f t="shared" si="7"/>
        <v>308.57887773144279</v>
      </c>
      <c r="BH56" s="59">
        <f t="shared" si="8"/>
        <v>601.9122110647761</v>
      </c>
      <c r="BI56" s="59">
        <f ca="1">AVERAGE(OFFSET($BH$3,0,0,'Données projet'!$E$11+1,1))-AVERAGE(OFFSET($H$3,0,0,'Données projet'!$E$11+1,1))</f>
        <v>162.52375757962767</v>
      </c>
      <c r="BJ56" s="59">
        <f t="shared" si="38"/>
        <v>162.18047435246194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9.6586538461538431</v>
      </c>
      <c r="N57" s="13">
        <f>IF('Données projet'!$A$36&gt;35,N56+M57-V56,IF(A57&lt;'Données projet'!$A$36,$K$205^A57,IF(A57='Données projet'!$A$36,'Données projet'!$B$36,N56+M57-V56)))</f>
        <v>209.35256410256395</v>
      </c>
      <c r="O57" s="13">
        <f>N57*VLOOKUP('Données projet'!$B$9,Paramètres!$A$1:$I$89,3,0)*VLOOKUP('Données projet'!$B$9,Paramètres!$A$1:$I$89,5,0)</f>
        <v>189.42219999999983</v>
      </c>
      <c r="P57" s="13">
        <f t="shared" si="33"/>
        <v>47.412186840122445</v>
      </c>
      <c r="Q57" s="20">
        <f t="shared" si="53"/>
        <v>412.48655707987967</v>
      </c>
      <c r="R57" s="59">
        <f t="shared" si="0"/>
        <v>705.81989041321299</v>
      </c>
      <c r="S57" s="59">
        <f ca="1">AVERAGE(OFFSET($R$3,0,0,'Données projet'!$E$9+1,1))-AVERAGE(OFFSET($H$3,0,0,'Données projet'!$E$9+1,1))</f>
        <v>309.07357540707869</v>
      </c>
      <c r="T57" s="59">
        <f t="shared" si="34"/>
        <v>155.9593924683299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9.6586538461538431</v>
      </c>
      <c r="AI57" s="13">
        <f>IF('Données projet'!$A$62&gt;35,AI56+AH57-AQ56,IF(A57&lt;'Données projet'!$A$62,$AF$205^A57,IF(A57='Données projet'!$A$62,'Données projet'!$B$62,AI56+AH57-AQ56)))</f>
        <v>209.35256410256395</v>
      </c>
      <c r="AJ57" s="13">
        <f>AI57*VLOOKUP('Données projet'!$B$10,Paramètres!$A$1:$I$89,3,0)*VLOOKUP('Données projet'!$B$10,Paramètres!$A$1:$I$89,5,0)</f>
        <v>202.48579999999984</v>
      </c>
      <c r="AK57" s="13">
        <f t="shared" si="35"/>
        <v>50.290077965135829</v>
      </c>
      <c r="AL57" s="20">
        <f t="shared" si="4"/>
        <v>440.25132078927794</v>
      </c>
      <c r="AM57" s="59">
        <f t="shared" si="5"/>
        <v>733.58465412261125</v>
      </c>
      <c r="AN57" s="59">
        <f ca="1">AVERAGE(OFFSET($AM$3,0,0,'Données projet'!$E$10+1,1))-AVERAGE(OFFSET($H$3,0,0,'Données projet'!$E$10+1,1))</f>
        <v>340.4659523898373</v>
      </c>
      <c r="AO57" s="59">
        <f t="shared" si="36"/>
        <v>170.54530785680572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15.727692307692305</v>
      </c>
      <c r="BD57" s="12">
        <f>IF('Données projet'!$A$88&gt;35,BD56+BC57-BL56,IF(A57&lt;'Données projet'!$A$88,$BA$205^A57,IF(A57='Données projet'!$A$88,'Données projet'!$B$88,BD56+BC57-BL56)))</f>
        <v>308.27230769230795</v>
      </c>
      <c r="BE57" s="13">
        <f>BD57*VLOOKUP('Données projet'!$B$11,Paramètres!$A$1:$I$89,3,0)*VLOOKUP('Données projet'!$B$11,Paramètres!$A$1:$I$89,5,0)</f>
        <v>148.27898000000013</v>
      </c>
      <c r="BF57" s="13">
        <f t="shared" si="37"/>
        <v>38.18721536370554</v>
      </c>
      <c r="BG57" s="20">
        <f t="shared" si="7"/>
        <v>324.76195692512073</v>
      </c>
      <c r="BH57" s="59">
        <f t="shared" si="8"/>
        <v>618.09529025845404</v>
      </c>
      <c r="BI57" s="59">
        <f ca="1">AVERAGE(OFFSET($BH$3,0,0,'Données projet'!$E$11+1,1))-AVERAGE(OFFSET($H$3,0,0,'Données projet'!$E$11+1,1))</f>
        <v>162.52375757962767</v>
      </c>
      <c r="BJ57" s="59">
        <f t="shared" si="38"/>
        <v>162.18047435246194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9.6586538461538431</v>
      </c>
      <c r="N58" s="13">
        <f>IF('Données projet'!$A$36&gt;35,N57+M58-V57,IF(A58&lt;'Données projet'!$A$36,$K$205^A58,IF(A58='Données projet'!$A$36,'Données projet'!$B$36,N57+M58-V57)))</f>
        <v>219.01121794871779</v>
      </c>
      <c r="O58" s="13">
        <f>N58*VLOOKUP('Données projet'!$B$9,Paramètres!$A$1:$I$89,3,0)*VLOOKUP('Données projet'!$B$9,Paramètres!$A$1:$I$89,5,0)</f>
        <v>198.16134999999983</v>
      </c>
      <c r="P58" s="13">
        <f t="shared" si="33"/>
        <v>49.339871160864917</v>
      </c>
      <c r="Q58" s="20">
        <f t="shared" si="53"/>
        <v>431.06462685517272</v>
      </c>
      <c r="R58" s="59">
        <f t="shared" si="0"/>
        <v>724.39796018850598</v>
      </c>
      <c r="S58" s="59">
        <f ca="1">AVERAGE(OFFSET($R$3,0,0,'Données projet'!$E$9+1,1))-AVERAGE(OFFSET($H$3,0,0,'Données projet'!$E$9+1,1))</f>
        <v>309.07357540707869</v>
      </c>
      <c r="T58" s="59">
        <f t="shared" si="34"/>
        <v>155.9593924683299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9.6586538461538431</v>
      </c>
      <c r="AI58" s="13">
        <f>IF('Données projet'!$A$62&gt;35,AI57+AH58-AQ57,IF(A58&lt;'Données projet'!$A$62,$AF$205^A58,IF(A58='Données projet'!$A$62,'Données projet'!$B$62,AI57+AH58-AQ57)))</f>
        <v>219.01121794871779</v>
      </c>
      <c r="AJ58" s="13">
        <f>AI58*VLOOKUP('Données projet'!$B$10,Paramètres!$A$1:$I$89,3,0)*VLOOKUP('Données projet'!$B$10,Paramètres!$A$1:$I$89,5,0)</f>
        <v>211.82764999999984</v>
      </c>
      <c r="AK58" s="13">
        <f t="shared" si="35"/>
        <v>52.334771560670951</v>
      </c>
      <c r="AL58" s="20">
        <f t="shared" si="4"/>
        <v>460.08288421816832</v>
      </c>
      <c r="AM58" s="59">
        <f t="shared" si="5"/>
        <v>753.41621755150163</v>
      </c>
      <c r="AN58" s="59">
        <f ca="1">AVERAGE(OFFSET($AM$3,0,0,'Données projet'!$E$10+1,1))-AVERAGE(OFFSET($H$3,0,0,'Données projet'!$E$10+1,1))</f>
        <v>340.4659523898373</v>
      </c>
      <c r="AO58" s="59">
        <f t="shared" si="36"/>
        <v>170.54530785680572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15.727692307692305</v>
      </c>
      <c r="BD58" s="12">
        <f>IF('Données projet'!$A$88&gt;35,BD57+BC58-BL57,IF(A58&lt;'Données projet'!$A$88,$BA$205^A58,IF(A58='Données projet'!$A$88,'Données projet'!$B$88,BD57+BC58-BL57)))</f>
        <v>324.00000000000023</v>
      </c>
      <c r="BE58" s="13">
        <f>BD58*VLOOKUP('Données projet'!$B$11,Paramètres!$A$1:$I$89,3,0)*VLOOKUP('Données projet'!$B$11,Paramètres!$A$1:$I$89,5,0)</f>
        <v>155.84400000000011</v>
      </c>
      <c r="BF58" s="13">
        <f t="shared" si="37"/>
        <v>39.903687010744257</v>
      </c>
      <c r="BG58" s="20">
        <f t="shared" si="7"/>
        <v>340.92722154371307</v>
      </c>
      <c r="BH58" s="59">
        <f t="shared" si="8"/>
        <v>634.26055487704639</v>
      </c>
      <c r="BI58" s="59">
        <f ca="1">AVERAGE(OFFSET($BH$3,0,0,'Données projet'!$E$11+1,1))-AVERAGE(OFFSET($H$3,0,0,'Données projet'!$E$11+1,1))</f>
        <v>162.52375757962767</v>
      </c>
      <c r="BJ58" s="59">
        <f t="shared" si="38"/>
        <v>162.18047435246194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9.6586538461538431</v>
      </c>
      <c r="N59" s="13">
        <f>IF('Données projet'!$A$36&gt;35,N58+M59-V58,IF(A59&lt;'Données projet'!$A$36,$K$205^A59,IF(A59='Données projet'!$A$36,'Données projet'!$B$36,N58+M59-V58)))</f>
        <v>228.66987179487163</v>
      </c>
      <c r="O59" s="13">
        <f>N59*VLOOKUP('Données projet'!$B$9,Paramètres!$A$1:$I$89,3,0)*VLOOKUP('Données projet'!$B$9,Paramètres!$A$1:$I$89,5,0)</f>
        <v>206.90049999999985</v>
      </c>
      <c r="P59" s="13">
        <f t="shared" si="33"/>
        <v>51.257681925484725</v>
      </c>
      <c r="Q59" s="20">
        <f t="shared" si="53"/>
        <v>449.62550018688563</v>
      </c>
      <c r="R59" s="59">
        <f t="shared" si="0"/>
        <v>742.95883352021895</v>
      </c>
      <c r="S59" s="59">
        <f ca="1">AVERAGE(OFFSET($R$3,0,0,'Données projet'!$E$9+1,1))-AVERAGE(OFFSET($H$3,0,0,'Données projet'!$E$9+1,1))</f>
        <v>309.07357540707869</v>
      </c>
      <c r="T59" s="59">
        <f t="shared" si="34"/>
        <v>155.9593924683299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9.6586538461538431</v>
      </c>
      <c r="AI59" s="13">
        <f>IF('Données projet'!$A$62&gt;35,AI58+AH59-AQ58,IF(A59&lt;'Données projet'!$A$62,$AF$205^A59,IF(A59='Données projet'!$A$62,'Données projet'!$B$62,AI58+AH59-AQ58)))</f>
        <v>228.66987179487163</v>
      </c>
      <c r="AJ59" s="13">
        <f>AI59*VLOOKUP('Données projet'!$B$10,Paramètres!$A$1:$I$89,3,0)*VLOOKUP('Données projet'!$B$10,Paramètres!$A$1:$I$89,5,0)</f>
        <v>221.16949999999983</v>
      </c>
      <c r="AK59" s="13">
        <f t="shared" si="35"/>
        <v>54.368992281185989</v>
      </c>
      <c r="AL59" s="20">
        <f t="shared" si="4"/>
        <v>479.89620738973196</v>
      </c>
      <c r="AM59" s="59">
        <f t="shared" si="5"/>
        <v>773.22954072306527</v>
      </c>
      <c r="AN59" s="59">
        <f ca="1">AVERAGE(OFFSET($AM$3,0,0,'Données projet'!$E$10+1,1))-AVERAGE(OFFSET($H$3,0,0,'Données projet'!$E$10+1,1))</f>
        <v>340.4659523898373</v>
      </c>
      <c r="AO59" s="59">
        <f t="shared" si="36"/>
        <v>170.54530785680572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15.727692307692305</v>
      </c>
      <c r="BD59" s="12">
        <f>IF('Données projet'!$A$88&gt;35,BD58+BC59-BL58,IF(A59&lt;'Données projet'!$A$88,$BA$205^A59,IF(A59='Données projet'!$A$88,'Données projet'!$B$88,BD58+BC59-BL58)))</f>
        <v>339.72769230769251</v>
      </c>
      <c r="BE59" s="13">
        <f>BD59*VLOOKUP('Données projet'!$B$11,Paramètres!$A$1:$I$89,3,0)*VLOOKUP('Données projet'!$B$11,Paramètres!$A$1:$I$89,5,0)</f>
        <v>163.40902000000011</v>
      </c>
      <c r="BF59" s="13">
        <f t="shared" si="37"/>
        <v>41.610483382053268</v>
      </c>
      <c r="BG59" s="20">
        <f t="shared" si="7"/>
        <v>357.07563505707634</v>
      </c>
      <c r="BH59" s="59">
        <f t="shared" si="8"/>
        <v>650.40896839040965</v>
      </c>
      <c r="BI59" s="59">
        <f ca="1">AVERAGE(OFFSET($BH$3,0,0,'Données projet'!$E$11+1,1))-AVERAGE(OFFSET($H$3,0,0,'Données projet'!$E$11+1,1))</f>
        <v>162.52375757962767</v>
      </c>
      <c r="BJ59" s="59">
        <f t="shared" si="38"/>
        <v>162.18047435246194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9.6586538461538431</v>
      </c>
      <c r="N60" s="13">
        <f>IF('Données projet'!$A$36&gt;35,N59+M60-V59,IF(A60&lt;'Données projet'!$A$36,$K$205^A60,IF(A60='Données projet'!$A$36,'Données projet'!$B$36,N59+M60-V59)))</f>
        <v>238.32852564102546</v>
      </c>
      <c r="O60" s="13">
        <f>N60*VLOOKUP('Données projet'!$B$9,Paramètres!$A$1:$I$89,3,0)*VLOOKUP('Données projet'!$B$9,Paramètres!$A$1:$I$89,5,0)</f>
        <v>215.63964999999985</v>
      </c>
      <c r="P60" s="13">
        <f t="shared" si="33"/>
        <v>53.166083860481116</v>
      </c>
      <c r="Q60" s="20">
        <f t="shared" si="53"/>
        <v>468.16998647367103</v>
      </c>
      <c r="R60" s="59">
        <f t="shared" si="0"/>
        <v>761.50331980700435</v>
      </c>
      <c r="S60" s="59">
        <f ca="1">AVERAGE(OFFSET($R$3,0,0,'Données projet'!$E$9+1,1))-AVERAGE(OFFSET($H$3,0,0,'Données projet'!$E$9+1,1))</f>
        <v>309.07357540707869</v>
      </c>
      <c r="T60" s="59">
        <f t="shared" si="34"/>
        <v>155.9593924683299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9.6586538461538431</v>
      </c>
      <c r="AI60" s="13">
        <f>IF('Données projet'!$A$62&gt;35,AI59+AH60-AQ59,IF(A60&lt;'Données projet'!$A$62,$AF$205^A60,IF(A60='Données projet'!$A$62,'Données projet'!$B$62,AI59+AH60-AQ59)))</f>
        <v>238.32852564102546</v>
      </c>
      <c r="AJ60" s="13">
        <f>AI60*VLOOKUP('Données projet'!$B$10,Paramètres!$A$1:$I$89,3,0)*VLOOKUP('Données projet'!$B$10,Paramètres!$A$1:$I$89,5,0)</f>
        <v>230.51134999999982</v>
      </c>
      <c r="AK60" s="13">
        <f t="shared" si="35"/>
        <v>56.393233061798213</v>
      </c>
      <c r="AL60" s="20">
        <f t="shared" si="4"/>
        <v>499.69214883263152</v>
      </c>
      <c r="AM60" s="59">
        <f t="shared" si="5"/>
        <v>793.02548216596483</v>
      </c>
      <c r="AN60" s="59">
        <f ca="1">AVERAGE(OFFSET($AM$3,0,0,'Données projet'!$E$10+1,1))-AVERAGE(OFFSET($H$3,0,0,'Données projet'!$E$10+1,1))</f>
        <v>340.4659523898373</v>
      </c>
      <c r="AO60" s="59">
        <f t="shared" si="36"/>
        <v>170.54530785680572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15.727692307692305</v>
      </c>
      <c r="BD60" s="12">
        <f>IF('Données projet'!$A$88&gt;35,BD59+BC60-BL59,IF(A60&lt;'Données projet'!$A$88,$BA$205^A60,IF(A60='Données projet'!$A$88,'Données projet'!$B$88,BD59+BC60-BL59)))</f>
        <v>355.45538461538479</v>
      </c>
      <c r="BE60" s="13">
        <f>BD60*VLOOKUP('Données projet'!$B$11,Paramètres!$A$1:$I$89,3,0)*VLOOKUP('Données projet'!$B$11,Paramètres!$A$1:$I$89,5,0)</f>
        <v>170.97404000000012</v>
      </c>
      <c r="BF60" s="13">
        <f t="shared" si="37"/>
        <v>43.308103551539041</v>
      </c>
      <c r="BG60" s="20">
        <f t="shared" si="7"/>
        <v>373.20806668559732</v>
      </c>
      <c r="BH60" s="59">
        <f t="shared" si="8"/>
        <v>666.54140001893063</v>
      </c>
      <c r="BI60" s="59">
        <f ca="1">AVERAGE(OFFSET($BH$3,0,0,'Données projet'!$E$11+1,1))-AVERAGE(OFFSET($H$3,0,0,'Données projet'!$E$11+1,1))</f>
        <v>162.52375757962767</v>
      </c>
      <c r="BJ60" s="59">
        <f t="shared" si="38"/>
        <v>162.18047435246194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247.98717948717947</v>
      </c>
      <c r="L61" s="12">
        <f>VLOOKUP(A61,'Données projet'!$A$35:$I$55,9,0)</f>
        <v>9.6586538461538431</v>
      </c>
      <c r="M61" s="12">
        <f t="array" ref="M61">INDEX(L:L,MIN(IF(ISNUMBER(L61:L257),ROW(L61:L257),"")))</f>
        <v>9.6586538461538431</v>
      </c>
      <c r="N61" s="13">
        <f>IF('Données projet'!$A$36&gt;35,N60+M61-V60,IF(A61&lt;'Données projet'!$A$36,$K$205^A61,IF(A61='Données projet'!$A$36,'Données projet'!$B$36,N60+M61-V60)))</f>
        <v>247.9871794871793</v>
      </c>
      <c r="O61" s="13">
        <f>N61*VLOOKUP('Données projet'!$B$9,Paramètres!$A$1:$I$89,3,0)*VLOOKUP('Données projet'!$B$9,Paramètres!$A$1:$I$89,5,0)</f>
        <v>224.37879999999984</v>
      </c>
      <c r="P61" s="13">
        <f t="shared" si="33"/>
        <v>55.065501892979434</v>
      </c>
      <c r="Q61" s="20">
        <f t="shared" si="53"/>
        <v>486.69882579693893</v>
      </c>
      <c r="R61" s="59">
        <f t="shared" si="0"/>
        <v>780.03215913027225</v>
      </c>
      <c r="S61" s="59">
        <f ca="1">AVERAGE(OFFSET($R$3,0,0,'Données projet'!$E$9+1,1))-AVERAGE(OFFSET($H$3,0,0,'Données projet'!$E$9+1,1))</f>
        <v>309.07357540707869</v>
      </c>
      <c r="T61" s="59">
        <f t="shared" si="34"/>
        <v>155.9593924683299</v>
      </c>
      <c r="U61" s="15">
        <f>IF(ISNA(VLOOKUP(A61,'Données projet'!$A$35:$I$55,3,0)),0,VLOOKUP(A61,'Données projet'!$A$35:$I$55,3,0))</f>
        <v>4</v>
      </c>
      <c r="V61" s="15">
        <f>IF(ISNA(VLOOKUP(A61,'Données projet'!$A$35:$I$55,4,0)),0,VLOOKUP(A61,'Données projet'!$A$35:$I$55,4,0))</f>
        <v>47.467948717948715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247.98717948717947</v>
      </c>
      <c r="AG61" s="12">
        <f>VLOOKUP(A61,'Données projet'!$A$61:$I$81,9,0)</f>
        <v>9.6586538461538431</v>
      </c>
      <c r="AH61" s="12">
        <f t="array" ref="AH61">INDEX(AG:AG,MIN(IF(ISNUMBER(AG61:AG257),ROW(AG61:AG257),"")))</f>
        <v>9.6586538461538431</v>
      </c>
      <c r="AI61" s="13">
        <f>IF('Données projet'!$A$62&gt;35,AI60+AH61-AQ60,IF(A61&lt;'Données projet'!$A$62,$AF$205^A61,IF(A61='Données projet'!$A$62,'Données projet'!$B$62,AI60+AH61-AQ60)))</f>
        <v>247.9871794871793</v>
      </c>
      <c r="AJ61" s="13">
        <f>AI61*VLOOKUP('Données projet'!$B$10,Paramètres!$A$1:$I$89,3,0)*VLOOKUP('Données projet'!$B$10,Paramètres!$A$1:$I$89,5,0)</f>
        <v>239.85319999999982</v>
      </c>
      <c r="AK61" s="13">
        <f t="shared" si="35"/>
        <v>58.40794462245313</v>
      </c>
      <c r="AL61" s="20">
        <f t="shared" si="4"/>
        <v>519.47149355077215</v>
      </c>
      <c r="AM61" s="59">
        <f t="shared" si="5"/>
        <v>812.80482688410552</v>
      </c>
      <c r="AN61" s="59">
        <f ca="1">AVERAGE(OFFSET($AM$3,0,0,'Données projet'!$E$10+1,1))-AVERAGE(OFFSET($H$3,0,0,'Données projet'!$E$10+1,1))</f>
        <v>340.4659523898373</v>
      </c>
      <c r="AO61" s="59">
        <f t="shared" si="36"/>
        <v>170.54530785680572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47.467948717948715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15.727692307692305</v>
      </c>
      <c r="BD61" s="12">
        <f>IF('Données projet'!$A$88&gt;35,BD60+BC61-BL60,IF(A61&lt;'Données projet'!$A$88,$BA$205^A61,IF(A61='Données projet'!$A$88,'Données projet'!$B$88,BD60+BC61-BL60)))</f>
        <v>371.18307692307707</v>
      </c>
      <c r="BE61" s="13">
        <f>BD61*VLOOKUP('Données projet'!$B$11,Paramètres!$A$1:$I$89,3,0)*VLOOKUP('Données projet'!$B$11,Paramètres!$A$1:$I$89,5,0)</f>
        <v>178.53906000000009</v>
      </c>
      <c r="BF61" s="13">
        <f t="shared" si="37"/>
        <v>44.996999931380884</v>
      </c>
      <c r="BG61" s="20">
        <f t="shared" si="7"/>
        <v>389.32530438048849</v>
      </c>
      <c r="BH61" s="59">
        <f t="shared" si="8"/>
        <v>682.6586377138218</v>
      </c>
      <c r="BI61" s="59">
        <f ca="1">AVERAGE(OFFSET($BH$3,0,0,'Données projet'!$E$11+1,1))-AVERAGE(OFFSET($H$3,0,0,'Données projet'!$E$11+1,1))</f>
        <v>162.52375757962767</v>
      </c>
      <c r="BJ61" s="59">
        <f t="shared" si="38"/>
        <v>162.18047435246194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9.2219551282051242</v>
      </c>
      <c r="N62" s="13">
        <f>IF('Données projet'!$A$36&gt;35,N61+M62-V61,IF(A62&lt;'Données projet'!$A$36,$K$205^A62,IF(A62='Données projet'!$A$36,'Données projet'!$B$36,N61+M62-V61)))</f>
        <v>209.74118589743568</v>
      </c>
      <c r="O62" s="13">
        <f>N62*VLOOKUP('Données projet'!$B$9,Paramètres!$A$1:$I$89,3,0)*VLOOKUP('Données projet'!$B$9,Paramètres!$A$1:$I$89,5,0)</f>
        <v>189.77382499999979</v>
      </c>
      <c r="P62" s="13">
        <f t="shared" si="33"/>
        <v>47.489945304141962</v>
      </c>
      <c r="Q62" s="20">
        <f t="shared" si="53"/>
        <v>413.23439994638017</v>
      </c>
      <c r="R62" s="59">
        <f t="shared" si="0"/>
        <v>706.56773327971348</v>
      </c>
      <c r="S62" s="59">
        <f ca="1">AVERAGE(OFFSET($R$3,0,0,'Données projet'!$E$9+1,1))-AVERAGE(OFFSET($H$3,0,0,'Données projet'!$E$9+1,1))</f>
        <v>309.07357540707869</v>
      </c>
      <c r="T62" s="59">
        <f t="shared" si="34"/>
        <v>155.9593924683299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9.2219551282051242</v>
      </c>
      <c r="AI62" s="13">
        <f>IF('Données projet'!$A$62&gt;35,AI61+AH62-AQ61,IF(A62&lt;'Données projet'!$A$62,$AF$205^A62,IF(A62='Données projet'!$A$62,'Données projet'!$B$62,AI61+AH62-AQ61)))</f>
        <v>209.74118589743568</v>
      </c>
      <c r="AJ62" s="13">
        <f>AI62*VLOOKUP('Données projet'!$B$10,Paramètres!$A$1:$I$89,3,0)*VLOOKUP('Données projet'!$B$10,Paramètres!$A$1:$I$89,5,0)</f>
        <v>202.86167499999979</v>
      </c>
      <c r="AK62" s="13">
        <f t="shared" si="35"/>
        <v>50.372556320989389</v>
      </c>
      <c r="AL62" s="20">
        <f t="shared" si="4"/>
        <v>441.04961955072281</v>
      </c>
      <c r="AM62" s="59">
        <f t="shared" si="5"/>
        <v>734.38295288405607</v>
      </c>
      <c r="AN62" s="59">
        <f ca="1">AVERAGE(OFFSET($AM$3,0,0,'Données projet'!$E$10+1,1))-AVERAGE(OFFSET($H$3,0,0,'Données projet'!$E$10+1,1))</f>
        <v>340.4659523898373</v>
      </c>
      <c r="AO62" s="59">
        <f t="shared" si="36"/>
        <v>170.54530785680572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15.727692307692305</v>
      </c>
      <c r="BD62" s="12">
        <f>IF('Données projet'!$A$88&gt;35,BD61+BC62-BL61,IF(A62&lt;'Données projet'!$A$88,$BA$205^A62,IF(A62='Données projet'!$A$88,'Données projet'!$B$88,BD61+BC62-BL61)))</f>
        <v>386.91076923076935</v>
      </c>
      <c r="BE62" s="13">
        <f>BD62*VLOOKUP('Données projet'!$B$11,Paramètres!$A$1:$I$89,3,0)*VLOOKUP('Données projet'!$B$11,Paramètres!$A$1:$I$89,5,0)</f>
        <v>186.10408000000007</v>
      </c>
      <c r="BF62" s="13">
        <f t="shared" si="37"/>
        <v>46.677584426065835</v>
      </c>
      <c r="BG62" s="20">
        <f t="shared" si="7"/>
        <v>405.42806554206476</v>
      </c>
      <c r="BH62" s="59">
        <f t="shared" si="8"/>
        <v>698.76139887539807</v>
      </c>
      <c r="BI62" s="59">
        <f ca="1">AVERAGE(OFFSET($BH$3,0,0,'Données projet'!$E$11+1,1))-AVERAGE(OFFSET($H$3,0,0,'Données projet'!$E$11+1,1))</f>
        <v>162.52375757962767</v>
      </c>
      <c r="BJ62" s="59">
        <f t="shared" si="38"/>
        <v>162.18047435246194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9.2219551282051242</v>
      </c>
      <c r="N63" s="13">
        <f>IF('Données projet'!$A$36&gt;35,N62+M63-V62,IF(A63&lt;'Données projet'!$A$36,$K$205^A63,IF(A63='Données projet'!$A$36,'Données projet'!$B$36,N62+M63-V62)))</f>
        <v>218.96314102564082</v>
      </c>
      <c r="O63" s="13">
        <f>N63*VLOOKUP('Données projet'!$B$9,Paramètres!$A$1:$I$89,3,0)*VLOOKUP('Données projet'!$B$9,Paramètres!$A$1:$I$89,5,0)</f>
        <v>198.11784999999981</v>
      </c>
      <c r="P63" s="13">
        <f t="shared" si="33"/>
        <v>49.330300772275599</v>
      </c>
      <c r="Q63" s="20">
        <f t="shared" si="53"/>
        <v>430.97219592837968</v>
      </c>
      <c r="R63" s="59">
        <f t="shared" si="0"/>
        <v>724.30552926171299</v>
      </c>
      <c r="S63" s="59">
        <f ca="1">AVERAGE(OFFSET($R$3,0,0,'Données projet'!$E$9+1,1))-AVERAGE(OFFSET($H$3,0,0,'Données projet'!$E$9+1,1))</f>
        <v>309.07357540707869</v>
      </c>
      <c r="T63" s="59">
        <f t="shared" si="34"/>
        <v>155.9593924683299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9.2219551282051242</v>
      </c>
      <c r="AI63" s="13">
        <f>IF('Données projet'!$A$62&gt;35,AI62+AH63-AQ62,IF(A63&lt;'Données projet'!$A$62,$AF$205^A63,IF(A63='Données projet'!$A$62,'Données projet'!$B$62,AI62+AH63-AQ62)))</f>
        <v>218.96314102564082</v>
      </c>
      <c r="AJ63" s="13">
        <f>AI63*VLOOKUP('Données projet'!$B$10,Paramètres!$A$1:$I$89,3,0)*VLOOKUP('Données projet'!$B$10,Paramètres!$A$1:$I$89,5,0)</f>
        <v>211.7811499999998</v>
      </c>
      <c r="AK63" s="13">
        <f t="shared" si="35"/>
        <v>52.324620255270545</v>
      </c>
      <c r="AL63" s="20">
        <f t="shared" si="4"/>
        <v>459.98421652792916</v>
      </c>
      <c r="AM63" s="59">
        <f t="shared" si="5"/>
        <v>753.31754986126248</v>
      </c>
      <c r="AN63" s="59">
        <f ca="1">AVERAGE(OFFSET($AM$3,0,0,'Données projet'!$E$10+1,1))-AVERAGE(OFFSET($H$3,0,0,'Données projet'!$E$10+1,1))</f>
        <v>340.4659523898373</v>
      </c>
      <c r="AO63" s="59">
        <f t="shared" si="36"/>
        <v>170.54530785680572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402.63846153846151</v>
      </c>
      <c r="BB63" s="12">
        <f>VLOOKUP(A63,'Données projet'!$A$87:$I$107,9,0)</f>
        <v>15.727692307692305</v>
      </c>
      <c r="BC63" s="12">
        <f t="array" ref="BC63">INDEX(BB:BB,MIN(IF(ISNUMBER(BB63:BB259),ROW(BB63:BB259),"")))</f>
        <v>15.727692307692305</v>
      </c>
      <c r="BD63" s="12">
        <f>IF('Données projet'!$A$88&gt;35,BD62+BC63-BL62,IF(A63&lt;'Données projet'!$A$88,$BA$205^A63,IF(A63='Données projet'!$A$88,'Données projet'!$B$88,BD62+BC63-BL62)))</f>
        <v>402.63846153846163</v>
      </c>
      <c r="BE63" s="13">
        <f>BD63*VLOOKUP('Données projet'!$B$11,Paramètres!$A$1:$I$89,3,0)*VLOOKUP('Données projet'!$B$11,Paramètres!$A$1:$I$89,5,0)</f>
        <v>193.66910000000004</v>
      </c>
      <c r="BF63" s="13">
        <f t="shared" si="37"/>
        <v>48.350233557615013</v>
      </c>
      <c r="BG63" s="20">
        <f t="shared" si="7"/>
        <v>421.51700594617955</v>
      </c>
      <c r="BH63" s="59">
        <f t="shared" si="8"/>
        <v>714.85033927951281</v>
      </c>
      <c r="BI63" s="59">
        <f ca="1">AVERAGE(OFFSET($BH$3,0,0,'Données projet'!$E$11+1,1))-AVERAGE(OFFSET($H$3,0,0,'Données projet'!$E$11+1,1))</f>
        <v>162.52375757962767</v>
      </c>
      <c r="BJ63" s="59">
        <f t="shared" si="38"/>
        <v>162.18047435246194</v>
      </c>
      <c r="BK63" s="15">
        <f>IF(ISNA(VLOOKUP(A63,'Données projet'!$A$87:$I$107,3,0)),0,VLOOKUP(A63,'Données projet'!$A$87:$I$107,3,0))</f>
        <v>2</v>
      </c>
      <c r="BL63" s="15">
        <f>IF(ISNA(VLOOKUP(A63,'Données projet'!$A$87:$I$107,4,0)),0,VLOOKUP(A63,'Données projet'!$A$87:$I$107,4,0))</f>
        <v>133.13846153846154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9.2219551282051242</v>
      </c>
      <c r="N64" s="13">
        <f>IF('Données projet'!$A$36&gt;35,N63+M64-V63,IF(A64&lt;'Données projet'!$A$36,$K$205^A64,IF(A64='Données projet'!$A$36,'Données projet'!$B$36,N63+M64-V63)))</f>
        <v>228.18509615384596</v>
      </c>
      <c r="O64" s="13">
        <f>N64*VLOOKUP('Données projet'!$B$9,Paramètres!$A$1:$I$89,3,0)*VLOOKUP('Données projet'!$B$9,Paramètres!$A$1:$I$89,5,0)</f>
        <v>206.46187499999985</v>
      </c>
      <c r="P64" s="13">
        <f t="shared" si="33"/>
        <v>51.161653428040907</v>
      </c>
      <c r="Q64" s="20">
        <f t="shared" si="53"/>
        <v>448.69431201217094</v>
      </c>
      <c r="R64" s="59">
        <f t="shared" si="0"/>
        <v>742.0276453455042</v>
      </c>
      <c r="S64" s="59">
        <f ca="1">AVERAGE(OFFSET($R$3,0,0,'Données projet'!$E$9+1,1))-AVERAGE(OFFSET($H$3,0,0,'Données projet'!$E$9+1,1))</f>
        <v>309.07357540707869</v>
      </c>
      <c r="T64" s="59">
        <f t="shared" si="34"/>
        <v>155.9593924683299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9.2219551282051242</v>
      </c>
      <c r="AI64" s="13">
        <f>IF('Données projet'!$A$62&gt;35,AI63+AH64-AQ63,IF(A64&lt;'Données projet'!$A$62,$AF$205^A64,IF(A64='Données projet'!$A$62,'Données projet'!$B$62,AI63+AH64-AQ63)))</f>
        <v>228.18509615384596</v>
      </c>
      <c r="AJ64" s="13">
        <f>AI64*VLOOKUP('Données projet'!$B$10,Paramètres!$A$1:$I$89,3,0)*VLOOKUP('Données projet'!$B$10,Paramètres!$A$1:$I$89,5,0)</f>
        <v>220.70062499999983</v>
      </c>
      <c r="AK64" s="13">
        <f t="shared" si="35"/>
        <v>54.267134911906453</v>
      </c>
      <c r="AL64" s="20">
        <f t="shared" si="4"/>
        <v>478.90218184657004</v>
      </c>
      <c r="AM64" s="59">
        <f t="shared" si="5"/>
        <v>772.23551517990336</v>
      </c>
      <c r="AN64" s="59">
        <f ca="1">AVERAGE(OFFSET($AM$3,0,0,'Données projet'!$E$10+1,1))-AVERAGE(OFFSET($H$3,0,0,'Données projet'!$E$10+1,1))</f>
        <v>340.4659523898373</v>
      </c>
      <c r="AO64" s="59">
        <f t="shared" si="36"/>
        <v>170.54530785680572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12.440000000000003</v>
      </c>
      <c r="BD64" s="12">
        <f>IF('Données projet'!$A$88&gt;35,BD63+BC64-BL63,IF(A64&lt;'Données projet'!$A$88,$BA$205^A64,IF(A64='Données projet'!$A$88,'Données projet'!$B$88,BD63+BC64-BL63)))</f>
        <v>281.94000000000005</v>
      </c>
      <c r="BE64" s="13">
        <f>BD64*VLOOKUP('Données projet'!$B$11,Paramètres!$A$1:$I$89,3,0)*VLOOKUP('Données projet'!$B$11,Paramètres!$A$1:$I$89,5,0)</f>
        <v>135.61314000000004</v>
      </c>
      <c r="BF64" s="13">
        <f t="shared" si="37"/>
        <v>35.290182998454078</v>
      </c>
      <c r="BG64" s="20">
        <f t="shared" si="7"/>
        <v>297.6566208889742</v>
      </c>
      <c r="BH64" s="59">
        <f t="shared" si="8"/>
        <v>590.98995422230746</v>
      </c>
      <c r="BI64" s="59">
        <f ca="1">AVERAGE(OFFSET($BH$3,0,0,'Données projet'!$E$11+1,1))-AVERAGE(OFFSET($H$3,0,0,'Données projet'!$E$11+1,1))</f>
        <v>162.52375757962767</v>
      </c>
      <c r="BJ64" s="59">
        <f t="shared" si="38"/>
        <v>162.18047435246194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9.2219551282051242</v>
      </c>
      <c r="N65" s="13">
        <f>IF('Données projet'!$A$36&gt;35,N64+M65-V64,IF(A65&lt;'Données projet'!$A$36,$K$205^A65,IF(A65='Données projet'!$A$36,'Données projet'!$B$36,N64+M65-V64)))</f>
        <v>237.4070512820511</v>
      </c>
      <c r="O65" s="13">
        <f>N65*VLOOKUP('Données projet'!$B$9,Paramètres!$A$1:$I$89,3,0)*VLOOKUP('Données projet'!$B$9,Paramètres!$A$1:$I$89,5,0)</f>
        <v>214.80589999999981</v>
      </c>
      <c r="P65" s="13">
        <f t="shared" si="33"/>
        <v>52.984408736730096</v>
      </c>
      <c r="Q65" s="20">
        <f t="shared" si="53"/>
        <v>466.40145438313789</v>
      </c>
      <c r="R65" s="59">
        <f t="shared" si="0"/>
        <v>759.73478771647115</v>
      </c>
      <c r="S65" s="59">
        <f ca="1">AVERAGE(OFFSET($R$3,0,0,'Données projet'!$E$9+1,1))-AVERAGE(OFFSET($H$3,0,0,'Données projet'!$E$9+1,1))</f>
        <v>309.07357540707869</v>
      </c>
      <c r="T65" s="59">
        <f t="shared" si="34"/>
        <v>155.9593924683299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9.2219551282051242</v>
      </c>
      <c r="AI65" s="13">
        <f>IF('Données projet'!$A$62&gt;35,AI64+AH65-AQ64,IF(A65&lt;'Données projet'!$A$62,$AF$205^A65,IF(A65='Données projet'!$A$62,'Données projet'!$B$62,AI64+AH65-AQ64)))</f>
        <v>237.4070512820511</v>
      </c>
      <c r="AJ65" s="13">
        <f>AI65*VLOOKUP('Données projet'!$B$10,Paramètres!$A$1:$I$89,3,0)*VLOOKUP('Données projet'!$B$10,Paramètres!$A$1:$I$89,5,0)</f>
        <v>229.62009999999984</v>
      </c>
      <c r="AK65" s="13">
        <f t="shared" si="35"/>
        <v>56.200530367687662</v>
      </c>
      <c r="AL65" s="20">
        <f t="shared" si="4"/>
        <v>497.80426455705566</v>
      </c>
      <c r="AM65" s="59">
        <f t="shared" si="5"/>
        <v>791.13759789038897</v>
      </c>
      <c r="AN65" s="59">
        <f ca="1">AVERAGE(OFFSET($AM$3,0,0,'Données projet'!$E$10+1,1))-AVERAGE(OFFSET($H$3,0,0,'Données projet'!$E$10+1,1))</f>
        <v>340.4659523898373</v>
      </c>
      <c r="AO65" s="59">
        <f t="shared" si="36"/>
        <v>170.54530785680572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12.440000000000003</v>
      </c>
      <c r="BD65" s="12">
        <f>IF('Données projet'!$A$88&gt;35,BD64+BC65-BL64,IF(A65&lt;'Données projet'!$A$88,$BA$205^A65,IF(A65='Données projet'!$A$88,'Données projet'!$B$88,BD64+BC65-BL64)))</f>
        <v>294.38000000000005</v>
      </c>
      <c r="BE65" s="13">
        <f>BD65*VLOOKUP('Données projet'!$B$11,Paramètres!$A$1:$I$89,3,0)*VLOOKUP('Données projet'!$B$11,Paramètres!$A$1:$I$89,5,0)</f>
        <v>141.59678000000002</v>
      </c>
      <c r="BF65" s="13">
        <f t="shared" si="37"/>
        <v>36.662563575217789</v>
      </c>
      <c r="BG65" s="20">
        <f t="shared" si="7"/>
        <v>310.46835672683767</v>
      </c>
      <c r="BH65" s="59">
        <f t="shared" si="8"/>
        <v>603.80169006017104</v>
      </c>
      <c r="BI65" s="59">
        <f ca="1">AVERAGE(OFFSET($BH$3,0,0,'Données projet'!$E$11+1,1))-AVERAGE(OFFSET($H$3,0,0,'Données projet'!$E$11+1,1))</f>
        <v>162.52375757962767</v>
      </c>
      <c r="BJ65" s="59">
        <f t="shared" si="38"/>
        <v>162.18047435246194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9.2219551282051242</v>
      </c>
      <c r="N66" s="13">
        <f>IF('Données projet'!$A$36&gt;35,N65+M66-V65,IF(A66&lt;'Données projet'!$A$36,$K$205^A66,IF(A66='Données projet'!$A$36,'Données projet'!$B$36,N65+M66-V65)))</f>
        <v>246.62900641025624</v>
      </c>
      <c r="O66" s="13">
        <f>N66*VLOOKUP('Données projet'!$B$9,Paramètres!$A$1:$I$89,3,0)*VLOOKUP('Données projet'!$B$9,Paramètres!$A$1:$I$89,5,0)</f>
        <v>223.14992499999985</v>
      </c>
      <c r="P66" s="13">
        <f t="shared" si="33"/>
        <v>54.798938879785823</v>
      </c>
      <c r="Q66" s="20">
        <f t="shared" si="53"/>
        <v>484.09427125729331</v>
      </c>
      <c r="R66" s="59">
        <f t="shared" si="0"/>
        <v>777.42760459062663</v>
      </c>
      <c r="S66" s="59">
        <f ca="1">AVERAGE(OFFSET($R$3,0,0,'Données projet'!$E$9+1,1))-AVERAGE(OFFSET($H$3,0,0,'Données projet'!$E$9+1,1))</f>
        <v>309.07357540707869</v>
      </c>
      <c r="T66" s="59">
        <f t="shared" si="34"/>
        <v>155.9593924683299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9.2219551282051242</v>
      </c>
      <c r="AI66" s="13">
        <f>IF('Données projet'!$A$62&gt;35,AI65+AH66-AQ65,IF(A66&lt;'Données projet'!$A$62,$AF$205^A66,IF(A66='Données projet'!$A$62,'Données projet'!$B$62,AI65+AH66-AQ65)))</f>
        <v>246.62900641025624</v>
      </c>
      <c r="AJ66" s="13">
        <f>AI66*VLOOKUP('Données projet'!$B$10,Paramètres!$A$1:$I$89,3,0)*VLOOKUP('Données projet'!$B$10,Paramètres!$A$1:$I$89,5,0)</f>
        <v>238.53957499999987</v>
      </c>
      <c r="AK66" s="13">
        <f t="shared" si="35"/>
        <v>58.125201395245952</v>
      </c>
      <c r="AL66" s="20">
        <f t="shared" si="4"/>
        <v>516.69115222171979</v>
      </c>
      <c r="AM66" s="59">
        <f t="shared" si="5"/>
        <v>810.02448555505316</v>
      </c>
      <c r="AN66" s="59">
        <f ca="1">AVERAGE(OFFSET($AM$3,0,0,'Données projet'!$E$10+1,1))-AVERAGE(OFFSET($H$3,0,0,'Données projet'!$E$10+1,1))</f>
        <v>340.4659523898373</v>
      </c>
      <c r="AO66" s="59">
        <f t="shared" si="36"/>
        <v>170.54530785680572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12.440000000000003</v>
      </c>
      <c r="BD66" s="12">
        <f>IF('Données projet'!$A$88&gt;35,BD65+BC66-BL65,IF(A66&lt;'Données projet'!$A$88,$BA$205^A66,IF(A66='Données projet'!$A$88,'Données projet'!$B$88,BD65+BC66-BL65)))</f>
        <v>306.82000000000005</v>
      </c>
      <c r="BE66" s="13">
        <f>BD66*VLOOKUP('Données projet'!$B$11,Paramètres!$A$1:$I$89,3,0)*VLOOKUP('Données projet'!$B$11,Paramètres!$A$1:$I$89,5,0)</f>
        <v>147.58042000000003</v>
      </c>
      <c r="BF66" s="13">
        <f t="shared" si="37"/>
        <v>38.028208052889703</v>
      </c>
      <c r="BG66" s="20">
        <f t="shared" si="7"/>
        <v>323.26836052544962</v>
      </c>
      <c r="BH66" s="59">
        <f t="shared" si="8"/>
        <v>616.60169385878294</v>
      </c>
      <c r="BI66" s="59">
        <f ca="1">AVERAGE(OFFSET($BH$3,0,0,'Données projet'!$E$11+1,1))-AVERAGE(OFFSET($H$3,0,0,'Données projet'!$E$11+1,1))</f>
        <v>162.52375757962767</v>
      </c>
      <c r="BJ66" s="59">
        <f t="shared" si="38"/>
        <v>162.18047435246194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9.2219551282051242</v>
      </c>
      <c r="N67" s="13">
        <f>IF('Données projet'!$A$36&gt;35,N66+M67-V66,IF(A67&lt;'Données projet'!$A$36,$K$205^A67,IF(A67='Données projet'!$A$36,'Données projet'!$B$36,N66+M67-V66)))</f>
        <v>255.85096153846138</v>
      </c>
      <c r="O67" s="13">
        <f>N67*VLOOKUP('Données projet'!$B$9,Paramètres!$A$1:$I$89,3,0)*VLOOKUP('Données projet'!$B$9,Paramètres!$A$1:$I$89,5,0)</f>
        <v>231.49394999999984</v>
      </c>
      <c r="P67" s="13">
        <f t="shared" si="33"/>
        <v>56.605586628604179</v>
      </c>
      <c r="Q67" s="20">
        <f t="shared" ref="Q67:Q98" si="54">(O67+P67)*0.475*44/12</f>
        <v>501.77335962815204</v>
      </c>
      <c r="R67" s="59">
        <f t="shared" ref="R67:R130" si="55">Q67+(I67+J67)*44/12</f>
        <v>795.10669296148535</v>
      </c>
      <c r="S67" s="59">
        <f ca="1">AVERAGE(OFFSET($R$3,0,0,'Données projet'!$E$9+1,1))-AVERAGE(OFFSET($H$3,0,0,'Données projet'!$E$9+1,1))</f>
        <v>309.07357540707869</v>
      </c>
      <c r="T67" s="59">
        <f t="shared" si="34"/>
        <v>155.9593924683299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9.2219551282051242</v>
      </c>
      <c r="AI67" s="13">
        <f>IF('Données projet'!$A$62&gt;35,AI66+AH67-AQ66,IF(A67&lt;'Données projet'!$A$62,$AF$205^A67,IF(A67='Données projet'!$A$62,'Données projet'!$B$62,AI66+AH67-AQ66)))</f>
        <v>255.85096153846138</v>
      </c>
      <c r="AJ67" s="13">
        <f>AI67*VLOOKUP('Données projet'!$B$10,Paramètres!$A$1:$I$89,3,0)*VLOOKUP('Données projet'!$B$10,Paramètres!$A$1:$I$89,5,0)</f>
        <v>247.45904999999982</v>
      </c>
      <c r="AK67" s="13">
        <f t="shared" si="35"/>
        <v>60.041511571994128</v>
      </c>
      <c r="AL67" s="20">
        <f t="shared" si="4"/>
        <v>535.56347807122279</v>
      </c>
      <c r="AM67" s="59">
        <f t="shared" si="5"/>
        <v>828.89681140455605</v>
      </c>
      <c r="AN67" s="59">
        <f ca="1">AVERAGE(OFFSET($AM$3,0,0,'Données projet'!$E$10+1,1))-AVERAGE(OFFSET($H$3,0,0,'Données projet'!$E$10+1,1))</f>
        <v>340.4659523898373</v>
      </c>
      <c r="AO67" s="59">
        <f t="shared" si="36"/>
        <v>170.54530785680572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12.440000000000003</v>
      </c>
      <c r="BD67" s="12">
        <f>IF('Données projet'!$A$88&gt;35,BD66+BC67-BL66,IF(A67&lt;'Données projet'!$A$88,$BA$205^A67,IF(A67='Données projet'!$A$88,'Données projet'!$B$88,BD66+BC67-BL66)))</f>
        <v>319.26000000000005</v>
      </c>
      <c r="BE67" s="13">
        <f>BD67*VLOOKUP('Données projet'!$B$11,Paramètres!$A$1:$I$89,3,0)*VLOOKUP('Données projet'!$B$11,Paramètres!$A$1:$I$89,5,0)</f>
        <v>153.56406000000001</v>
      </c>
      <c r="BF67" s="13">
        <f t="shared" si="37"/>
        <v>39.387420788415049</v>
      </c>
      <c r="BG67" s="20">
        <f t="shared" si="7"/>
        <v>336.05716237315625</v>
      </c>
      <c r="BH67" s="59">
        <f t="shared" si="8"/>
        <v>629.39049570648956</v>
      </c>
      <c r="BI67" s="59">
        <f ca="1">AVERAGE(OFFSET($BH$3,0,0,'Données projet'!$E$11+1,1))-AVERAGE(OFFSET($H$3,0,0,'Données projet'!$E$11+1,1))</f>
        <v>162.52375757962767</v>
      </c>
      <c r="BJ67" s="59">
        <f t="shared" si="38"/>
        <v>162.18047435246194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9.2219551282051242</v>
      </c>
      <c r="N68" s="13">
        <f>IF('Données projet'!$A$36&gt;35,N67+M68-V67,IF(A68&lt;'Données projet'!$A$36,$K$205^A68,IF(A68='Données projet'!$A$36,'Données projet'!$B$36,N67+M68-V67)))</f>
        <v>265.07291666666652</v>
      </c>
      <c r="O68" s="13">
        <f>N68*VLOOKUP('Données projet'!$B$9,Paramètres!$A$1:$I$89,3,0)*VLOOKUP('Données projet'!$B$9,Paramètres!$A$1:$I$89,5,0)</f>
        <v>239.83797499999986</v>
      </c>
      <c r="P68" s="13">
        <f t="shared" si="33"/>
        <v>58.404668644128165</v>
      </c>
      <c r="Q68" s="20">
        <f t="shared" si="54"/>
        <v>519.4392710135229</v>
      </c>
      <c r="R68" s="59">
        <f t="shared" si="55"/>
        <v>812.77260434685627</v>
      </c>
      <c r="S68" s="59">
        <f ca="1">AVERAGE(OFFSET($R$3,0,0,'Données projet'!$E$9+1,1))-AVERAGE(OFFSET($H$3,0,0,'Données projet'!$E$9+1,1))</f>
        <v>309.07357540707869</v>
      </c>
      <c r="T68" s="59">
        <f t="shared" si="34"/>
        <v>155.9593924683299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9.2219551282051242</v>
      </c>
      <c r="AI68" s="13">
        <f>IF('Données projet'!$A$62&gt;35,AI67+AH68-AQ67,IF(A68&lt;'Données projet'!$A$62,$AF$205^A68,IF(A68='Données projet'!$A$62,'Données projet'!$B$62,AI67+AH68-AQ67)))</f>
        <v>265.07291666666652</v>
      </c>
      <c r="AJ68" s="13">
        <f>AI68*VLOOKUP('Données projet'!$B$10,Paramètres!$A$1:$I$89,3,0)*VLOOKUP('Données projet'!$B$10,Paramètres!$A$1:$I$89,5,0)</f>
        <v>256.37852499999985</v>
      </c>
      <c r="AK68" s="13">
        <f t="shared" si="35"/>
        <v>61.94979678000329</v>
      </c>
      <c r="AL68" s="20">
        <f t="shared" ref="AL68:AL131" si="58">(AJ68+AK68)*0.475*44/12</f>
        <v>554.4218271001721</v>
      </c>
      <c r="AM68" s="59">
        <f t="shared" ref="AM68:AM131" si="59">AL68+(AD68+AE68)*44/12</f>
        <v>847.75516043350535</v>
      </c>
      <c r="AN68" s="59">
        <f ca="1">AVERAGE(OFFSET($AM$3,0,0,'Données projet'!$E$10+1,1))-AVERAGE(OFFSET($H$3,0,0,'Données projet'!$E$10+1,1))</f>
        <v>340.4659523898373</v>
      </c>
      <c r="AO68" s="59">
        <f t="shared" si="36"/>
        <v>170.54530785680572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12.440000000000003</v>
      </c>
      <c r="BD68" s="12">
        <f>IF('Données projet'!$A$88&gt;35,BD67+BC68-BL67,IF(A68&lt;'Données projet'!$A$88,$BA$205^A68,IF(A68='Données projet'!$A$88,'Données projet'!$B$88,BD67+BC68-BL67)))</f>
        <v>331.70000000000005</v>
      </c>
      <c r="BE68" s="13">
        <f>BD68*VLOOKUP('Données projet'!$B$11,Paramètres!$A$1:$I$89,3,0)*VLOOKUP('Données projet'!$B$11,Paramètres!$A$1:$I$89,5,0)</f>
        <v>159.54770000000002</v>
      </c>
      <c r="BF68" s="13">
        <f t="shared" si="37"/>
        <v>40.740481077148104</v>
      </c>
      <c r="BG68" s="20">
        <f t="shared" ref="BG68:BG131" si="61">(BE68+BF68)*0.475*44/12</f>
        <v>348.83524870936634</v>
      </c>
      <c r="BH68" s="59">
        <f t="shared" ref="BH68:BH131" si="62">BG68+(AY68+AZ68)*44/12</f>
        <v>642.16858204269965</v>
      </c>
      <c r="BI68" s="59">
        <f ca="1">AVERAGE(OFFSET($BH$3,0,0,'Données projet'!$E$11+1,1))-AVERAGE(OFFSET($H$3,0,0,'Données projet'!$E$11+1,1))</f>
        <v>162.52375757962767</v>
      </c>
      <c r="BJ68" s="59">
        <f t="shared" si="38"/>
        <v>162.18047435246194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274.29487179487177</v>
      </c>
      <c r="L69" s="12">
        <f>VLOOKUP(A69,'Données projet'!$A$35:$I$55,9,0)</f>
        <v>9.2219551282051242</v>
      </c>
      <c r="M69" s="12">
        <f t="array" ref="M69">INDEX(L:L,MIN(IF(ISNUMBER(L69:L265),ROW(L69:L265),"")))</f>
        <v>9.2219551282051242</v>
      </c>
      <c r="N69" s="13">
        <f>IF('Données projet'!$A$36&gt;35,N68+M69-V68,IF(A69&lt;'Données projet'!$A$36,$K$205^A69,IF(A69='Données projet'!$A$36,'Données projet'!$B$36,N68+M69-V68)))</f>
        <v>274.29487179487165</v>
      </c>
      <c r="O69" s="13">
        <f>N69*VLOOKUP('Données projet'!$B$9,Paramètres!$A$1:$I$89,3,0)*VLOOKUP('Données projet'!$B$9,Paramètres!$A$1:$I$89,5,0)</f>
        <v>248.18199999999985</v>
      </c>
      <c r="P69" s="13">
        <f t="shared" ref="P69:P132" si="87">EXP(-1.0587+0.8836*LN(O69)+0.284)</f>
        <v>60.196478304365186</v>
      </c>
      <c r="Q69" s="20">
        <f t="shared" si="54"/>
        <v>537.09251638010244</v>
      </c>
      <c r="R69" s="59">
        <f t="shared" si="55"/>
        <v>830.42584971343581</v>
      </c>
      <c r="S69" s="59">
        <f ca="1">AVERAGE(OFFSET($R$3,0,0,'Données projet'!$E$9+1,1))-AVERAGE(OFFSET($H$3,0,0,'Données projet'!$E$9+1,1))</f>
        <v>309.07357540707869</v>
      </c>
      <c r="T69" s="59">
        <f t="shared" ref="T69:T132" si="88">$T$3</f>
        <v>155.9593924683299</v>
      </c>
      <c r="U69" s="15">
        <f>IF(ISNA(VLOOKUP(A69,'Données projet'!$A$35:$I$55,3,0)),0,VLOOKUP(A69,'Données projet'!$A$35:$I$55,3,0))</f>
        <v>5</v>
      </c>
      <c r="V69" s="15">
        <f>IF(ISNA(VLOOKUP(A69,'Données projet'!$A$35:$I$55,4,0)),0,VLOOKUP(A69,'Données projet'!$A$35:$I$55,4,0))</f>
        <v>54.141025641025635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274.29487179487177</v>
      </c>
      <c r="AG69" s="12">
        <f>VLOOKUP(A69,'Données projet'!$A$61:$I$81,9,0)</f>
        <v>9.2219551282051242</v>
      </c>
      <c r="AH69" s="12">
        <f t="array" ref="AH69">INDEX(AG:AG,MIN(IF(ISNUMBER(AG69:AG265),ROW(AG69:AG265),"")))</f>
        <v>9.2219551282051242</v>
      </c>
      <c r="AI69" s="13">
        <f>IF('Données projet'!$A$62&gt;35,AI68+AH69-AQ68,IF(A69&lt;'Données projet'!$A$62,$AF$205^A69,IF(A69='Données projet'!$A$62,'Données projet'!$B$62,AI68+AH69-AQ68)))</f>
        <v>274.29487179487165</v>
      </c>
      <c r="AJ69" s="13">
        <f>AI69*VLOOKUP('Données projet'!$B$10,Paramètres!$A$1:$I$89,3,0)*VLOOKUP('Données projet'!$B$10,Paramètres!$A$1:$I$89,5,0)</f>
        <v>265.29799999999989</v>
      </c>
      <c r="AK69" s="13">
        <f t="shared" ref="AK69:AK132" si="89">EXP(-1.0587+0.8836*LN(AJ69)+0.284)</f>
        <v>63.850368205148889</v>
      </c>
      <c r="AL69" s="20">
        <f t="shared" si="58"/>
        <v>573.26674129063406</v>
      </c>
      <c r="AM69" s="59">
        <f t="shared" si="59"/>
        <v>866.60007462396743</v>
      </c>
      <c r="AN69" s="59">
        <f ca="1">AVERAGE(OFFSET($AM$3,0,0,'Données projet'!$E$10+1,1))-AVERAGE(OFFSET($H$3,0,0,'Données projet'!$E$10+1,1))</f>
        <v>340.4659523898373</v>
      </c>
      <c r="AO69" s="59">
        <f t="shared" ref="AO69:AO132" si="90">$AO$3</f>
        <v>170.54530785680572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54.141025641025635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12.440000000000003</v>
      </c>
      <c r="BD69" s="12">
        <f>IF('Données projet'!$A$88&gt;35,BD68+BC69-BL68,IF(A69&lt;'Données projet'!$A$88,$BA$205^A69,IF(A69='Données projet'!$A$88,'Données projet'!$B$88,BD68+BC69-BL68)))</f>
        <v>344.14000000000004</v>
      </c>
      <c r="BE69" s="13">
        <f>BD69*VLOOKUP('Données projet'!$B$11,Paramètres!$A$1:$I$89,3,0)*VLOOKUP('Données projet'!$B$11,Paramètres!$A$1:$I$89,5,0)</f>
        <v>165.53134000000003</v>
      </c>
      <c r="BF69" s="13">
        <f t="shared" ref="BF69:BF132" si="91">EXP(-1.0587+0.8836*LN(BE69)+0.284)</f>
        <v>42.087646078408007</v>
      </c>
      <c r="BG69" s="20">
        <f t="shared" si="61"/>
        <v>361.60306741989399</v>
      </c>
      <c r="BH69" s="59">
        <f t="shared" si="62"/>
        <v>654.9364007532273</v>
      </c>
      <c r="BI69" s="59">
        <f ca="1">AVERAGE(OFFSET($BH$3,0,0,'Données projet'!$E$11+1,1))-AVERAGE(OFFSET($H$3,0,0,'Données projet'!$E$11+1,1))</f>
        <v>162.52375757962767</v>
      </c>
      <c r="BJ69" s="59">
        <f t="shared" ref="BJ69:BJ132" si="92">$BJ$3</f>
        <v>162.18047435246194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8.6875</v>
      </c>
      <c r="N70" s="13">
        <f>IF('Données projet'!$A$36&gt;35,N69+M70-V69,IF(A70&lt;'Données projet'!$A$36,$K$205^A70,IF(A70='Données projet'!$A$36,'Données projet'!$B$36,N69+M70-V69)))</f>
        <v>228.84134615384602</v>
      </c>
      <c r="O70" s="13">
        <f>N70*VLOOKUP('Données projet'!$B$9,Paramètres!$A$1:$I$89,3,0)*VLOOKUP('Données projet'!$B$9,Paramètres!$A$1:$I$89,5,0)</f>
        <v>207.05564999999984</v>
      </c>
      <c r="P70" s="13">
        <f t="shared" si="87"/>
        <v>51.291643354789841</v>
      </c>
      <c r="Q70" s="20">
        <f t="shared" si="54"/>
        <v>449.95486925959204</v>
      </c>
      <c r="R70" s="59">
        <f t="shared" si="55"/>
        <v>743.28820259292536</v>
      </c>
      <c r="S70" s="59">
        <f ca="1">AVERAGE(OFFSET($R$3,0,0,'Données projet'!$E$9+1,1))-AVERAGE(OFFSET($H$3,0,0,'Données projet'!$E$9+1,1))</f>
        <v>309.07357540707869</v>
      </c>
      <c r="T70" s="59">
        <f t="shared" si="88"/>
        <v>155.9593924683299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8.6875</v>
      </c>
      <c r="AI70" s="13">
        <f>IF('Données projet'!$A$62&gt;35,AI69+AH70-AQ69,IF(A70&lt;'Données projet'!$A$62,$AF$205^A70,IF(A70='Données projet'!$A$62,'Données projet'!$B$62,AI69+AH70-AQ69)))</f>
        <v>228.84134615384602</v>
      </c>
      <c r="AJ70" s="13">
        <f>AI70*VLOOKUP('Données projet'!$B$10,Paramètres!$A$1:$I$89,3,0)*VLOOKUP('Données projet'!$B$10,Paramètres!$A$1:$I$89,5,0)</f>
        <v>221.33534999999989</v>
      </c>
      <c r="AK70" s="13">
        <f t="shared" si="89"/>
        <v>54.405015148752099</v>
      </c>
      <c r="AL70" s="20">
        <f t="shared" si="58"/>
        <v>480.24780263407638</v>
      </c>
      <c r="AM70" s="59">
        <f t="shared" si="59"/>
        <v>773.58113596740964</v>
      </c>
      <c r="AN70" s="59">
        <f ca="1">AVERAGE(OFFSET($AM$3,0,0,'Données projet'!$E$10+1,1))-AVERAGE(OFFSET($H$3,0,0,'Données projet'!$E$10+1,1))</f>
        <v>340.4659523898373</v>
      </c>
      <c r="AO70" s="59">
        <f t="shared" si="90"/>
        <v>170.54530785680572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12.440000000000003</v>
      </c>
      <c r="BD70" s="12">
        <f>IF('Données projet'!$A$88&gt;35,BD69+BC70-BL69,IF(A70&lt;'Données projet'!$A$88,$BA$205^A70,IF(A70='Données projet'!$A$88,'Données projet'!$B$88,BD69+BC70-BL69)))</f>
        <v>356.58000000000004</v>
      </c>
      <c r="BE70" s="13">
        <f>BD70*VLOOKUP('Données projet'!$B$11,Paramètres!$A$1:$I$89,3,0)*VLOOKUP('Données projet'!$B$11,Paramètres!$A$1:$I$89,5,0)</f>
        <v>171.51498000000004</v>
      </c>
      <c r="BF70" s="13">
        <f t="shared" si="91"/>
        <v>43.429153306133657</v>
      </c>
      <c r="BG70" s="20">
        <f t="shared" si="61"/>
        <v>374.36103217484947</v>
      </c>
      <c r="BH70" s="59">
        <f t="shared" si="62"/>
        <v>667.69436550818273</v>
      </c>
      <c r="BI70" s="59">
        <f ca="1">AVERAGE(OFFSET($BH$3,0,0,'Données projet'!$E$11+1,1))-AVERAGE(OFFSET($H$3,0,0,'Données projet'!$E$11+1,1))</f>
        <v>162.52375757962767</v>
      </c>
      <c r="BJ70" s="59">
        <f t="shared" si="92"/>
        <v>162.18047435246194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8.6875</v>
      </c>
      <c r="N71" s="13">
        <f>IF('Données projet'!$A$36&gt;35,N70+M71-V70,IF(A71&lt;'Données projet'!$A$36,$K$205^A71,IF(A71='Données projet'!$A$36,'Données projet'!$B$36,N70+M71-V70)))</f>
        <v>237.52884615384602</v>
      </c>
      <c r="O71" s="13">
        <f>N71*VLOOKUP('Données projet'!$B$9,Paramètres!$A$1:$I$89,3,0)*VLOOKUP('Données projet'!$B$9,Paramètres!$A$1:$I$89,5,0)</f>
        <v>214.91609999999989</v>
      </c>
      <c r="P71" s="13">
        <f t="shared" si="87"/>
        <v>53.008426149576081</v>
      </c>
      <c r="Q71" s="20">
        <f t="shared" si="54"/>
        <v>466.6352163771781</v>
      </c>
      <c r="R71" s="59">
        <f t="shared" si="55"/>
        <v>759.96854971051141</v>
      </c>
      <c r="S71" s="59">
        <f ca="1">AVERAGE(OFFSET($R$3,0,0,'Données projet'!$E$9+1,1))-AVERAGE(OFFSET($H$3,0,0,'Données projet'!$E$9+1,1))</f>
        <v>309.07357540707869</v>
      </c>
      <c r="T71" s="59">
        <f t="shared" si="88"/>
        <v>155.9593924683299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8.6875</v>
      </c>
      <c r="AI71" s="13">
        <f>IF('Données projet'!$A$62&gt;35,AI70+AH71-AQ70,IF(A71&lt;'Données projet'!$A$62,$AF$205^A71,IF(A71='Données projet'!$A$62,'Données projet'!$B$62,AI70+AH71-AQ70)))</f>
        <v>237.52884615384602</v>
      </c>
      <c r="AJ71" s="13">
        <f>AI71*VLOOKUP('Données projet'!$B$10,Paramètres!$A$1:$I$89,3,0)*VLOOKUP('Données projet'!$B$10,Paramètres!$A$1:$I$89,5,0)</f>
        <v>229.73789999999988</v>
      </c>
      <c r="AK71" s="13">
        <f t="shared" si="89"/>
        <v>56.226005622997405</v>
      </c>
      <c r="AL71" s="20">
        <f t="shared" si="58"/>
        <v>498.05380229338692</v>
      </c>
      <c r="AM71" s="59">
        <f t="shared" si="59"/>
        <v>791.38713562672024</v>
      </c>
      <c r="AN71" s="59">
        <f ca="1">AVERAGE(OFFSET($AM$3,0,0,'Données projet'!$E$10+1,1))-AVERAGE(OFFSET($H$3,0,0,'Données projet'!$E$10+1,1))</f>
        <v>340.4659523898373</v>
      </c>
      <c r="AO71" s="59">
        <f t="shared" si="90"/>
        <v>170.54530785680572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12.440000000000003</v>
      </c>
      <c r="BD71" s="12">
        <f>IF('Données projet'!$A$88&gt;35,BD70+BC71-BL70,IF(A71&lt;'Données projet'!$A$88,$BA$205^A71,IF(A71='Données projet'!$A$88,'Données projet'!$B$88,BD70+BC71-BL70)))</f>
        <v>369.02000000000004</v>
      </c>
      <c r="BE71" s="13">
        <f>BD71*VLOOKUP('Données projet'!$B$11,Paramètres!$A$1:$I$89,3,0)*VLOOKUP('Données projet'!$B$11,Paramètres!$A$1:$I$89,5,0)</f>
        <v>177.49862000000005</v>
      </c>
      <c r="BF71" s="13">
        <f t="shared" si="91"/>
        <v>44.76522276220701</v>
      </c>
      <c r="BG71" s="20">
        <f t="shared" si="61"/>
        <v>387.10952614417732</v>
      </c>
      <c r="BH71" s="59">
        <f t="shared" si="62"/>
        <v>680.44285947751064</v>
      </c>
      <c r="BI71" s="59">
        <f ca="1">AVERAGE(OFFSET($BH$3,0,0,'Données projet'!$E$11+1,1))-AVERAGE(OFFSET($H$3,0,0,'Données projet'!$E$11+1,1))</f>
        <v>162.52375757962767</v>
      </c>
      <c r="BJ71" s="59">
        <f t="shared" si="92"/>
        <v>162.18047435246194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8.6875</v>
      </c>
      <c r="N72" s="13">
        <f>IF('Données projet'!$A$36&gt;35,N71+M72-V71,IF(A72&lt;'Données projet'!$A$36,$K$205^A72,IF(A72='Données projet'!$A$36,'Données projet'!$B$36,N71+M72-V71)))</f>
        <v>246.21634615384602</v>
      </c>
      <c r="O72" s="13">
        <f>N72*VLOOKUP('Données projet'!$B$9,Paramètres!$A$1:$I$89,3,0)*VLOOKUP('Données projet'!$B$9,Paramètres!$A$1:$I$89,5,0)</f>
        <v>222.77654999999987</v>
      </c>
      <c r="P72" s="13">
        <f t="shared" si="87"/>
        <v>54.717913950141721</v>
      </c>
      <c r="Q72" s="20">
        <f t="shared" si="54"/>
        <v>483.30285804649662</v>
      </c>
      <c r="R72" s="59">
        <f t="shared" si="55"/>
        <v>776.63619137982994</v>
      </c>
      <c r="S72" s="59">
        <f ca="1">AVERAGE(OFFSET($R$3,0,0,'Données projet'!$E$9+1,1))-AVERAGE(OFFSET($H$3,0,0,'Données projet'!$E$9+1,1))</f>
        <v>309.07357540707869</v>
      </c>
      <c r="T72" s="59">
        <f t="shared" si="88"/>
        <v>155.9593924683299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8.6875</v>
      </c>
      <c r="AI72" s="13">
        <f>IF('Données projet'!$A$62&gt;35,AI71+AH72-AQ71,IF(A72&lt;'Données projet'!$A$62,$AF$205^A72,IF(A72='Données projet'!$A$62,'Données projet'!$B$62,AI71+AH72-AQ71)))</f>
        <v>246.21634615384602</v>
      </c>
      <c r="AJ72" s="13">
        <f>AI72*VLOOKUP('Données projet'!$B$10,Paramètres!$A$1:$I$89,3,0)*VLOOKUP('Données projet'!$B$10,Paramètres!$A$1:$I$89,5,0)</f>
        <v>238.14044999999987</v>
      </c>
      <c r="AK72" s="13">
        <f t="shared" si="89"/>
        <v>58.039258301276</v>
      </c>
      <c r="AL72" s="20">
        <f t="shared" si="58"/>
        <v>515.84632529138878</v>
      </c>
      <c r="AM72" s="59">
        <f t="shared" si="59"/>
        <v>809.17965862472215</v>
      </c>
      <c r="AN72" s="59">
        <f ca="1">AVERAGE(OFFSET($AM$3,0,0,'Données projet'!$E$10+1,1))-AVERAGE(OFFSET($H$3,0,0,'Données projet'!$E$10+1,1))</f>
        <v>340.4659523898373</v>
      </c>
      <c r="AO72" s="59">
        <f t="shared" si="90"/>
        <v>170.54530785680572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12.440000000000003</v>
      </c>
      <c r="BD72" s="12">
        <f>IF('Données projet'!$A$88&gt;35,BD71+BC72-BL71,IF(A72&lt;'Données projet'!$A$88,$BA$205^A72,IF(A72='Données projet'!$A$88,'Données projet'!$B$88,BD71+BC72-BL71)))</f>
        <v>381.46000000000004</v>
      </c>
      <c r="BE72" s="13">
        <f>BD72*VLOOKUP('Données projet'!$B$11,Paramètres!$A$1:$I$89,3,0)*VLOOKUP('Données projet'!$B$11,Paramètres!$A$1:$I$89,5,0)</f>
        <v>183.48226000000003</v>
      </c>
      <c r="BF72" s="13">
        <f t="shared" si="91"/>
        <v>46.096058774030688</v>
      </c>
      <c r="BG72" s="20">
        <f t="shared" si="61"/>
        <v>399.84890519810352</v>
      </c>
      <c r="BH72" s="59">
        <f t="shared" si="62"/>
        <v>693.18223853143684</v>
      </c>
      <c r="BI72" s="59">
        <f ca="1">AVERAGE(OFFSET($BH$3,0,0,'Données projet'!$E$11+1,1))-AVERAGE(OFFSET($H$3,0,0,'Données projet'!$E$11+1,1))</f>
        <v>162.52375757962767</v>
      </c>
      <c r="BJ72" s="59">
        <f t="shared" si="92"/>
        <v>162.18047435246194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8.6875</v>
      </c>
      <c r="N73" s="13">
        <f>IF('Données projet'!$A$36&gt;35,N72+M73-V72,IF(A73&lt;'Données projet'!$A$36,$K$205^A73,IF(A73='Données projet'!$A$36,'Données projet'!$B$36,N72+M73-V72)))</f>
        <v>254.90384615384602</v>
      </c>
      <c r="O73" s="13">
        <f>N73*VLOOKUP('Données projet'!$B$9,Paramètres!$A$1:$I$89,3,0)*VLOOKUP('Données projet'!$B$9,Paramètres!$A$1:$I$89,5,0)</f>
        <v>230.63699999999986</v>
      </c>
      <c r="P73" s="13">
        <f t="shared" si="87"/>
        <v>56.420393645840619</v>
      </c>
      <c r="Q73" s="20">
        <f t="shared" si="54"/>
        <v>499.95829393317217</v>
      </c>
      <c r="R73" s="59">
        <f t="shared" si="55"/>
        <v>793.29162726650543</v>
      </c>
      <c r="S73" s="59">
        <f ca="1">AVERAGE(OFFSET($R$3,0,0,'Données projet'!$E$9+1,1))-AVERAGE(OFFSET($H$3,0,0,'Données projet'!$E$9+1,1))</f>
        <v>309.07357540707869</v>
      </c>
      <c r="T73" s="59">
        <f t="shared" si="88"/>
        <v>155.9593924683299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8.6875</v>
      </c>
      <c r="AI73" s="13">
        <f>IF('Données projet'!$A$62&gt;35,AI72+AH73-AQ72,IF(A73&lt;'Données projet'!$A$62,$AF$205^A73,IF(A73='Données projet'!$A$62,'Données projet'!$B$62,AI72+AH73-AQ72)))</f>
        <v>254.90384615384602</v>
      </c>
      <c r="AJ73" s="13">
        <f>AI73*VLOOKUP('Données projet'!$B$10,Paramètres!$A$1:$I$89,3,0)*VLOOKUP('Données projet'!$B$10,Paramètres!$A$1:$I$89,5,0)</f>
        <v>246.54299999999989</v>
      </c>
      <c r="AK73" s="13">
        <f t="shared" si="89"/>
        <v>59.845077486952164</v>
      </c>
      <c r="AL73" s="20">
        <f t="shared" si="58"/>
        <v>533.62590162310812</v>
      </c>
      <c r="AM73" s="59">
        <f t="shared" si="59"/>
        <v>826.95923495644138</v>
      </c>
      <c r="AN73" s="59">
        <f ca="1">AVERAGE(OFFSET($AM$3,0,0,'Données projet'!$E$10+1,1))-AVERAGE(OFFSET($H$3,0,0,'Données projet'!$E$10+1,1))</f>
        <v>340.4659523898373</v>
      </c>
      <c r="AO73" s="59">
        <f t="shared" si="90"/>
        <v>170.54530785680572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393.90000000000003</v>
      </c>
      <c r="BB73" s="12">
        <f>VLOOKUP(A73,'Données projet'!$A$87:$I$107,9,0)</f>
        <v>12.440000000000003</v>
      </c>
      <c r="BC73" s="12">
        <f t="array" ref="BC73">INDEX(BB:BB,MIN(IF(ISNUMBER(BB73:BB269),ROW(BB73:BB269),"")))</f>
        <v>12.440000000000003</v>
      </c>
      <c r="BD73" s="12">
        <f>IF('Données projet'!$A$88&gt;35,BD72+BC73-BL72,IF(A73&lt;'Données projet'!$A$88,$BA$205^A73,IF(A73='Données projet'!$A$88,'Données projet'!$B$88,BD72+BC73-BL72)))</f>
        <v>393.90000000000003</v>
      </c>
      <c r="BE73" s="13">
        <f>BD73*VLOOKUP('Données projet'!$B$11,Paramètres!$A$1:$I$89,3,0)*VLOOKUP('Données projet'!$B$11,Paramètres!$A$1:$I$89,5,0)</f>
        <v>189.46590000000003</v>
      </c>
      <c r="BF73" s="13">
        <f t="shared" si="91"/>
        <v>47.421851585666552</v>
      </c>
      <c r="BG73" s="20">
        <f t="shared" si="61"/>
        <v>412.57950067836936</v>
      </c>
      <c r="BH73" s="59">
        <f t="shared" si="62"/>
        <v>705.91283401170267</v>
      </c>
      <c r="BI73" s="59">
        <f ca="1">AVERAGE(OFFSET($BH$3,0,0,'Données projet'!$E$11+1,1))-AVERAGE(OFFSET($H$3,0,0,'Données projet'!$E$11+1,1))</f>
        <v>162.52375757962767</v>
      </c>
      <c r="BJ73" s="59">
        <f t="shared" si="92"/>
        <v>162.18047435246194</v>
      </c>
      <c r="BK73" s="15">
        <f>IF(ISNA(VLOOKUP(A73,'Données projet'!$A$87:$I$107,3,0)),0,VLOOKUP(A73,'Données projet'!$A$87:$I$107,3,0))</f>
        <v>3</v>
      </c>
      <c r="BL73" s="15">
        <f>IF(ISNA(VLOOKUP(A73,'Données projet'!$A$87:$I$107,4,0)),0,VLOOKUP(A73,'Données projet'!$A$87:$I$107,4,0))</f>
        <v>105.74615384615385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8.6875</v>
      </c>
      <c r="N74" s="13">
        <f>IF('Données projet'!$A$36&gt;35,N73+M74-V73,IF(A74&lt;'Données projet'!$A$36,$K$205^A74,IF(A74='Données projet'!$A$36,'Données projet'!$B$36,N73+M74-V73)))</f>
        <v>263.59134615384602</v>
      </c>
      <c r="O74" s="13">
        <f>N74*VLOOKUP('Données projet'!$B$9,Paramètres!$A$1:$I$89,3,0)*VLOOKUP('Données projet'!$B$9,Paramètres!$A$1:$I$89,5,0)</f>
        <v>238.49744999999984</v>
      </c>
      <c r="P74" s="13">
        <f t="shared" si="87"/>
        <v>58.116131461503187</v>
      </c>
      <c r="Q74" s="20">
        <f t="shared" si="54"/>
        <v>516.60198771211776</v>
      </c>
      <c r="R74" s="59">
        <f t="shared" si="55"/>
        <v>809.93532104545102</v>
      </c>
      <c r="S74" s="59">
        <f ca="1">AVERAGE(OFFSET($R$3,0,0,'Données projet'!$E$9+1,1))-AVERAGE(OFFSET($H$3,0,0,'Données projet'!$E$9+1,1))</f>
        <v>309.07357540707869</v>
      </c>
      <c r="T74" s="59">
        <f t="shared" si="88"/>
        <v>155.9593924683299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8.6875</v>
      </c>
      <c r="AI74" s="13">
        <f>IF('Données projet'!$A$62&gt;35,AI73+AH74-AQ73,IF(A74&lt;'Données projet'!$A$62,$AF$205^A74,IF(A74='Données projet'!$A$62,'Données projet'!$B$62,AI73+AH74-AQ73)))</f>
        <v>263.59134615384602</v>
      </c>
      <c r="AJ74" s="13">
        <f>AI74*VLOOKUP('Données projet'!$B$10,Paramètres!$A$1:$I$89,3,0)*VLOOKUP('Données projet'!$B$10,Paramètres!$A$1:$I$89,5,0)</f>
        <v>254.94554999999988</v>
      </c>
      <c r="AK74" s="13">
        <f t="shared" si="89"/>
        <v>61.643745564542989</v>
      </c>
      <c r="AL74" s="20">
        <f t="shared" si="58"/>
        <v>551.39302310824553</v>
      </c>
      <c r="AM74" s="59">
        <f t="shared" si="59"/>
        <v>844.7263564415789</v>
      </c>
      <c r="AN74" s="59">
        <f ca="1">AVERAGE(OFFSET($AM$3,0,0,'Données projet'!$E$10+1,1))-AVERAGE(OFFSET($H$3,0,0,'Données projet'!$E$10+1,1))</f>
        <v>340.4659523898373</v>
      </c>
      <c r="AO74" s="59">
        <f t="shared" si="90"/>
        <v>170.54530785680572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9.5146153846153823</v>
      </c>
      <c r="BD74" s="12">
        <f>IF('Données projet'!$A$88&gt;35,BD73+BC74-BL73,IF(A74&lt;'Données projet'!$A$88,$BA$205^A74,IF(A74='Données projet'!$A$88,'Données projet'!$B$88,BD73+BC74-BL73)))</f>
        <v>297.6684615384616</v>
      </c>
      <c r="BE74" s="13">
        <f>BD74*VLOOKUP('Données projet'!$B$11,Paramètres!$A$1:$I$89,3,0)*VLOOKUP('Données projet'!$B$11,Paramètres!$A$1:$I$89,5,0)</f>
        <v>143.17853000000002</v>
      </c>
      <c r="BF74" s="13">
        <f t="shared" si="91"/>
        <v>37.024207959210926</v>
      </c>
      <c r="BG74" s="20">
        <f t="shared" si="61"/>
        <v>313.85310194562567</v>
      </c>
      <c r="BH74" s="59">
        <f t="shared" si="62"/>
        <v>607.18643527895892</v>
      </c>
      <c r="BI74" s="59">
        <f ca="1">AVERAGE(OFFSET($BH$3,0,0,'Données projet'!$E$11+1,1))-AVERAGE(OFFSET($H$3,0,0,'Données projet'!$E$11+1,1))</f>
        <v>162.52375757962767</v>
      </c>
      <c r="BJ74" s="59">
        <f t="shared" si="92"/>
        <v>162.18047435246194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8.6875</v>
      </c>
      <c r="N75" s="13">
        <f>IF('Données projet'!$A$36&gt;35,N74+M75-V74,IF(A75&lt;'Données projet'!$A$36,$K$205^A75,IF(A75='Données projet'!$A$36,'Données projet'!$B$36,N74+M75-V74)))</f>
        <v>272.27884615384602</v>
      </c>
      <c r="O75" s="13">
        <f>N75*VLOOKUP('Données projet'!$B$9,Paramètres!$A$1:$I$89,3,0)*VLOOKUP('Données projet'!$B$9,Paramètres!$A$1:$I$89,5,0)</f>
        <v>246.35789999999989</v>
      </c>
      <c r="P75" s="13">
        <f t="shared" si="87"/>
        <v>59.805375077411945</v>
      </c>
      <c r="Q75" s="20">
        <f t="shared" si="54"/>
        <v>533.23437075982554</v>
      </c>
      <c r="R75" s="59">
        <f t="shared" si="55"/>
        <v>826.56770409315891</v>
      </c>
      <c r="S75" s="59">
        <f ca="1">AVERAGE(OFFSET($R$3,0,0,'Données projet'!$E$9+1,1))-AVERAGE(OFFSET($H$3,0,0,'Données projet'!$E$9+1,1))</f>
        <v>309.07357540707869</v>
      </c>
      <c r="T75" s="59">
        <f t="shared" si="88"/>
        <v>155.9593924683299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8.6875</v>
      </c>
      <c r="AI75" s="13">
        <f>IF('Données projet'!$A$62&gt;35,AI74+AH75-AQ74,IF(A75&lt;'Données projet'!$A$62,$AF$205^A75,IF(A75='Données projet'!$A$62,'Données projet'!$B$62,AI74+AH75-AQ74)))</f>
        <v>272.27884615384602</v>
      </c>
      <c r="AJ75" s="13">
        <f>AI75*VLOOKUP('Données projet'!$B$10,Paramètres!$A$1:$I$89,3,0)*VLOOKUP('Données projet'!$B$10,Paramètres!$A$1:$I$89,5,0)</f>
        <v>263.34809999999987</v>
      </c>
      <c r="AK75" s="13">
        <f t="shared" si="89"/>
        <v>63.435525248374525</v>
      </c>
      <c r="AL75" s="20">
        <f t="shared" si="58"/>
        <v>569.14814730758542</v>
      </c>
      <c r="AM75" s="59">
        <f t="shared" si="59"/>
        <v>862.48148064091879</v>
      </c>
      <c r="AN75" s="59">
        <f ca="1">AVERAGE(OFFSET($AM$3,0,0,'Données projet'!$E$10+1,1))-AVERAGE(OFFSET($H$3,0,0,'Données projet'!$E$10+1,1))</f>
        <v>340.4659523898373</v>
      </c>
      <c r="AO75" s="59">
        <f t="shared" si="90"/>
        <v>170.54530785680572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9.5146153846153823</v>
      </c>
      <c r="BD75" s="12">
        <f>IF('Données projet'!$A$88&gt;35,BD74+BC75-BL74,IF(A75&lt;'Données projet'!$A$88,$BA$205^A75,IF(A75='Données projet'!$A$88,'Données projet'!$B$88,BD74+BC75-BL74)))</f>
        <v>307.18307692307701</v>
      </c>
      <c r="BE75" s="13">
        <f>BD75*VLOOKUP('Données projet'!$B$11,Paramètres!$A$1:$I$89,3,0)*VLOOKUP('Données projet'!$B$11,Paramètres!$A$1:$I$89,5,0)</f>
        <v>147.75506000000004</v>
      </c>
      <c r="BF75" s="13">
        <f t="shared" si="91"/>
        <v>38.067968078085357</v>
      </c>
      <c r="BG75" s="20">
        <f t="shared" si="61"/>
        <v>323.64177390266542</v>
      </c>
      <c r="BH75" s="59">
        <f t="shared" si="62"/>
        <v>616.97510723599873</v>
      </c>
      <c r="BI75" s="59">
        <f ca="1">AVERAGE(OFFSET($BH$3,0,0,'Données projet'!$E$11+1,1))-AVERAGE(OFFSET($H$3,0,0,'Données projet'!$E$11+1,1))</f>
        <v>162.52375757962767</v>
      </c>
      <c r="BJ75" s="59">
        <f t="shared" si="92"/>
        <v>162.18047435246194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8.6875</v>
      </c>
      <c r="N76" s="13">
        <f>IF('Données projet'!$A$36&gt;35,N75+M76-V75,IF(A76&lt;'Données projet'!$A$36,$K$205^A76,IF(A76='Données projet'!$A$36,'Données projet'!$B$36,N75+M76-V75)))</f>
        <v>280.96634615384602</v>
      </c>
      <c r="O76" s="13">
        <f>N76*VLOOKUP('Données projet'!$B$9,Paramètres!$A$1:$I$89,3,0)*VLOOKUP('Données projet'!$B$9,Paramètres!$A$1:$I$89,5,0)</f>
        <v>254.21834999999987</v>
      </c>
      <c r="P76" s="13">
        <f t="shared" si="87"/>
        <v>61.488355471111007</v>
      </c>
      <c r="Q76" s="20">
        <f t="shared" si="54"/>
        <v>549.85584536218471</v>
      </c>
      <c r="R76" s="59">
        <f t="shared" si="55"/>
        <v>843.18917869551797</v>
      </c>
      <c r="S76" s="59">
        <f ca="1">AVERAGE(OFFSET($R$3,0,0,'Données projet'!$E$9+1,1))-AVERAGE(OFFSET($H$3,0,0,'Données projet'!$E$9+1,1))</f>
        <v>309.07357540707869</v>
      </c>
      <c r="T76" s="59">
        <f t="shared" si="88"/>
        <v>155.9593924683299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8.6875</v>
      </c>
      <c r="AI76" s="13">
        <f>IF('Données projet'!$A$62&gt;35,AI75+AH76-AQ75,IF(A76&lt;'Données projet'!$A$62,$AF$205^A76,IF(A76='Données projet'!$A$62,'Données projet'!$B$62,AI75+AH76-AQ75)))</f>
        <v>280.96634615384602</v>
      </c>
      <c r="AJ76" s="13">
        <f>AI76*VLOOKUP('Données projet'!$B$10,Paramètres!$A$1:$I$89,3,0)*VLOOKUP('Données projet'!$B$10,Paramètres!$A$1:$I$89,5,0)</f>
        <v>271.75064999999989</v>
      </c>
      <c r="AK76" s="13">
        <f t="shared" si="89"/>
        <v>65.220661536188601</v>
      </c>
      <c r="AL76" s="20">
        <f t="shared" si="58"/>
        <v>586.89170092552831</v>
      </c>
      <c r="AM76" s="59">
        <f t="shared" si="59"/>
        <v>880.22503425886157</v>
      </c>
      <c r="AN76" s="59">
        <f ca="1">AVERAGE(OFFSET($AM$3,0,0,'Données projet'!$E$10+1,1))-AVERAGE(OFFSET($H$3,0,0,'Données projet'!$E$10+1,1))</f>
        <v>340.4659523898373</v>
      </c>
      <c r="AO76" s="59">
        <f t="shared" si="90"/>
        <v>170.54530785680572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9.5146153846153823</v>
      </c>
      <c r="BD76" s="12">
        <f>IF('Données projet'!$A$88&gt;35,BD75+BC76-BL75,IF(A76&lt;'Données projet'!$A$88,$BA$205^A76,IF(A76='Données projet'!$A$88,'Données projet'!$B$88,BD75+BC76-BL75)))</f>
        <v>316.69769230769236</v>
      </c>
      <c r="BE76" s="13">
        <f>BD76*VLOOKUP('Données projet'!$B$11,Paramètres!$A$1:$I$89,3,0)*VLOOKUP('Données projet'!$B$11,Paramètres!$A$1:$I$89,5,0)</f>
        <v>152.33159000000003</v>
      </c>
      <c r="BF76" s="13">
        <f t="shared" si="91"/>
        <v>39.107971221583561</v>
      </c>
      <c r="BG76" s="20">
        <f t="shared" si="61"/>
        <v>333.42390246092475</v>
      </c>
      <c r="BH76" s="59">
        <f t="shared" si="62"/>
        <v>626.75723579425812</v>
      </c>
      <c r="BI76" s="59">
        <f ca="1">AVERAGE(OFFSET($BH$3,0,0,'Données projet'!$E$11+1,1))-AVERAGE(OFFSET($H$3,0,0,'Données projet'!$E$11+1,1))</f>
        <v>162.52375757962767</v>
      </c>
      <c r="BJ76" s="59">
        <f t="shared" si="92"/>
        <v>162.18047435246194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289.65384615384613</v>
      </c>
      <c r="L77" s="12">
        <f>VLOOKUP(A77,'Données projet'!$A$35:$I$55,9,0)</f>
        <v>8.6875</v>
      </c>
      <c r="M77" s="12">
        <f t="array" ref="M77">INDEX(L:L,MIN(IF(ISNUMBER(L77:L273),ROW(L77:L273),"")))</f>
        <v>8.6875</v>
      </c>
      <c r="N77" s="13">
        <f>IF('Données projet'!$A$36&gt;35,N76+M77-V76,IF(A77&lt;'Données projet'!$A$36,$K$205^A77,IF(A77='Données projet'!$A$36,'Données projet'!$B$36,N76+M77-V76)))</f>
        <v>289.65384615384602</v>
      </c>
      <c r="O77" s="13">
        <f>N77*VLOOKUP('Données projet'!$B$9,Paramètres!$A$1:$I$89,3,0)*VLOOKUP('Données projet'!$B$9,Paramètres!$A$1:$I$89,5,0)</f>
        <v>262.07879999999989</v>
      </c>
      <c r="P77" s="13">
        <f t="shared" si="87"/>
        <v>63.165288525021069</v>
      </c>
      <c r="Q77" s="20">
        <f t="shared" si="54"/>
        <v>566.46678751441152</v>
      </c>
      <c r="R77" s="59">
        <f t="shared" si="55"/>
        <v>859.80012084774489</v>
      </c>
      <c r="S77" s="59">
        <f ca="1">AVERAGE(OFFSET($R$3,0,0,'Données projet'!$E$9+1,1))-AVERAGE(OFFSET($H$3,0,0,'Données projet'!$E$9+1,1))</f>
        <v>309.07357540707869</v>
      </c>
      <c r="T77" s="59">
        <f t="shared" si="88"/>
        <v>155.9593924683299</v>
      </c>
      <c r="U77" s="15">
        <f>IF(ISNA(VLOOKUP(A77,'Données projet'!$A$35:$I$55,3,0)),0,VLOOKUP(A77,'Données projet'!$A$35:$I$55,3,0))</f>
        <v>6</v>
      </c>
      <c r="V77" s="15">
        <f>IF(ISNA(VLOOKUP(A77,'Données projet'!$A$35:$I$55,4,0)),0,VLOOKUP(A77,'Données projet'!$A$35:$I$55,4,0))</f>
        <v>52.737179487179482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289.65384615384613</v>
      </c>
      <c r="AG77" s="12">
        <f>VLOOKUP(A77,'Données projet'!$A$61:$I$81,9,0)</f>
        <v>8.6875</v>
      </c>
      <c r="AH77" s="12">
        <f t="array" ref="AH77">INDEX(AG:AG,MIN(IF(ISNUMBER(AG77:AG273),ROW(AG77:AG273),"")))</f>
        <v>8.6875</v>
      </c>
      <c r="AI77" s="13">
        <f>IF('Données projet'!$A$62&gt;35,AI76+AH77-AQ76,IF(A77&lt;'Données projet'!$A$62,$AF$205^A77,IF(A77='Données projet'!$A$62,'Données projet'!$B$62,AI76+AH77-AQ76)))</f>
        <v>289.65384615384602</v>
      </c>
      <c r="AJ77" s="13">
        <f>AI77*VLOOKUP('Données projet'!$B$10,Paramètres!$A$1:$I$89,3,0)*VLOOKUP('Données projet'!$B$10,Paramètres!$A$1:$I$89,5,0)</f>
        <v>280.15319999999986</v>
      </c>
      <c r="AK77" s="13">
        <f t="shared" si="89"/>
        <v>66.999383414338382</v>
      </c>
      <c r="AL77" s="20">
        <f t="shared" si="58"/>
        <v>604.62408277997235</v>
      </c>
      <c r="AM77" s="59">
        <f t="shared" si="59"/>
        <v>897.95741611330573</v>
      </c>
      <c r="AN77" s="59">
        <f ca="1">AVERAGE(OFFSET($AM$3,0,0,'Données projet'!$E$10+1,1))-AVERAGE(OFFSET($H$3,0,0,'Données projet'!$E$10+1,1))</f>
        <v>340.4659523898373</v>
      </c>
      <c r="AO77" s="59">
        <f t="shared" si="90"/>
        <v>170.54530785680572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52.737179487179482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9.5146153846153823</v>
      </c>
      <c r="BD77" s="12">
        <f>IF('Données projet'!$A$88&gt;35,BD76+BC77-BL76,IF(A77&lt;'Données projet'!$A$88,$BA$205^A77,IF(A77='Données projet'!$A$88,'Données projet'!$B$88,BD76+BC77-BL76)))</f>
        <v>326.21230769230772</v>
      </c>
      <c r="BE77" s="13">
        <f>BD77*VLOOKUP('Données projet'!$B$11,Paramètres!$A$1:$I$89,3,0)*VLOOKUP('Données projet'!$B$11,Paramètres!$A$1:$I$89,5,0)</f>
        <v>156.90812000000003</v>
      </c>
      <c r="BF77" s="13">
        <f t="shared" si="91"/>
        <v>40.144343217873619</v>
      </c>
      <c r="BG77" s="20">
        <f t="shared" si="61"/>
        <v>343.19970677112991</v>
      </c>
      <c r="BH77" s="59">
        <f t="shared" si="62"/>
        <v>636.53304010446323</v>
      </c>
      <c r="BI77" s="59">
        <f ca="1">AVERAGE(OFFSET($BH$3,0,0,'Données projet'!$E$11+1,1))-AVERAGE(OFFSET($H$3,0,0,'Données projet'!$E$11+1,1))</f>
        <v>162.52375757962767</v>
      </c>
      <c r="BJ77" s="59">
        <f t="shared" si="92"/>
        <v>162.18047435246194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8.1746794871794854</v>
      </c>
      <c r="N78" s="13">
        <f>IF('Données projet'!$A$36&gt;35,N77+M78-V77,IF(A78&lt;'Données projet'!$A$36,$K$205^A78,IF(A78='Données projet'!$A$36,'Données projet'!$B$36,N77+M78-V77)))</f>
        <v>245.09134615384605</v>
      </c>
      <c r="O78" s="13">
        <f>N78*VLOOKUP('Données projet'!$B$9,Paramètres!$A$1:$I$89,3,0)*VLOOKUP('Données projet'!$B$9,Paramètres!$A$1:$I$89,5,0)</f>
        <v>221.7586499999999</v>
      </c>
      <c r="P78" s="13">
        <f t="shared" si="87"/>
        <v>54.49694230414304</v>
      </c>
      <c r="Q78" s="20">
        <f t="shared" si="54"/>
        <v>481.14515659638232</v>
      </c>
      <c r="R78" s="59">
        <f t="shared" si="55"/>
        <v>774.47848992971558</v>
      </c>
      <c r="S78" s="59">
        <f ca="1">AVERAGE(OFFSET($R$3,0,0,'Données projet'!$E$9+1,1))-AVERAGE(OFFSET($H$3,0,0,'Données projet'!$E$9+1,1))</f>
        <v>309.07357540707869</v>
      </c>
      <c r="T78" s="59">
        <f t="shared" si="88"/>
        <v>155.9593924683299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8.1746794871794854</v>
      </c>
      <c r="AI78" s="13">
        <f>IF('Données projet'!$A$62&gt;35,AI77+AH78-AQ77,IF(A78&lt;'Données projet'!$A$62,$AF$205^A78,IF(A78='Données projet'!$A$62,'Données projet'!$B$62,AI77+AH78-AQ77)))</f>
        <v>245.09134615384605</v>
      </c>
      <c r="AJ78" s="13">
        <f>AI78*VLOOKUP('Données projet'!$B$10,Paramètres!$A$1:$I$89,3,0)*VLOOKUP('Données projet'!$B$10,Paramètres!$A$1:$I$89,5,0)</f>
        <v>237.05234999999993</v>
      </c>
      <c r="AK78" s="13">
        <f t="shared" si="89"/>
        <v>57.804873809735234</v>
      </c>
      <c r="AL78" s="20">
        <f t="shared" si="58"/>
        <v>513.54299813528871</v>
      </c>
      <c r="AM78" s="59">
        <f t="shared" si="59"/>
        <v>806.87633146862208</v>
      </c>
      <c r="AN78" s="59">
        <f ca="1">AVERAGE(OFFSET($AM$3,0,0,'Données projet'!$E$10+1,1))-AVERAGE(OFFSET($H$3,0,0,'Données projet'!$E$10+1,1))</f>
        <v>340.4659523898373</v>
      </c>
      <c r="AO78" s="59">
        <f t="shared" si="90"/>
        <v>170.54530785680572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9.5146153846153823</v>
      </c>
      <c r="BD78" s="12">
        <f>IF('Données projet'!$A$88&gt;35,BD77+BC78-BL77,IF(A78&lt;'Données projet'!$A$88,$BA$205^A78,IF(A78='Données projet'!$A$88,'Données projet'!$B$88,BD77+BC78-BL77)))</f>
        <v>335.72692307692307</v>
      </c>
      <c r="BE78" s="13">
        <f>BD78*VLOOKUP('Données projet'!$B$11,Paramètres!$A$1:$I$89,3,0)*VLOOKUP('Données projet'!$B$11,Paramètres!$A$1:$I$89,5,0)</f>
        <v>161.48464999999999</v>
      </c>
      <c r="BF78" s="13">
        <f t="shared" si="91"/>
        <v>41.177202137727257</v>
      </c>
      <c r="BG78" s="20">
        <f t="shared" si="61"/>
        <v>352.96939247320825</v>
      </c>
      <c r="BH78" s="59">
        <f t="shared" si="62"/>
        <v>646.3027258065415</v>
      </c>
      <c r="BI78" s="59">
        <f ca="1">AVERAGE(OFFSET($BH$3,0,0,'Données projet'!$E$11+1,1))-AVERAGE(OFFSET($H$3,0,0,'Données projet'!$E$11+1,1))</f>
        <v>162.52375757962767</v>
      </c>
      <c r="BJ78" s="59">
        <f t="shared" si="92"/>
        <v>162.18047435246194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8.1746794871794854</v>
      </c>
      <c r="N79" s="13">
        <f>IF('Données projet'!$A$36&gt;35,N78+M79-V78,IF(A79&lt;'Données projet'!$A$36,$K$205^A79,IF(A79='Données projet'!$A$36,'Données projet'!$B$36,N78+M79-V78)))</f>
        <v>253.26602564102552</v>
      </c>
      <c r="O79" s="13">
        <f>N79*VLOOKUP('Données projet'!$B$9,Paramètres!$A$1:$I$89,3,0)*VLOOKUP('Données projet'!$B$9,Paramètres!$A$1:$I$89,5,0)</f>
        <v>229.15509999999986</v>
      </c>
      <c r="P79" s="13">
        <f t="shared" si="87"/>
        <v>56.099955286020709</v>
      </c>
      <c r="Q79" s="20">
        <f t="shared" si="54"/>
        <v>496.8192212898191</v>
      </c>
      <c r="R79" s="59">
        <f t="shared" si="55"/>
        <v>790.15255462315235</v>
      </c>
      <c r="S79" s="59">
        <f ca="1">AVERAGE(OFFSET($R$3,0,0,'Données projet'!$E$9+1,1))-AVERAGE(OFFSET($H$3,0,0,'Données projet'!$E$9+1,1))</f>
        <v>309.07357540707869</v>
      </c>
      <c r="T79" s="59">
        <f t="shared" si="88"/>
        <v>155.9593924683299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8.1746794871794854</v>
      </c>
      <c r="AI79" s="13">
        <f>IF('Données projet'!$A$62&gt;35,AI78+AH79-AQ78,IF(A79&lt;'Données projet'!$A$62,$AF$205^A79,IF(A79='Données projet'!$A$62,'Données projet'!$B$62,AI78+AH79-AQ78)))</f>
        <v>253.26602564102552</v>
      </c>
      <c r="AJ79" s="13">
        <f>AI79*VLOOKUP('Données projet'!$B$10,Paramètres!$A$1:$I$89,3,0)*VLOOKUP('Données projet'!$B$10,Paramètres!$A$1:$I$89,5,0)</f>
        <v>244.95889999999989</v>
      </c>
      <c r="AK79" s="13">
        <f t="shared" si="89"/>
        <v>59.505188712095517</v>
      </c>
      <c r="AL79" s="20">
        <f t="shared" si="58"/>
        <v>530.27495450689946</v>
      </c>
      <c r="AM79" s="59">
        <f t="shared" si="59"/>
        <v>823.60828784023283</v>
      </c>
      <c r="AN79" s="59">
        <f ca="1">AVERAGE(OFFSET($AM$3,0,0,'Données projet'!$E$10+1,1))-AVERAGE(OFFSET($H$3,0,0,'Données projet'!$E$10+1,1))</f>
        <v>340.4659523898373</v>
      </c>
      <c r="AO79" s="59">
        <f t="shared" si="90"/>
        <v>170.54530785680572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9.5146153846153823</v>
      </c>
      <c r="BD79" s="12">
        <f>IF('Données projet'!$A$88&gt;35,BD78+BC79-BL78,IF(A79&lt;'Données projet'!$A$88,$BA$205^A79,IF(A79='Données projet'!$A$88,'Données projet'!$B$88,BD78+BC79-BL78)))</f>
        <v>345.24153846153843</v>
      </c>
      <c r="BE79" s="13">
        <f>BD79*VLOOKUP('Données projet'!$B$11,Paramètres!$A$1:$I$89,3,0)*VLOOKUP('Données projet'!$B$11,Paramètres!$A$1:$I$89,5,0)</f>
        <v>166.06117999999998</v>
      </c>
      <c r="BF79" s="13">
        <f t="shared" si="91"/>
        <v>42.206658978894602</v>
      </c>
      <c r="BG79" s="20">
        <f t="shared" si="61"/>
        <v>362.73315288824142</v>
      </c>
      <c r="BH79" s="59">
        <f t="shared" si="62"/>
        <v>656.06648622157468</v>
      </c>
      <c r="BI79" s="59">
        <f ca="1">AVERAGE(OFFSET($BH$3,0,0,'Données projet'!$E$11+1,1))-AVERAGE(OFFSET($H$3,0,0,'Données projet'!$E$11+1,1))</f>
        <v>162.52375757962767</v>
      </c>
      <c r="BJ79" s="59">
        <f t="shared" si="92"/>
        <v>162.18047435246194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8.1746794871794854</v>
      </c>
      <c r="N80" s="13">
        <f>IF('Données projet'!$A$36&gt;35,N79+M80-V79,IF(A80&lt;'Données projet'!$A$36,$K$205^A80,IF(A80='Données projet'!$A$36,'Données projet'!$B$36,N79+M80-V79)))</f>
        <v>261.44070512820502</v>
      </c>
      <c r="O80" s="13">
        <f>N80*VLOOKUP('Données projet'!$B$9,Paramètres!$A$1:$I$89,3,0)*VLOOKUP('Données projet'!$B$9,Paramètres!$A$1:$I$89,5,0)</f>
        <v>236.55154999999991</v>
      </c>
      <c r="P80" s="13">
        <f t="shared" si="87"/>
        <v>57.696955867207052</v>
      </c>
      <c r="Q80" s="20">
        <f t="shared" si="54"/>
        <v>512.4828143853855</v>
      </c>
      <c r="R80" s="59">
        <f t="shared" si="55"/>
        <v>805.81614771871887</v>
      </c>
      <c r="S80" s="59">
        <f ca="1">AVERAGE(OFFSET($R$3,0,0,'Données projet'!$E$9+1,1))-AVERAGE(OFFSET($H$3,0,0,'Données projet'!$E$9+1,1))</f>
        <v>309.07357540707869</v>
      </c>
      <c r="T80" s="59">
        <f t="shared" si="88"/>
        <v>155.9593924683299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8.1746794871794854</v>
      </c>
      <c r="AI80" s="13">
        <f>IF('Données projet'!$A$62&gt;35,AI79+AH80-AQ79,IF(A80&lt;'Données projet'!$A$62,$AF$205^A80,IF(A80='Données projet'!$A$62,'Données projet'!$B$62,AI79+AH80-AQ79)))</f>
        <v>261.44070512820502</v>
      </c>
      <c r="AJ80" s="13">
        <f>AI80*VLOOKUP('Données projet'!$B$10,Paramètres!$A$1:$I$89,3,0)*VLOOKUP('Données projet'!$B$10,Paramètres!$A$1:$I$89,5,0)</f>
        <v>252.86544999999992</v>
      </c>
      <c r="AK80" s="13">
        <f t="shared" si="89"/>
        <v>61.199126264671477</v>
      </c>
      <c r="AL80" s="20">
        <f t="shared" si="58"/>
        <v>546.99580366096939</v>
      </c>
      <c r="AM80" s="59">
        <f t="shared" si="59"/>
        <v>840.32913699430264</v>
      </c>
      <c r="AN80" s="59">
        <f ca="1">AVERAGE(OFFSET($AM$3,0,0,'Données projet'!$E$10+1,1))-AVERAGE(OFFSET($H$3,0,0,'Données projet'!$E$10+1,1))</f>
        <v>340.4659523898373</v>
      </c>
      <c r="AO80" s="59">
        <f t="shared" si="90"/>
        <v>170.54530785680572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9.5146153846153823</v>
      </c>
      <c r="BD80" s="12">
        <f>IF('Données projet'!$A$88&gt;35,BD79+BC80-BL79,IF(A80&lt;'Données projet'!$A$88,$BA$205^A80,IF(A80='Données projet'!$A$88,'Données projet'!$B$88,BD79+BC80-BL79)))</f>
        <v>354.75615384615378</v>
      </c>
      <c r="BE80" s="13">
        <f>BD80*VLOOKUP('Données projet'!$B$11,Paramètres!$A$1:$I$89,3,0)*VLOOKUP('Données projet'!$B$11,Paramètres!$A$1:$I$89,5,0)</f>
        <v>170.63770999999997</v>
      </c>
      <c r="BF80" s="13">
        <f t="shared" si="91"/>
        <v>43.232818272913974</v>
      </c>
      <c r="BG80" s="20">
        <f t="shared" si="61"/>
        <v>372.49117007532504</v>
      </c>
      <c r="BH80" s="59">
        <f t="shared" si="62"/>
        <v>665.8245034086583</v>
      </c>
      <c r="BI80" s="59">
        <f ca="1">AVERAGE(OFFSET($BH$3,0,0,'Données projet'!$E$11+1,1))-AVERAGE(OFFSET($H$3,0,0,'Données projet'!$E$11+1,1))</f>
        <v>162.52375757962767</v>
      </c>
      <c r="BJ80" s="59">
        <f t="shared" si="92"/>
        <v>162.18047435246194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8.1746794871794854</v>
      </c>
      <c r="N81" s="13">
        <f>IF('Données projet'!$A$36&gt;35,N80+M81-V80,IF(A81&lt;'Données projet'!$A$36,$K$205^A81,IF(A81='Données projet'!$A$36,'Données projet'!$B$36,N80+M81-V80)))</f>
        <v>269.61538461538453</v>
      </c>
      <c r="O81" s="13">
        <f>N81*VLOOKUP('Données projet'!$B$9,Paramètres!$A$1:$I$89,3,0)*VLOOKUP('Données projet'!$B$9,Paramètres!$A$1:$I$89,5,0)</f>
        <v>243.94799999999992</v>
      </c>
      <c r="P81" s="13">
        <f t="shared" si="87"/>
        <v>59.288153612728067</v>
      </c>
      <c r="Q81" s="20">
        <f t="shared" si="54"/>
        <v>528.13630087550121</v>
      </c>
      <c r="R81" s="59">
        <f t="shared" si="55"/>
        <v>821.46963420883458</v>
      </c>
      <c r="S81" s="59">
        <f ca="1">AVERAGE(OFFSET($R$3,0,0,'Données projet'!$E$9+1,1))-AVERAGE(OFFSET($H$3,0,0,'Données projet'!$E$9+1,1))</f>
        <v>309.07357540707869</v>
      </c>
      <c r="T81" s="59">
        <f t="shared" si="88"/>
        <v>155.9593924683299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8.1746794871794854</v>
      </c>
      <c r="AI81" s="13">
        <f>IF('Données projet'!$A$62&gt;35,AI80+AH81-AQ80,IF(A81&lt;'Données projet'!$A$62,$AF$205^A81,IF(A81='Données projet'!$A$62,'Données projet'!$B$62,AI80+AH81-AQ80)))</f>
        <v>269.61538461538453</v>
      </c>
      <c r="AJ81" s="13">
        <f>AI81*VLOOKUP('Données projet'!$B$10,Paramètres!$A$1:$I$89,3,0)*VLOOKUP('Données projet'!$B$10,Paramètres!$A$1:$I$89,5,0)</f>
        <v>260.77199999999993</v>
      </c>
      <c r="AK81" s="13">
        <f t="shared" si="89"/>
        <v>62.886908752959542</v>
      </c>
      <c r="AL81" s="20">
        <f t="shared" si="58"/>
        <v>563.70593274473765</v>
      </c>
      <c r="AM81" s="59">
        <f t="shared" si="59"/>
        <v>857.03926607807102</v>
      </c>
      <c r="AN81" s="59">
        <f ca="1">AVERAGE(OFFSET($AM$3,0,0,'Données projet'!$E$10+1,1))-AVERAGE(OFFSET($H$3,0,0,'Données projet'!$E$10+1,1))</f>
        <v>340.4659523898373</v>
      </c>
      <c r="AO81" s="59">
        <f t="shared" si="90"/>
        <v>170.54530785680572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9.5146153846153823</v>
      </c>
      <c r="BD81" s="12">
        <f>IF('Données projet'!$A$88&gt;35,BD80+BC81-BL80,IF(A81&lt;'Données projet'!$A$88,$BA$205^A81,IF(A81='Données projet'!$A$88,'Données projet'!$B$88,BD80+BC81-BL80)))</f>
        <v>364.27076923076913</v>
      </c>
      <c r="BE81" s="13">
        <f>BD81*VLOOKUP('Données projet'!$B$11,Paramètres!$A$1:$I$89,3,0)*VLOOKUP('Données projet'!$B$11,Paramètres!$A$1:$I$89,5,0)</f>
        <v>175.21423999999996</v>
      </c>
      <c r="BF81" s="13">
        <f t="shared" si="91"/>
        <v>44.255778624992132</v>
      </c>
      <c r="BG81" s="20">
        <f t="shared" si="61"/>
        <v>382.24361577186119</v>
      </c>
      <c r="BH81" s="59">
        <f t="shared" si="62"/>
        <v>675.57694910519444</v>
      </c>
      <c r="BI81" s="59">
        <f ca="1">AVERAGE(OFFSET($BH$3,0,0,'Données projet'!$E$11+1,1))-AVERAGE(OFFSET($H$3,0,0,'Données projet'!$E$11+1,1))</f>
        <v>162.52375757962767</v>
      </c>
      <c r="BJ81" s="59">
        <f t="shared" si="92"/>
        <v>162.18047435246194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8.1746794871794854</v>
      </c>
      <c r="N82" s="13">
        <f>IF('Données projet'!$A$36&gt;35,N81+M82-V81,IF(A82&lt;'Données projet'!$A$36,$K$205^A82,IF(A82='Données projet'!$A$36,'Données projet'!$B$36,N81+M82-V81)))</f>
        <v>277.79006410256403</v>
      </c>
      <c r="O82" s="13">
        <f>N82*VLOOKUP('Données projet'!$B$9,Paramètres!$A$1:$I$89,3,0)*VLOOKUP('Données projet'!$B$9,Paramètres!$A$1:$I$89,5,0)</f>
        <v>251.34444999999991</v>
      </c>
      <c r="P82" s="13">
        <f t="shared" si="87"/>
        <v>60.873744657540833</v>
      </c>
      <c r="Q82" s="20">
        <f t="shared" si="54"/>
        <v>543.78002236188331</v>
      </c>
      <c r="R82" s="59">
        <f t="shared" si="55"/>
        <v>837.11335569521657</v>
      </c>
      <c r="S82" s="59">
        <f ca="1">AVERAGE(OFFSET($R$3,0,0,'Données projet'!$E$9+1,1))-AVERAGE(OFFSET($H$3,0,0,'Données projet'!$E$9+1,1))</f>
        <v>309.07357540707869</v>
      </c>
      <c r="T82" s="59">
        <f t="shared" si="88"/>
        <v>155.9593924683299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8.1746794871794854</v>
      </c>
      <c r="AI82" s="13">
        <f>IF('Données projet'!$A$62&gt;35,AI81+AH82-AQ81,IF(A82&lt;'Données projet'!$A$62,$AF$205^A82,IF(A82='Données projet'!$A$62,'Données projet'!$B$62,AI81+AH82-AQ81)))</f>
        <v>277.79006410256403</v>
      </c>
      <c r="AJ82" s="13">
        <f>AI82*VLOOKUP('Données projet'!$B$10,Paramètres!$A$1:$I$89,3,0)*VLOOKUP('Données projet'!$B$10,Paramètres!$A$1:$I$89,5,0)</f>
        <v>268.67854999999997</v>
      </c>
      <c r="AK82" s="13">
        <f t="shared" si="89"/>
        <v>64.568744217190343</v>
      </c>
      <c r="AL82" s="20">
        <f t="shared" si="58"/>
        <v>580.40570409493978</v>
      </c>
      <c r="AM82" s="59">
        <f t="shared" si="59"/>
        <v>873.73903742827315</v>
      </c>
      <c r="AN82" s="59">
        <f ca="1">AVERAGE(OFFSET($AM$3,0,0,'Données projet'!$E$10+1,1))-AVERAGE(OFFSET($H$3,0,0,'Données projet'!$E$10+1,1))</f>
        <v>340.4659523898373</v>
      </c>
      <c r="AO82" s="59">
        <f t="shared" si="90"/>
        <v>170.54530785680572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9.5146153846153823</v>
      </c>
      <c r="BD82" s="12">
        <f>IF('Données projet'!$A$88&gt;35,BD81+BC82-BL81,IF(A82&lt;'Données projet'!$A$88,$BA$205^A82,IF(A82='Données projet'!$A$88,'Données projet'!$B$88,BD81+BC82-BL81)))</f>
        <v>373.78538461538449</v>
      </c>
      <c r="BE82" s="13">
        <f>BD82*VLOOKUP('Données projet'!$B$11,Paramètres!$A$1:$I$89,3,0)*VLOOKUP('Données projet'!$B$11,Paramètres!$A$1:$I$89,5,0)</f>
        <v>179.79076999999995</v>
      </c>
      <c r="BF82" s="13">
        <f t="shared" si="91"/>
        <v>45.275633195891565</v>
      </c>
      <c r="BG82" s="20">
        <f t="shared" si="61"/>
        <v>391.99065223284441</v>
      </c>
      <c r="BH82" s="59">
        <f t="shared" si="62"/>
        <v>685.32398556617773</v>
      </c>
      <c r="BI82" s="59">
        <f ca="1">AVERAGE(OFFSET($BH$3,0,0,'Données projet'!$E$11+1,1))-AVERAGE(OFFSET($H$3,0,0,'Données projet'!$E$11+1,1))</f>
        <v>162.52375757962767</v>
      </c>
      <c r="BJ82" s="59">
        <f t="shared" si="92"/>
        <v>162.18047435246194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8.1746794871794854</v>
      </c>
      <c r="N83" s="13">
        <f>IF('Données projet'!$A$36&gt;35,N82+M83-V82,IF(A83&lt;'Données projet'!$A$36,$K$205^A83,IF(A83='Données projet'!$A$36,'Données projet'!$B$36,N82+M83-V82)))</f>
        <v>285.96474358974353</v>
      </c>
      <c r="O83" s="13">
        <f>N83*VLOOKUP('Données projet'!$B$9,Paramètres!$A$1:$I$89,3,0)*VLOOKUP('Données projet'!$B$9,Paramètres!$A$1:$I$89,5,0)</f>
        <v>258.7408999999999</v>
      </c>
      <c r="P83" s="13">
        <f t="shared" si="87"/>
        <v>62.453912936792911</v>
      </c>
      <c r="Q83" s="20">
        <f t="shared" si="54"/>
        <v>559.41429919824748</v>
      </c>
      <c r="R83" s="59">
        <f t="shared" si="55"/>
        <v>852.74763253158085</v>
      </c>
      <c r="S83" s="59">
        <f ca="1">AVERAGE(OFFSET($R$3,0,0,'Données projet'!$E$9+1,1))-AVERAGE(OFFSET($H$3,0,0,'Données projet'!$E$9+1,1))</f>
        <v>309.07357540707869</v>
      </c>
      <c r="T83" s="59">
        <f t="shared" si="88"/>
        <v>155.9593924683299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8.1746794871794854</v>
      </c>
      <c r="AI83" s="13">
        <f>IF('Données projet'!$A$62&gt;35,AI82+AH83-AQ82,IF(A83&lt;'Données projet'!$A$62,$AF$205^A83,IF(A83='Données projet'!$A$62,'Données projet'!$B$62,AI82+AH83-AQ82)))</f>
        <v>285.96474358974353</v>
      </c>
      <c r="AJ83" s="13">
        <f>AI83*VLOOKUP('Données projet'!$B$10,Paramètres!$A$1:$I$89,3,0)*VLOOKUP('Données projet'!$B$10,Paramètres!$A$1:$I$89,5,0)</f>
        <v>276.58509999999995</v>
      </c>
      <c r="AK83" s="13">
        <f t="shared" si="89"/>
        <v>66.24482775726392</v>
      </c>
      <c r="AL83" s="20">
        <f t="shared" si="58"/>
        <v>597.09545751056794</v>
      </c>
      <c r="AM83" s="59">
        <f t="shared" si="59"/>
        <v>890.4287908439012</v>
      </c>
      <c r="AN83" s="59">
        <f ca="1">AVERAGE(OFFSET($AM$3,0,0,'Données projet'!$E$10+1,1))-AVERAGE(OFFSET($H$3,0,0,'Données projet'!$E$10+1,1))</f>
        <v>340.4659523898373</v>
      </c>
      <c r="AO83" s="59">
        <f t="shared" si="90"/>
        <v>170.54530785680572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383.3</v>
      </c>
      <c r="BB83" s="12">
        <f>VLOOKUP(A83,'Données projet'!$A$87:$I$107,9,0)</f>
        <v>9.5146153846153823</v>
      </c>
      <c r="BC83" s="12">
        <f t="array" ref="BC83">INDEX(BB:BB,MIN(IF(ISNUMBER(BB83:BB279),ROW(BB83:BB279),"")))</f>
        <v>9.5146153846153823</v>
      </c>
      <c r="BD83" s="12">
        <f>IF('Données projet'!$A$88&gt;35,BD82+BC83-BL82,IF(A83&lt;'Données projet'!$A$88,$BA$205^A83,IF(A83='Données projet'!$A$88,'Données projet'!$B$88,BD82+BC83-BL82)))</f>
        <v>383.29999999999984</v>
      </c>
      <c r="BE83" s="13">
        <f>BD83*VLOOKUP('Données projet'!$B$11,Paramètres!$A$1:$I$89,3,0)*VLOOKUP('Données projet'!$B$11,Paramètres!$A$1:$I$89,5,0)</f>
        <v>184.36729999999994</v>
      </c>
      <c r="BF83" s="13">
        <f t="shared" si="91"/>
        <v>46.292470133371864</v>
      </c>
      <c r="BG83" s="20">
        <f t="shared" si="61"/>
        <v>401.73243298228925</v>
      </c>
      <c r="BH83" s="59">
        <f t="shared" si="62"/>
        <v>695.06576631562257</v>
      </c>
      <c r="BI83" s="59">
        <f ca="1">AVERAGE(OFFSET($BH$3,0,0,'Données projet'!$E$11+1,1))-AVERAGE(OFFSET($H$3,0,0,'Données projet'!$E$11+1,1))</f>
        <v>162.52375757962767</v>
      </c>
      <c r="BJ83" s="59">
        <f t="shared" si="92"/>
        <v>162.18047435246194</v>
      </c>
      <c r="BK83" s="15">
        <f>IF(ISNA(VLOOKUP(A83,'Données projet'!$A$87:$I$107,3,0)),0,VLOOKUP(A83,'Données projet'!$A$87:$I$107,3,0))</f>
        <v>4</v>
      </c>
      <c r="BL83" s="21">
        <f>IF(ISNA(VLOOKUP(A83,'Données projet'!$A$87:$I$107,4,0)),0,VLOOKUP(A83,'Données projet'!$A$87:$I$107,4,0))</f>
        <v>80.684615384615384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8.1746794871794854</v>
      </c>
      <c r="N84" s="13">
        <f>IF('Données projet'!$A$36&gt;35,N83+M84-V83,IF(A84&lt;'Données projet'!$A$36,$K$205^A84,IF(A84='Données projet'!$A$36,'Données projet'!$B$36,N83+M84-V83)))</f>
        <v>294.13942307692304</v>
      </c>
      <c r="O84" s="13">
        <f>N84*VLOOKUP('Données projet'!$B$9,Paramètres!$A$1:$I$89,3,0)*VLOOKUP('Données projet'!$B$9,Paramètres!$A$1:$I$89,5,0)</f>
        <v>266.13734999999997</v>
      </c>
      <c r="P84" s="13">
        <f t="shared" si="87"/>
        <v>64.02883127145283</v>
      </c>
      <c r="Q84" s="20">
        <f t="shared" si="54"/>
        <v>575.03943238111356</v>
      </c>
      <c r="R84" s="59">
        <f t="shared" si="55"/>
        <v>868.37276571444681</v>
      </c>
      <c r="S84" s="59">
        <f ca="1">AVERAGE(OFFSET($R$3,0,0,'Données projet'!$E$9+1,1))-AVERAGE(OFFSET($H$3,0,0,'Données projet'!$E$9+1,1))</f>
        <v>309.07357540707869</v>
      </c>
      <c r="T84" s="59">
        <f t="shared" si="88"/>
        <v>155.9593924683299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8.1746794871794854</v>
      </c>
      <c r="AI84" s="13">
        <f>IF('Données projet'!$A$62&gt;35,AI83+AH84-AQ83,IF(A84&lt;'Données projet'!$A$62,$AF$205^A84,IF(A84='Données projet'!$A$62,'Données projet'!$B$62,AI83+AH84-AQ83)))</f>
        <v>294.13942307692304</v>
      </c>
      <c r="AJ84" s="13">
        <f>AI84*VLOOKUP('Données projet'!$B$10,Paramètres!$A$1:$I$89,3,0)*VLOOKUP('Données projet'!$B$10,Paramètres!$A$1:$I$89,5,0)</f>
        <v>284.49164999999999</v>
      </c>
      <c r="AK84" s="13">
        <f t="shared" si="89"/>
        <v>67.915342684277192</v>
      </c>
      <c r="AL84" s="20">
        <f t="shared" si="58"/>
        <v>613.77551225844934</v>
      </c>
      <c r="AM84" s="59">
        <f t="shared" si="59"/>
        <v>907.10884559178271</v>
      </c>
      <c r="AN84" s="59">
        <f ca="1">AVERAGE(OFFSET($AM$3,0,0,'Données projet'!$E$10+1,1))-AVERAGE(OFFSET($H$3,0,0,'Données projet'!$E$10+1,1))</f>
        <v>340.4659523898373</v>
      </c>
      <c r="AO84" s="59">
        <f t="shared" si="90"/>
        <v>170.54530785680572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8.2761538461538411</v>
      </c>
      <c r="BD84" s="12">
        <f>IF('Données projet'!$A$88&gt;35,BD83+BC84-BL83,IF(A84&lt;'Données projet'!$A$88,$BA$205^A84,IF(A84='Données projet'!$A$88,'Données projet'!$B$88,BD83+BC84-BL83)))</f>
        <v>310.89153846153829</v>
      </c>
      <c r="BE84" s="13">
        <f>BD84*VLOOKUP('Données projet'!$B$11,Paramètres!$A$1:$I$89,3,0)*VLOOKUP('Données projet'!$B$11,Paramètres!$A$1:$I$89,5,0)</f>
        <v>149.53882999999993</v>
      </c>
      <c r="BF84" s="13">
        <f t="shared" si="91"/>
        <v>38.473764309284661</v>
      </c>
      <c r="BG84" s="20">
        <f t="shared" si="61"/>
        <v>327.45526842200394</v>
      </c>
      <c r="BH84" s="59">
        <f t="shared" si="62"/>
        <v>620.78860175533725</v>
      </c>
      <c r="BI84" s="59">
        <f ca="1">AVERAGE(OFFSET($BH$3,0,0,'Données projet'!$E$11+1,1))-AVERAGE(OFFSET($H$3,0,0,'Données projet'!$E$11+1,1))</f>
        <v>162.52375757962767</v>
      </c>
      <c r="BJ84" s="59">
        <f t="shared" si="92"/>
        <v>162.18047435246194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>
        <f>VLOOKUP(A85,'Données projet'!$A$35:$I$55,2,0)</f>
        <v>302.31410256410254</v>
      </c>
      <c r="L85" s="12">
        <f>VLOOKUP(A85,'Données projet'!$A$35:$I$55,9,0)</f>
        <v>8.1746794871794854</v>
      </c>
      <c r="M85" s="12">
        <f t="array" ref="M85">INDEX(L:L,MIN(IF(ISNUMBER(L85:L281),ROW(L85:L281),"")))</f>
        <v>8.1746794871794854</v>
      </c>
      <c r="N85" s="13">
        <f>IF('Données projet'!$A$36&gt;35,N84+M85-V84,IF(A85&lt;'Données projet'!$A$36,$K$205^A85,IF(A85='Données projet'!$A$36,'Données projet'!$B$36,N84+M85-V84)))</f>
        <v>302.31410256410254</v>
      </c>
      <c r="O85" s="13">
        <f>N85*VLOOKUP('Données projet'!$B$9,Paramètres!$A$1:$I$89,3,0)*VLOOKUP('Données projet'!$B$9,Paramètres!$A$1:$I$89,5,0)</f>
        <v>273.53379999999999</v>
      </c>
      <c r="P85" s="13">
        <f t="shared" si="87"/>
        <v>65.598662329861284</v>
      </c>
      <c r="Q85" s="20">
        <f t="shared" si="54"/>
        <v>590.65570522450832</v>
      </c>
      <c r="R85" s="59">
        <f t="shared" si="55"/>
        <v>883.9890385578417</v>
      </c>
      <c r="S85" s="59">
        <f ca="1">AVERAGE(OFFSET($R$3,0,0,'Données projet'!$E$9+1,1))-AVERAGE(OFFSET($H$3,0,0,'Données projet'!$E$9+1,1))</f>
        <v>309.07357540707869</v>
      </c>
      <c r="T85" s="59">
        <f t="shared" si="88"/>
        <v>155.9593924683299</v>
      </c>
      <c r="U85" s="15">
        <f>IF(ISNA(VLOOKUP(A85,'Données projet'!$A$35:$I$55,3,0)),0,VLOOKUP(A85,'Données projet'!$A$35:$I$55,3,0))</f>
        <v>7</v>
      </c>
      <c r="V85" s="15">
        <f>IF(ISNA(VLOOKUP(A85,'Données projet'!$A$35:$I$55,4,0)),0,VLOOKUP(A85,'Données projet'!$A$35:$I$55,4,0))</f>
        <v>40.371794871794869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302.31410256410254</v>
      </c>
      <c r="AG85" s="12">
        <f>VLOOKUP(A85,'Données projet'!$A$61:$I$81,9,0)</f>
        <v>8.1746794871794854</v>
      </c>
      <c r="AH85" s="12">
        <f t="array" ref="AH85">INDEX(AG:AG,MIN(IF(ISNUMBER(AG85:AG281),ROW(AG85:AG281),"")))</f>
        <v>8.1746794871794854</v>
      </c>
      <c r="AI85" s="13">
        <f>IF('Données projet'!$A$62&gt;35,AI84+AH85-AQ84,IF(A85&lt;'Données projet'!$A$62,$AF$205^A85,IF(A85='Données projet'!$A$62,'Données projet'!$B$62,AI84+AH85-AQ84)))</f>
        <v>302.31410256410254</v>
      </c>
      <c r="AJ85" s="13">
        <f>AI85*VLOOKUP('Données projet'!$B$10,Paramètres!$A$1:$I$89,3,0)*VLOOKUP('Données projet'!$B$10,Paramètres!$A$1:$I$89,5,0)</f>
        <v>292.39819999999997</v>
      </c>
      <c r="AK85" s="13">
        <f t="shared" si="89"/>
        <v>69.580461540440993</v>
      </c>
      <c r="AL85" s="20">
        <f t="shared" si="58"/>
        <v>630.44616884960124</v>
      </c>
      <c r="AM85" s="59">
        <f t="shared" si="59"/>
        <v>923.77950218293449</v>
      </c>
      <c r="AN85" s="59">
        <f ca="1">AVERAGE(OFFSET($AM$3,0,0,'Données projet'!$E$10+1,1))-AVERAGE(OFFSET($H$3,0,0,'Données projet'!$E$10+1,1))</f>
        <v>340.4659523898373</v>
      </c>
      <c r="AO85" s="59">
        <f t="shared" si="90"/>
        <v>170.54530785680572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40.371794871794869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8.2761538461538411</v>
      </c>
      <c r="BD85" s="12">
        <f>IF('Données projet'!$A$88&gt;35,BD84+BC85-BL84,IF(A85&lt;'Données projet'!$A$88,$BA$205^A85,IF(A85='Données projet'!$A$88,'Données projet'!$B$88,BD84+BC85-BL84)))</f>
        <v>319.16769230769211</v>
      </c>
      <c r="BE85" s="13">
        <f>BD85*VLOOKUP('Données projet'!$B$11,Paramètres!$A$1:$I$89,3,0)*VLOOKUP('Données projet'!$B$11,Paramètres!$A$1:$I$89,5,0)</f>
        <v>153.5196599999999</v>
      </c>
      <c r="BF85" s="13">
        <f t="shared" si="91"/>
        <v>39.377358101901478</v>
      </c>
      <c r="BG85" s="20">
        <f t="shared" si="61"/>
        <v>335.96230652747823</v>
      </c>
      <c r="BH85" s="59">
        <f t="shared" si="62"/>
        <v>629.29563986081155</v>
      </c>
      <c r="BI85" s="59">
        <f ca="1">AVERAGE(OFFSET($BH$3,0,0,'Données projet'!$E$11+1,1))-AVERAGE(OFFSET($H$3,0,0,'Données projet'!$E$11+1,1))</f>
        <v>162.52375757962767</v>
      </c>
      <c r="BJ85" s="59">
        <f t="shared" si="92"/>
        <v>162.18047435246194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7.8677884615384599</v>
      </c>
      <c r="N86" s="13">
        <f>IF('Données projet'!$A$36&gt;35,N85+M86-V85,IF(A86&lt;'Données projet'!$A$36,$K$205^A86,IF(A86='Données projet'!$A$36,'Données projet'!$B$36,N85+M86-V85)))</f>
        <v>269.81009615384613</v>
      </c>
      <c r="O86" s="13">
        <f>N86*VLOOKUP('Données projet'!$B$9,Paramètres!$A$1:$I$89,3,0)*VLOOKUP('Données projet'!$B$9,Paramètres!$A$1:$I$89,5,0)</f>
        <v>244.12417499999998</v>
      </c>
      <c r="P86" s="13">
        <f t="shared" si="87"/>
        <v>59.325985011718309</v>
      </c>
      <c r="Q86" s="20">
        <f t="shared" si="54"/>
        <v>528.50902868707601</v>
      </c>
      <c r="R86" s="59">
        <f t="shared" si="55"/>
        <v>821.84236202040938</v>
      </c>
      <c r="S86" s="59">
        <f ca="1">AVERAGE(OFFSET($R$3,0,0,'Données projet'!$E$9+1,1))-AVERAGE(OFFSET($H$3,0,0,'Données projet'!$E$9+1,1))</f>
        <v>309.07357540707869</v>
      </c>
      <c r="T86" s="59">
        <f t="shared" si="88"/>
        <v>155.9593924683299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7.8677884615384599</v>
      </c>
      <c r="AI86" s="13">
        <f>IF('Données projet'!$A$62&gt;35,AI85+AH86-AQ85,IF(A86&lt;'Données projet'!$A$62,$AF$205^A86,IF(A86='Données projet'!$A$62,'Données projet'!$B$62,AI85+AH86-AQ85)))</f>
        <v>269.81009615384613</v>
      </c>
      <c r="AJ86" s="13">
        <f>AI86*VLOOKUP('Données projet'!$B$10,Paramètres!$A$1:$I$89,3,0)*VLOOKUP('Données projet'!$B$10,Paramètres!$A$1:$I$89,5,0)</f>
        <v>260.96032499999995</v>
      </c>
      <c r="AK86" s="13">
        <f t="shared" si="89"/>
        <v>62.927036495034905</v>
      </c>
      <c r="AL86" s="20">
        <f t="shared" si="58"/>
        <v>564.10382127051901</v>
      </c>
      <c r="AM86" s="59">
        <f t="shared" si="59"/>
        <v>857.43715460385238</v>
      </c>
      <c r="AN86" s="59">
        <f ca="1">AVERAGE(OFFSET($AM$3,0,0,'Données projet'!$E$10+1,1))-AVERAGE(OFFSET($H$3,0,0,'Données projet'!$E$10+1,1))</f>
        <v>340.4659523898373</v>
      </c>
      <c r="AO86" s="59">
        <f t="shared" si="90"/>
        <v>170.54530785680572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8.2761538461538411</v>
      </c>
      <c r="BD86" s="12">
        <f>IF('Données projet'!$A$88&gt;35,BD85+BC86-BL85,IF(A86&lt;'Données projet'!$A$88,$BA$205^A86,IF(A86='Données projet'!$A$88,'Données projet'!$B$88,BD85+BC86-BL85)))</f>
        <v>327.44384615384593</v>
      </c>
      <c r="BE86" s="13">
        <f>BD86*VLOOKUP('Données projet'!$B$11,Paramètres!$A$1:$I$89,3,0)*VLOOKUP('Données projet'!$B$11,Paramètres!$A$1:$I$89,5,0)</f>
        <v>157.5004899999999</v>
      </c>
      <c r="BF86" s="13">
        <f t="shared" si="91"/>
        <v>40.278228365323152</v>
      </c>
      <c r="BG86" s="20">
        <f t="shared" si="61"/>
        <v>344.46460115293763</v>
      </c>
      <c r="BH86" s="59">
        <f t="shared" si="62"/>
        <v>637.79793448627095</v>
      </c>
      <c r="BI86" s="59">
        <f ca="1">AVERAGE(OFFSET($BH$3,0,0,'Données projet'!$E$11+1,1))-AVERAGE(OFFSET($H$3,0,0,'Données projet'!$E$11+1,1))</f>
        <v>162.52375757962767</v>
      </c>
      <c r="BJ86" s="59">
        <f t="shared" si="92"/>
        <v>162.18047435246194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7.8677884615384599</v>
      </c>
      <c r="N87" s="13">
        <f>IF('Données projet'!$A$36&gt;35,N86+M87-V86,IF(A87&lt;'Données projet'!$A$36,$K$205^A87,IF(A87='Données projet'!$A$36,'Données projet'!$B$36,N86+M87-V86)))</f>
        <v>277.67788461538458</v>
      </c>
      <c r="O87" s="13">
        <f>N87*VLOOKUP('Données projet'!$B$9,Paramètres!$A$1:$I$89,3,0)*VLOOKUP('Données projet'!$B$9,Paramètres!$A$1:$I$89,5,0)</f>
        <v>251.24294999999998</v>
      </c>
      <c r="P87" s="13">
        <f t="shared" si="87"/>
        <v>60.852023014307242</v>
      </c>
      <c r="Q87" s="20">
        <f t="shared" si="54"/>
        <v>543.56541133325175</v>
      </c>
      <c r="R87" s="59">
        <f t="shared" si="55"/>
        <v>836.89874466658512</v>
      </c>
      <c r="S87" s="59">
        <f ca="1">AVERAGE(OFFSET($R$3,0,0,'Données projet'!$E$9+1,1))-AVERAGE(OFFSET($H$3,0,0,'Données projet'!$E$9+1,1))</f>
        <v>309.07357540707869</v>
      </c>
      <c r="T87" s="59">
        <f t="shared" si="88"/>
        <v>155.9593924683299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7.8677884615384599</v>
      </c>
      <c r="AI87" s="13">
        <f>IF('Données projet'!$A$62&gt;35,AI86+AH87-AQ86,IF(A87&lt;'Données projet'!$A$62,$AF$205^A87,IF(A87='Données projet'!$A$62,'Données projet'!$B$62,AI86+AH87-AQ86)))</f>
        <v>277.67788461538458</v>
      </c>
      <c r="AJ87" s="13">
        <f>AI87*VLOOKUP('Données projet'!$B$10,Paramètres!$A$1:$I$89,3,0)*VLOOKUP('Données projet'!$B$10,Paramètres!$A$1:$I$89,5,0)</f>
        <v>268.57004999999998</v>
      </c>
      <c r="AK87" s="13">
        <f t="shared" si="89"/>
        <v>64.545704083322832</v>
      </c>
      <c r="AL87" s="20">
        <f t="shared" si="58"/>
        <v>580.17660502845399</v>
      </c>
      <c r="AM87" s="59">
        <f t="shared" si="59"/>
        <v>873.50993836178736</v>
      </c>
      <c r="AN87" s="59">
        <f ca="1">AVERAGE(OFFSET($AM$3,0,0,'Données projet'!$E$10+1,1))-AVERAGE(OFFSET($H$3,0,0,'Données projet'!$E$10+1,1))</f>
        <v>340.4659523898373</v>
      </c>
      <c r="AO87" s="59">
        <f t="shared" si="90"/>
        <v>170.54530785680572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8.2761538461538411</v>
      </c>
      <c r="BD87" s="12">
        <f>IF('Données projet'!$A$88&gt;35,BD86+BC87-BL86,IF(A87&lt;'Données projet'!$A$88,$BA$205^A87,IF(A87='Données projet'!$A$88,'Données projet'!$B$88,BD86+BC87-BL86)))</f>
        <v>335.71999999999974</v>
      </c>
      <c r="BE87" s="13">
        <f>BD87*VLOOKUP('Données projet'!$B$11,Paramètres!$A$1:$I$89,3,0)*VLOOKUP('Données projet'!$B$11,Paramètres!$A$1:$I$89,5,0)</f>
        <v>161.4813199999999</v>
      </c>
      <c r="BF87" s="13">
        <f t="shared" si="91"/>
        <v>41.176451853097326</v>
      </c>
      <c r="BG87" s="20">
        <f t="shared" si="61"/>
        <v>352.96228597747768</v>
      </c>
      <c r="BH87" s="59">
        <f t="shared" si="62"/>
        <v>646.29561931081093</v>
      </c>
      <c r="BI87" s="59">
        <f ca="1">AVERAGE(OFFSET($BH$3,0,0,'Données projet'!$E$11+1,1))-AVERAGE(OFFSET($H$3,0,0,'Données projet'!$E$11+1,1))</f>
        <v>162.52375757962767</v>
      </c>
      <c r="BJ87" s="59">
        <f t="shared" si="92"/>
        <v>162.18047435246194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7.8677884615384599</v>
      </c>
      <c r="N88" s="13">
        <f>IF('Données projet'!$A$36&gt;35,N87+M88-V87,IF(A88&lt;'Données projet'!$A$36,$K$205^A88,IF(A88='Données projet'!$A$36,'Données projet'!$B$36,N87+M88-V87)))</f>
        <v>285.54567307692304</v>
      </c>
      <c r="O88" s="13">
        <f>N88*VLOOKUP('Données projet'!$B$9,Paramètres!$A$1:$I$89,3,0)*VLOOKUP('Données projet'!$B$9,Paramètres!$A$1:$I$89,5,0)</f>
        <v>258.36172499999998</v>
      </c>
      <c r="P88" s="13">
        <f t="shared" si="87"/>
        <v>62.373035564748605</v>
      </c>
      <c r="Q88" s="20">
        <f t="shared" si="54"/>
        <v>558.61304131693703</v>
      </c>
      <c r="R88" s="59">
        <f t="shared" si="55"/>
        <v>851.9463746502704</v>
      </c>
      <c r="S88" s="59">
        <f ca="1">AVERAGE(OFFSET($R$3,0,0,'Données projet'!$E$9+1,1))-AVERAGE(OFFSET($H$3,0,0,'Données projet'!$E$9+1,1))</f>
        <v>309.07357540707869</v>
      </c>
      <c r="T88" s="59">
        <f t="shared" si="88"/>
        <v>155.9593924683299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7.8677884615384599</v>
      </c>
      <c r="AI88" s="13">
        <f>IF('Données projet'!$A$62&gt;35,AI87+AH88-AQ87,IF(A88&lt;'Données projet'!$A$62,$AF$205^A88,IF(A88='Données projet'!$A$62,'Données projet'!$B$62,AI87+AH88-AQ87)))</f>
        <v>285.54567307692304</v>
      </c>
      <c r="AJ88" s="13">
        <f>AI88*VLOOKUP('Données projet'!$B$10,Paramètres!$A$1:$I$89,3,0)*VLOOKUP('Données projet'!$B$10,Paramètres!$A$1:$I$89,5,0)</f>
        <v>276.17977500000001</v>
      </c>
      <c r="AK88" s="13">
        <f t="shared" si="89"/>
        <v>66.159041177550947</v>
      </c>
      <c r="AL88" s="20">
        <f t="shared" si="58"/>
        <v>596.2401048425678</v>
      </c>
      <c r="AM88" s="59">
        <f t="shared" si="59"/>
        <v>889.57343817590117</v>
      </c>
      <c r="AN88" s="59">
        <f ca="1">AVERAGE(OFFSET($AM$3,0,0,'Données projet'!$E$10+1,1))-AVERAGE(OFFSET($H$3,0,0,'Données projet'!$E$10+1,1))</f>
        <v>340.4659523898373</v>
      </c>
      <c r="AO88" s="59">
        <f t="shared" si="90"/>
        <v>170.54530785680572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8.2761538461538411</v>
      </c>
      <c r="BD88" s="12">
        <f>IF('Données projet'!$A$88&gt;35,BD87+BC88-BL87,IF(A88&lt;'Données projet'!$A$88,$BA$205^A88,IF(A88='Données projet'!$A$88,'Données projet'!$B$88,BD87+BC88-BL87)))</f>
        <v>343.99615384615356</v>
      </c>
      <c r="BE88" s="13">
        <f>BD88*VLOOKUP('Données projet'!$B$11,Paramètres!$A$1:$I$89,3,0)*VLOOKUP('Données projet'!$B$11,Paramètres!$A$1:$I$89,5,0)</f>
        <v>165.46214999999987</v>
      </c>
      <c r="BF88" s="13">
        <f t="shared" si="91"/>
        <v>42.072101318797529</v>
      </c>
      <c r="BG88" s="20">
        <f t="shared" si="61"/>
        <v>361.45548771357215</v>
      </c>
      <c r="BH88" s="59">
        <f t="shared" si="62"/>
        <v>654.78882104690547</v>
      </c>
      <c r="BI88" s="59">
        <f ca="1">AVERAGE(OFFSET($BH$3,0,0,'Données projet'!$E$11+1,1))-AVERAGE(OFFSET($H$3,0,0,'Données projet'!$E$11+1,1))</f>
        <v>162.52375757962767</v>
      </c>
      <c r="BJ88" s="59">
        <f t="shared" si="92"/>
        <v>162.18047435246194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7.8677884615384599</v>
      </c>
      <c r="N89" s="13">
        <f>IF('Données projet'!$A$36&gt;35,N88+M89-V88,IF(A89&lt;'Données projet'!$A$36,$K$205^A89,IF(A89='Données projet'!$A$36,'Données projet'!$B$36,N88+M89-V88)))</f>
        <v>293.41346153846149</v>
      </c>
      <c r="O89" s="13">
        <f>N89*VLOOKUP('Données projet'!$B$9,Paramètres!$A$1:$I$89,3,0)*VLOOKUP('Données projet'!$B$9,Paramètres!$A$1:$I$89,5,0)</f>
        <v>265.48049999999995</v>
      </c>
      <c r="P89" s="13">
        <f t="shared" si="87"/>
        <v>63.88917704165199</v>
      </c>
      <c r="Q89" s="20">
        <f t="shared" si="54"/>
        <v>573.65218751421037</v>
      </c>
      <c r="R89" s="59">
        <f t="shared" si="55"/>
        <v>866.98552084754374</v>
      </c>
      <c r="S89" s="59">
        <f ca="1">AVERAGE(OFFSET($R$3,0,0,'Données projet'!$E$9+1,1))-AVERAGE(OFFSET($H$3,0,0,'Données projet'!$E$9+1,1))</f>
        <v>309.07357540707869</v>
      </c>
      <c r="T89" s="59">
        <f t="shared" si="88"/>
        <v>155.9593924683299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7.8677884615384599</v>
      </c>
      <c r="AI89" s="13">
        <f>IF('Données projet'!$A$62&gt;35,AI88+AH89-AQ88,IF(A89&lt;'Données projet'!$A$62,$AF$205^A89,IF(A89='Données projet'!$A$62,'Données projet'!$B$62,AI88+AH89-AQ88)))</f>
        <v>293.41346153846149</v>
      </c>
      <c r="AJ89" s="13">
        <f>AI89*VLOOKUP('Données projet'!$B$10,Paramètres!$A$1:$I$89,3,0)*VLOOKUP('Données projet'!$B$10,Paramètres!$A$1:$I$89,5,0)</f>
        <v>283.78949999999998</v>
      </c>
      <c r="AK89" s="13">
        <f t="shared" si="89"/>
        <v>67.767211527017437</v>
      </c>
      <c r="AL89" s="20">
        <f t="shared" si="58"/>
        <v>612.29460590955534</v>
      </c>
      <c r="AM89" s="59">
        <f t="shared" si="59"/>
        <v>905.62793924288871</v>
      </c>
      <c r="AN89" s="59">
        <f ca="1">AVERAGE(OFFSET($AM$3,0,0,'Données projet'!$E$10+1,1))-AVERAGE(OFFSET($H$3,0,0,'Données projet'!$E$10+1,1))</f>
        <v>340.4659523898373</v>
      </c>
      <c r="AO89" s="59">
        <f t="shared" si="90"/>
        <v>170.54530785680572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8.2761538461538411</v>
      </c>
      <c r="BD89" s="12">
        <f>IF('Données projet'!$A$88&gt;35,BD88+BC89-BL88,IF(A89&lt;'Données projet'!$A$88,$BA$205^A89,IF(A89='Données projet'!$A$88,'Données projet'!$B$88,BD88+BC89-BL88)))</f>
        <v>352.27230769230738</v>
      </c>
      <c r="BE89" s="13">
        <f>BD89*VLOOKUP('Données projet'!$B$11,Paramètres!$A$1:$I$89,3,0)*VLOOKUP('Données projet'!$B$11,Paramètres!$A$1:$I$89,5,0)</f>
        <v>169.44297999999984</v>
      </c>
      <c r="BF89" s="13">
        <f t="shared" si="91"/>
        <v>42.965245815625977</v>
      </c>
      <c r="BG89" s="20">
        <f t="shared" si="61"/>
        <v>369.94432662888158</v>
      </c>
      <c r="BH89" s="59">
        <f t="shared" si="62"/>
        <v>663.2776599622149</v>
      </c>
      <c r="BI89" s="59">
        <f ca="1">AVERAGE(OFFSET($BH$3,0,0,'Données projet'!$E$11+1,1))-AVERAGE(OFFSET($H$3,0,0,'Données projet'!$E$11+1,1))</f>
        <v>162.52375757962767</v>
      </c>
      <c r="BJ89" s="59">
        <f t="shared" si="92"/>
        <v>162.18047435246194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7.8677884615384599</v>
      </c>
      <c r="N90" s="13">
        <f>IF('Données projet'!$A$36&gt;35,N89+M90-V89,IF(A90&lt;'Données projet'!$A$36,$K$205^A90,IF(A90='Données projet'!$A$36,'Données projet'!$B$36,N89+M90-V89)))</f>
        <v>301.28124999999994</v>
      </c>
      <c r="O90" s="13">
        <f>N90*VLOOKUP('Données projet'!$B$9,Paramètres!$A$1:$I$89,3,0)*VLOOKUP('Données projet'!$B$9,Paramètres!$A$1:$I$89,5,0)</f>
        <v>272.59927499999998</v>
      </c>
      <c r="P90" s="13">
        <f t="shared" si="87"/>
        <v>65.400593073041165</v>
      </c>
      <c r="Q90" s="20">
        <f t="shared" si="54"/>
        <v>588.68310356054678</v>
      </c>
      <c r="R90" s="59">
        <f t="shared" si="55"/>
        <v>882.01643689388015</v>
      </c>
      <c r="S90" s="59">
        <f ca="1">AVERAGE(OFFSET($R$3,0,0,'Données projet'!$E$9+1,1))-AVERAGE(OFFSET($H$3,0,0,'Données projet'!$E$9+1,1))</f>
        <v>309.07357540707869</v>
      </c>
      <c r="T90" s="59">
        <f t="shared" si="88"/>
        <v>155.9593924683299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7.8677884615384599</v>
      </c>
      <c r="AI90" s="13">
        <f>IF('Données projet'!$A$62&gt;35,AI89+AH90-AQ89,IF(A90&lt;'Données projet'!$A$62,$AF$205^A90,IF(A90='Données projet'!$A$62,'Données projet'!$B$62,AI89+AH90-AQ89)))</f>
        <v>301.28124999999994</v>
      </c>
      <c r="AJ90" s="13">
        <f>AI90*VLOOKUP('Données projet'!$B$10,Paramètres!$A$1:$I$89,3,0)*VLOOKUP('Données projet'!$B$10,Paramètres!$A$1:$I$89,5,0)</f>
        <v>291.39922499999994</v>
      </c>
      <c r="AK90" s="13">
        <f t="shared" si="89"/>
        <v>69.370369599278987</v>
      </c>
      <c r="AL90" s="20">
        <f t="shared" si="58"/>
        <v>628.34037726041072</v>
      </c>
      <c r="AM90" s="59">
        <f t="shared" si="59"/>
        <v>921.67371059374409</v>
      </c>
      <c r="AN90" s="59">
        <f ca="1">AVERAGE(OFFSET($AM$3,0,0,'Données projet'!$E$10+1,1))-AVERAGE(OFFSET($H$3,0,0,'Données projet'!$E$10+1,1))</f>
        <v>340.4659523898373</v>
      </c>
      <c r="AO90" s="59">
        <f t="shared" si="90"/>
        <v>170.54530785680572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8.2761538461538411</v>
      </c>
      <c r="BD90" s="12">
        <f>IF('Données projet'!$A$88&gt;35,BD89+BC90-BL89,IF(A90&lt;'Données projet'!$A$88,$BA$205^A90,IF(A90='Données projet'!$A$88,'Données projet'!$B$88,BD89+BC90-BL89)))</f>
        <v>360.5484615384612</v>
      </c>
      <c r="BE90" s="13">
        <f>BD90*VLOOKUP('Données projet'!$B$11,Paramètres!$A$1:$I$89,3,0)*VLOOKUP('Données projet'!$B$11,Paramètres!$A$1:$I$89,5,0)</f>
        <v>173.42380999999983</v>
      </c>
      <c r="BF90" s="13">
        <f t="shared" si="91"/>
        <v>43.855950967068644</v>
      </c>
      <c r="BG90" s="20">
        <f t="shared" si="61"/>
        <v>378.42891701764421</v>
      </c>
      <c r="BH90" s="59">
        <f t="shared" si="62"/>
        <v>671.76225035097752</v>
      </c>
      <c r="BI90" s="59">
        <f ca="1">AVERAGE(OFFSET($BH$3,0,0,'Données projet'!$E$11+1,1))-AVERAGE(OFFSET($H$3,0,0,'Données projet'!$E$11+1,1))</f>
        <v>162.52375757962767</v>
      </c>
      <c r="BJ90" s="59">
        <f t="shared" si="92"/>
        <v>162.18047435246194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7.8677884615384599</v>
      </c>
      <c r="N91" s="13">
        <f>IF('Données projet'!$A$36&gt;35,N90+M91-V90,IF(A91&lt;'Données projet'!$A$36,$K$205^A91,IF(A91='Données projet'!$A$36,'Données projet'!$B$36,N90+M91-V90)))</f>
        <v>309.1490384615384</v>
      </c>
      <c r="O91" s="13">
        <f>N91*VLOOKUP('Données projet'!$B$9,Paramètres!$A$1:$I$89,3,0)*VLOOKUP('Données projet'!$B$9,Paramètres!$A$1:$I$89,5,0)</f>
        <v>279.71804999999995</v>
      </c>
      <c r="P91" s="13">
        <f t="shared" si="87"/>
        <v>66.907421247747862</v>
      </c>
      <c r="Q91" s="20">
        <f t="shared" si="54"/>
        <v>603.70602908982733</v>
      </c>
      <c r="R91" s="59">
        <f t="shared" si="55"/>
        <v>897.03936242316058</v>
      </c>
      <c r="S91" s="59">
        <f ca="1">AVERAGE(OFFSET($R$3,0,0,'Données projet'!$E$9+1,1))-AVERAGE(OFFSET($H$3,0,0,'Données projet'!$E$9+1,1))</f>
        <v>309.07357540707869</v>
      </c>
      <c r="T91" s="59">
        <f t="shared" si="88"/>
        <v>155.9593924683299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7.8677884615384599</v>
      </c>
      <c r="AI91" s="13">
        <f>IF('Données projet'!$A$62&gt;35,AI90+AH91-AQ90,IF(A91&lt;'Données projet'!$A$62,$AF$205^A91,IF(A91='Données projet'!$A$62,'Données projet'!$B$62,AI90+AH91-AQ90)))</f>
        <v>309.1490384615384</v>
      </c>
      <c r="AJ91" s="13">
        <f>AI91*VLOOKUP('Données projet'!$B$10,Paramètres!$A$1:$I$89,3,0)*VLOOKUP('Données projet'!$B$10,Paramètres!$A$1:$I$89,5,0)</f>
        <v>299.00894999999991</v>
      </c>
      <c r="AK91" s="13">
        <f t="shared" si="89"/>
        <v>70.968661334726548</v>
      </c>
      <c r="AL91" s="20">
        <f t="shared" si="58"/>
        <v>644.37767307464867</v>
      </c>
      <c r="AM91" s="59">
        <f t="shared" si="59"/>
        <v>937.71100640798204</v>
      </c>
      <c r="AN91" s="59">
        <f ca="1">AVERAGE(OFFSET($AM$3,0,0,'Données projet'!$E$10+1,1))-AVERAGE(OFFSET($H$3,0,0,'Données projet'!$E$10+1,1))</f>
        <v>340.4659523898373</v>
      </c>
      <c r="AO91" s="59">
        <f t="shared" si="90"/>
        <v>170.54530785680572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8.2761538461538411</v>
      </c>
      <c r="BD91" s="12">
        <f>IF('Données projet'!$A$88&gt;35,BD90+BC91-BL90,IF(A91&lt;'Données projet'!$A$88,$BA$205^A91,IF(A91='Données projet'!$A$88,'Données projet'!$B$88,BD90+BC91-BL90)))</f>
        <v>368.82461538461502</v>
      </c>
      <c r="BE91" s="13">
        <f>BD91*VLOOKUP('Données projet'!$B$11,Paramètres!$A$1:$I$89,3,0)*VLOOKUP('Données projet'!$B$11,Paramètres!$A$1:$I$89,5,0)</f>
        <v>177.40463999999983</v>
      </c>
      <c r="BF91" s="13">
        <f t="shared" si="91"/>
        <v>44.744279211998538</v>
      </c>
      <c r="BG91" s="20">
        <f t="shared" si="61"/>
        <v>386.90936762756382</v>
      </c>
      <c r="BH91" s="59">
        <f t="shared" si="62"/>
        <v>680.24270096089708</v>
      </c>
      <c r="BI91" s="59">
        <f ca="1">AVERAGE(OFFSET($BH$3,0,0,'Données projet'!$E$11+1,1))-AVERAGE(OFFSET($H$3,0,0,'Données projet'!$E$11+1,1))</f>
        <v>162.52375757962767</v>
      </c>
      <c r="BJ91" s="59">
        <f t="shared" si="92"/>
        <v>162.18047435246194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7.8677884615384599</v>
      </c>
      <c r="N92" s="13">
        <f>IF('Données projet'!$A$36&gt;35,N91+M92-V91,IF(A92&lt;'Données projet'!$A$36,$K$205^A92,IF(A92='Données projet'!$A$36,'Données projet'!$B$36,N91+M92-V91)))</f>
        <v>317.01682692307685</v>
      </c>
      <c r="O92" s="13">
        <f>N92*VLOOKUP('Données projet'!$B$9,Paramètres!$A$1:$I$89,3,0)*VLOOKUP('Données projet'!$B$9,Paramètres!$A$1:$I$89,5,0)</f>
        <v>286.83682499999992</v>
      </c>
      <c r="P92" s="13">
        <f t="shared" si="87"/>
        <v>68.409791752349292</v>
      </c>
      <c r="Q92" s="20">
        <f t="shared" si="54"/>
        <v>618.72119084367489</v>
      </c>
      <c r="R92" s="59">
        <f t="shared" si="55"/>
        <v>912.05452417700826</v>
      </c>
      <c r="S92" s="59">
        <f ca="1">AVERAGE(OFFSET($R$3,0,0,'Données projet'!$E$9+1,1))-AVERAGE(OFFSET($H$3,0,0,'Données projet'!$E$9+1,1))</f>
        <v>309.07357540707869</v>
      </c>
      <c r="T92" s="59">
        <f t="shared" si="88"/>
        <v>155.9593924683299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7.8677884615384599</v>
      </c>
      <c r="AI92" s="13">
        <f>IF('Données projet'!$A$62&gt;35,AI91+AH92-AQ91,IF(A92&lt;'Données projet'!$A$62,$AF$205^A92,IF(A92='Données projet'!$A$62,'Données projet'!$B$62,AI91+AH92-AQ91)))</f>
        <v>317.01682692307685</v>
      </c>
      <c r="AJ92" s="13">
        <f>AI92*VLOOKUP('Données projet'!$B$10,Paramètres!$A$1:$I$89,3,0)*VLOOKUP('Données projet'!$B$10,Paramètres!$A$1:$I$89,5,0)</f>
        <v>306.61867499999994</v>
      </c>
      <c r="AK92" s="13">
        <f t="shared" si="89"/>
        <v>72.562224822183978</v>
      </c>
      <c r="AL92" s="20">
        <f t="shared" si="58"/>
        <v>660.40673385697016</v>
      </c>
      <c r="AM92" s="59">
        <f t="shared" si="59"/>
        <v>953.74006719030353</v>
      </c>
      <c r="AN92" s="59">
        <f ca="1">AVERAGE(OFFSET($AM$3,0,0,'Données projet'!$E$10+1,1))-AVERAGE(OFFSET($H$3,0,0,'Données projet'!$E$10+1,1))</f>
        <v>340.4659523898373</v>
      </c>
      <c r="AO92" s="59">
        <f t="shared" si="90"/>
        <v>170.54530785680572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8.2761538461538411</v>
      </c>
      <c r="BD92" s="12">
        <f>IF('Données projet'!$A$88&gt;35,BD91+BC92-BL91,IF(A92&lt;'Données projet'!$A$88,$BA$205^A92,IF(A92='Données projet'!$A$88,'Données projet'!$B$88,BD91+BC92-BL91)))</f>
        <v>377.10076923076883</v>
      </c>
      <c r="BE92" s="13">
        <f>BD92*VLOOKUP('Données projet'!$B$11,Paramètres!$A$1:$I$89,3,0)*VLOOKUP('Données projet'!$B$11,Paramètres!$A$1:$I$89,5,0)</f>
        <v>181.38546999999983</v>
      </c>
      <c r="BF92" s="13">
        <f t="shared" si="91"/>
        <v>45.63029002715934</v>
      </c>
      <c r="BG92" s="20">
        <f t="shared" si="61"/>
        <v>395.3857820473022</v>
      </c>
      <c r="BH92" s="59">
        <f t="shared" si="62"/>
        <v>688.71911538063546</v>
      </c>
      <c r="BI92" s="59">
        <f ca="1">AVERAGE(OFFSET($BH$3,0,0,'Données projet'!$E$11+1,1))-AVERAGE(OFFSET($H$3,0,0,'Données projet'!$E$11+1,1))</f>
        <v>162.52375757962767</v>
      </c>
      <c r="BJ92" s="59">
        <f t="shared" si="92"/>
        <v>162.18047435246194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324.88461538461536</v>
      </c>
      <c r="L93" s="12">
        <f>VLOOKUP(A93,'Données projet'!$A$35:$I$55,9,0)</f>
        <v>7.8677884615384599</v>
      </c>
      <c r="M93" s="12">
        <f t="array" ref="M93">INDEX(L:L,MIN(IF(ISNUMBER(L93:L289),ROW(L93:L289),"")))</f>
        <v>7.8677884615384599</v>
      </c>
      <c r="N93" s="13">
        <f>IF('Données projet'!$A$36&gt;35,N92+M93-V92,IF(A93&lt;'Données projet'!$A$36,$K$205^A93,IF(A93='Données projet'!$A$36,'Données projet'!$B$36,N92+M93-V92)))</f>
        <v>324.8846153846153</v>
      </c>
      <c r="O93" s="13">
        <f>N93*VLOOKUP('Données projet'!$B$9,Paramètres!$A$1:$I$89,3,0)*VLOOKUP('Données projet'!$B$9,Paramètres!$A$1:$I$89,5,0)</f>
        <v>293.95559999999995</v>
      </c>
      <c r="P93" s="13">
        <f t="shared" si="87"/>
        <v>69.907827943094574</v>
      </c>
      <c r="Q93" s="20">
        <f t="shared" si="54"/>
        <v>633.72880366755624</v>
      </c>
      <c r="R93" s="59">
        <f t="shared" si="55"/>
        <v>927.06213700088961</v>
      </c>
      <c r="S93" s="59">
        <f ca="1">AVERAGE(OFFSET($R$3,0,0,'Données projet'!$E$9+1,1))-AVERAGE(OFFSET($H$3,0,0,'Données projet'!$E$9+1,1))</f>
        <v>309.07357540707869</v>
      </c>
      <c r="T93" s="59">
        <f t="shared" si="88"/>
        <v>155.9593924683299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47.307692307692307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324.88461538461536</v>
      </c>
      <c r="AG93" s="12">
        <f>VLOOKUP(A93,'Données projet'!$A$61:$I$81,9,0)</f>
        <v>7.8677884615384599</v>
      </c>
      <c r="AH93" s="12">
        <f t="array" ref="AH93">INDEX(AG:AG,MIN(IF(ISNUMBER(AG93:AG289),ROW(AG93:AG289),"")))</f>
        <v>7.8677884615384599</v>
      </c>
      <c r="AI93" s="13">
        <f>IF('Données projet'!$A$62&gt;35,AI92+AH93-AQ92,IF(A93&lt;'Données projet'!$A$62,$AF$205^A93,IF(A93='Données projet'!$A$62,'Données projet'!$B$62,AI92+AH93-AQ92)))</f>
        <v>324.8846153846153</v>
      </c>
      <c r="AJ93" s="13">
        <f>AI93*VLOOKUP('Données projet'!$B$10,Paramètres!$A$1:$I$89,3,0)*VLOOKUP('Données projet'!$B$10,Paramètres!$A$1:$I$89,5,0)</f>
        <v>314.22839999999991</v>
      </c>
      <c r="AK93" s="13">
        <f t="shared" si="89"/>
        <v>74.151190905550109</v>
      </c>
      <c r="AL93" s="20">
        <f t="shared" si="58"/>
        <v>676.42778749383285</v>
      </c>
      <c r="AM93" s="59">
        <f t="shared" si="59"/>
        <v>969.76112082716622</v>
      </c>
      <c r="AN93" s="59">
        <f ca="1">AVERAGE(OFFSET($AM$3,0,0,'Données projet'!$E$10+1,1))-AVERAGE(OFFSET($H$3,0,0,'Données projet'!$E$10+1,1))</f>
        <v>340.4659523898373</v>
      </c>
      <c r="AO93" s="59">
        <f t="shared" si="90"/>
        <v>170.54530785680572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47.307692307692307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385.37692307692305</v>
      </c>
      <c r="BB93" s="12">
        <f>VLOOKUP(A93,'Données projet'!$A$87:$I$107,9,0)</f>
        <v>8.2761538461538411</v>
      </c>
      <c r="BC93" s="12">
        <f t="array" ref="BC93">INDEX(BB:BB,MIN(IF(ISNUMBER(BB93:BB289),ROW(BB93:BB289),"")))</f>
        <v>8.2761538461538411</v>
      </c>
      <c r="BD93" s="12">
        <f>IF('Données projet'!$A$88&gt;35,BD92+BC93-BL92,IF(A93&lt;'Données projet'!$A$88,$BA$205^A93,IF(A93='Données projet'!$A$88,'Données projet'!$B$88,BD92+BC93-BL92)))</f>
        <v>385.37692307692265</v>
      </c>
      <c r="BE93" s="13">
        <f>BD93*VLOOKUP('Données projet'!$B$11,Paramètres!$A$1:$I$89,3,0)*VLOOKUP('Données projet'!$B$11,Paramètres!$A$1:$I$89,5,0)</f>
        <v>185.36629999999982</v>
      </c>
      <c r="BF93" s="13">
        <f t="shared" si="91"/>
        <v>46.514040129566929</v>
      </c>
      <c r="BG93" s="20">
        <f t="shared" si="61"/>
        <v>403.85825905899543</v>
      </c>
      <c r="BH93" s="59">
        <f t="shared" si="62"/>
        <v>697.19159239232874</v>
      </c>
      <c r="BI93" s="59">
        <f ca="1">AVERAGE(OFFSET($BH$3,0,0,'Données projet'!$E$11+1,1))-AVERAGE(OFFSET($H$3,0,0,'Données projet'!$E$11+1,1))</f>
        <v>162.52375757962767</v>
      </c>
      <c r="BJ93" s="59">
        <f t="shared" si="92"/>
        <v>162.18047435246194</v>
      </c>
      <c r="BK93" s="15">
        <f>IF(ISNA(VLOOKUP(A93,'Données projet'!$A$87:$I$107,3,0)),0,VLOOKUP(A93,'Données projet'!$A$87:$I$107,3,0))</f>
        <v>5</v>
      </c>
      <c r="BL93" s="15">
        <f>IF(ISNA(VLOOKUP(A93,'Données projet'!$A$87:$I$107,4,0)),0,VLOOKUP(A93,'Données projet'!$A$87:$I$107,4,0))</f>
        <v>58.792307692307695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7.5871794871794922</v>
      </c>
      <c r="N94" s="13">
        <f>IF('Données projet'!$A$36&gt;35,N93+M94-V93,IF(A94&lt;'Données projet'!$A$36,$K$205^A94,IF(A94='Données projet'!$A$36,'Données projet'!$B$36,N93+M94-V93)))</f>
        <v>285.16410256410245</v>
      </c>
      <c r="O94" s="13">
        <f>N94*VLOOKUP('Données projet'!$B$9,Paramètres!$A$1:$I$89,3,0)*VLOOKUP('Données projet'!$B$9,Paramètres!$A$1:$I$89,5,0)</f>
        <v>258.01647999999989</v>
      </c>
      <c r="P94" s="13">
        <f t="shared" si="87"/>
        <v>62.299383385500001</v>
      </c>
      <c r="Q94" s="20">
        <f t="shared" si="54"/>
        <v>557.88346206307892</v>
      </c>
      <c r="R94" s="59">
        <f t="shared" si="55"/>
        <v>851.21679539641218</v>
      </c>
      <c r="S94" s="59">
        <f ca="1">AVERAGE(OFFSET($R$3,0,0,'Données projet'!$E$9+1,1))-AVERAGE(OFFSET($H$3,0,0,'Données projet'!$E$9+1,1))</f>
        <v>309.07357540707869</v>
      </c>
      <c r="T94" s="59">
        <f t="shared" si="88"/>
        <v>155.9593924683299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7.5871794871794922</v>
      </c>
      <c r="AI94" s="13">
        <f>IF('Données projet'!$A$62&gt;35,AI93+AH94-AQ93,IF(A94&lt;'Données projet'!$A$62,$AF$205^A94,IF(A94='Données projet'!$A$62,'Données projet'!$B$62,AI93+AH94-AQ93)))</f>
        <v>285.16410256410245</v>
      </c>
      <c r="AJ94" s="13">
        <f>AI94*VLOOKUP('Données projet'!$B$10,Paramètres!$A$1:$I$89,3,0)*VLOOKUP('Données projet'!$B$10,Paramètres!$A$1:$I$89,5,0)</f>
        <v>275.81071999999989</v>
      </c>
      <c r="AK94" s="13">
        <f t="shared" si="89"/>
        <v>66.080918355475589</v>
      </c>
      <c r="AL94" s="20">
        <f t="shared" si="58"/>
        <v>595.46127013578644</v>
      </c>
      <c r="AM94" s="59">
        <f t="shared" si="59"/>
        <v>888.79460346911969</v>
      </c>
      <c r="AN94" s="59">
        <f ca="1">AVERAGE(OFFSET($AM$3,0,0,'Données projet'!$E$10+1,1))-AVERAGE(OFFSET($H$3,0,0,'Données projet'!$E$10+1,1))</f>
        <v>340.4659523898373</v>
      </c>
      <c r="AO94" s="59">
        <f t="shared" si="90"/>
        <v>170.54530785680572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7.1523076923076925</v>
      </c>
      <c r="BD94" s="12">
        <f>IF('Données projet'!$A$88&gt;35,BD93+BC94-BL93,IF(A94&lt;'Données projet'!$A$88,$BA$205^A94,IF(A94='Données projet'!$A$88,'Données projet'!$B$88,BD93+BC94-BL93)))</f>
        <v>333.73692307692266</v>
      </c>
      <c r="BE94" s="13">
        <f>BD94*VLOOKUP('Données projet'!$B$11,Paramètres!$A$1:$I$89,3,0)*VLOOKUP('Données projet'!$B$11,Paramètres!$A$1:$I$89,5,0)</f>
        <v>160.52745999999982</v>
      </c>
      <c r="BF94" s="13">
        <f t="shared" si="91"/>
        <v>40.961462683942443</v>
      </c>
      <c r="BG94" s="20">
        <f t="shared" si="61"/>
        <v>350.92654034119943</v>
      </c>
      <c r="BH94" s="59">
        <f t="shared" si="62"/>
        <v>644.25987367453274</v>
      </c>
      <c r="BI94" s="59">
        <f ca="1">AVERAGE(OFFSET($BH$3,0,0,'Données projet'!$E$11+1,1))-AVERAGE(OFFSET($H$3,0,0,'Données projet'!$E$11+1,1))</f>
        <v>162.52375757962767</v>
      </c>
      <c r="BJ94" s="59">
        <f t="shared" si="92"/>
        <v>162.18047435246194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7.5871794871794922</v>
      </c>
      <c r="N95" s="13">
        <f>IF('Données projet'!$A$36&gt;35,N94+M95-V94,IF(A95&lt;'Données projet'!$A$36,$K$205^A95,IF(A95='Données projet'!$A$36,'Données projet'!$B$36,N94+M95-V94)))</f>
        <v>292.75128205128192</v>
      </c>
      <c r="O95" s="13">
        <f>N95*VLOOKUP('Données projet'!$B$9,Paramètres!$A$1:$I$89,3,0)*VLOOKUP('Données projet'!$B$9,Paramètres!$A$1:$I$89,5,0)</f>
        <v>264.88135999999986</v>
      </c>
      <c r="P95" s="13">
        <f t="shared" si="87"/>
        <v>63.761757576825389</v>
      </c>
      <c r="Q95" s="20">
        <f t="shared" si="54"/>
        <v>572.38676311297058</v>
      </c>
      <c r="R95" s="59">
        <f t="shared" si="55"/>
        <v>865.72009644630384</v>
      </c>
      <c r="S95" s="59">
        <f ca="1">AVERAGE(OFFSET($R$3,0,0,'Données projet'!$E$9+1,1))-AVERAGE(OFFSET($H$3,0,0,'Données projet'!$E$9+1,1))</f>
        <v>309.07357540707869</v>
      </c>
      <c r="T95" s="59">
        <f t="shared" si="88"/>
        <v>155.9593924683299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7.5871794871794922</v>
      </c>
      <c r="AI95" s="13">
        <f>IF('Données projet'!$A$62&gt;35,AI94+AH95-AQ94,IF(A95&lt;'Données projet'!$A$62,$AF$205^A95,IF(A95='Données projet'!$A$62,'Données projet'!$B$62,AI94+AH95-AQ94)))</f>
        <v>292.75128205128192</v>
      </c>
      <c r="AJ95" s="13">
        <f>AI95*VLOOKUP('Données projet'!$B$10,Paramètres!$A$1:$I$89,3,0)*VLOOKUP('Données projet'!$B$10,Paramètres!$A$1:$I$89,5,0)</f>
        <v>283.1490399999999</v>
      </c>
      <c r="AK95" s="13">
        <f t="shared" si="89"/>
        <v>67.63205777758138</v>
      </c>
      <c r="AL95" s="20">
        <f t="shared" si="58"/>
        <v>610.94374529595405</v>
      </c>
      <c r="AM95" s="59">
        <f t="shared" si="59"/>
        <v>904.27707862928742</v>
      </c>
      <c r="AN95" s="59">
        <f ca="1">AVERAGE(OFFSET($AM$3,0,0,'Données projet'!$E$10+1,1))-AVERAGE(OFFSET($H$3,0,0,'Données projet'!$E$10+1,1))</f>
        <v>340.4659523898373</v>
      </c>
      <c r="AO95" s="59">
        <f t="shared" si="90"/>
        <v>170.54530785680572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7.1523076923076925</v>
      </c>
      <c r="BD95" s="12">
        <f>IF('Données projet'!$A$88&gt;35,BD94+BC95-BL94,IF(A95&lt;'Données projet'!$A$88,$BA$205^A95,IF(A95='Données projet'!$A$88,'Données projet'!$B$88,BD94+BC95-BL94)))</f>
        <v>340.88923076923038</v>
      </c>
      <c r="BE95" s="13">
        <f>BD95*VLOOKUP('Données projet'!$B$11,Paramètres!$A$1:$I$89,3,0)*VLOOKUP('Données projet'!$B$11,Paramètres!$A$1:$I$89,5,0)</f>
        <v>163.96771999999982</v>
      </c>
      <c r="BF95" s="13">
        <f t="shared" si="91"/>
        <v>41.736165877789098</v>
      </c>
      <c r="BG95" s="20">
        <f t="shared" si="61"/>
        <v>358.26760123714899</v>
      </c>
      <c r="BH95" s="59">
        <f t="shared" si="62"/>
        <v>651.60093457048231</v>
      </c>
      <c r="BI95" s="59">
        <f ca="1">AVERAGE(OFFSET($BH$3,0,0,'Données projet'!$E$11+1,1))-AVERAGE(OFFSET($H$3,0,0,'Données projet'!$E$11+1,1))</f>
        <v>162.52375757962767</v>
      </c>
      <c r="BJ95" s="59">
        <f t="shared" si="92"/>
        <v>162.18047435246194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7.5871794871794922</v>
      </c>
      <c r="N96" s="13">
        <f>IF('Données projet'!$A$36&gt;35,N95+M96-V95,IF(A96&lt;'Données projet'!$A$36,$K$205^A96,IF(A96='Données projet'!$A$36,'Données projet'!$B$36,N95+M96-V95)))</f>
        <v>300.33846153846139</v>
      </c>
      <c r="O96" s="13">
        <f>N96*VLOOKUP('Données projet'!$B$9,Paramètres!$A$1:$I$89,3,0)*VLOOKUP('Données projet'!$B$9,Paramètres!$A$1:$I$89,5,0)</f>
        <v>271.74623999999983</v>
      </c>
      <c r="P96" s="13">
        <f t="shared" si="87"/>
        <v>65.219726325816325</v>
      </c>
      <c r="Q96" s="20">
        <f t="shared" si="54"/>
        <v>586.88239135079641</v>
      </c>
      <c r="R96" s="59">
        <f t="shared" si="55"/>
        <v>880.21572468412978</v>
      </c>
      <c r="S96" s="59">
        <f ca="1">AVERAGE(OFFSET($R$3,0,0,'Données projet'!$E$9+1,1))-AVERAGE(OFFSET($H$3,0,0,'Données projet'!$E$9+1,1))</f>
        <v>309.07357540707869</v>
      </c>
      <c r="T96" s="59">
        <f t="shared" si="88"/>
        <v>155.9593924683299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7.5871794871794922</v>
      </c>
      <c r="AI96" s="13">
        <f>IF('Données projet'!$A$62&gt;35,AI95+AH96-AQ95,IF(A96&lt;'Données projet'!$A$62,$AF$205^A96,IF(A96='Données projet'!$A$62,'Données projet'!$B$62,AI95+AH96-AQ95)))</f>
        <v>300.33846153846139</v>
      </c>
      <c r="AJ96" s="13">
        <f>AI96*VLOOKUP('Données projet'!$B$10,Paramètres!$A$1:$I$89,3,0)*VLOOKUP('Données projet'!$B$10,Paramètres!$A$1:$I$89,5,0)</f>
        <v>290.48735999999985</v>
      </c>
      <c r="AK96" s="13">
        <f t="shared" si="89"/>
        <v>69.178524349661913</v>
      </c>
      <c r="AL96" s="20">
        <f t="shared" si="58"/>
        <v>626.41808190899428</v>
      </c>
      <c r="AM96" s="59">
        <f t="shared" si="59"/>
        <v>919.75141524232754</v>
      </c>
      <c r="AN96" s="59">
        <f ca="1">AVERAGE(OFFSET($AM$3,0,0,'Données projet'!$E$10+1,1))-AVERAGE(OFFSET($H$3,0,0,'Données projet'!$E$10+1,1))</f>
        <v>340.4659523898373</v>
      </c>
      <c r="AO96" s="59">
        <f t="shared" si="90"/>
        <v>170.54530785680572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7.1523076923076925</v>
      </c>
      <c r="BD96" s="12">
        <f>IF('Données projet'!$A$88&gt;35,BD95+BC96-BL95,IF(A96&lt;'Données projet'!$A$88,$BA$205^A96,IF(A96='Données projet'!$A$88,'Données projet'!$B$88,BD95+BC96-BL95)))</f>
        <v>348.0415384615381</v>
      </c>
      <c r="BE96" s="13">
        <f>BD96*VLOOKUP('Données projet'!$B$11,Paramètres!$A$1:$I$89,3,0)*VLOOKUP('Données projet'!$B$11,Paramètres!$A$1:$I$89,5,0)</f>
        <v>167.40797999999981</v>
      </c>
      <c r="BF96" s="13">
        <f t="shared" si="91"/>
        <v>42.508979233092177</v>
      </c>
      <c r="BG96" s="20">
        <f t="shared" si="61"/>
        <v>365.6053706643018</v>
      </c>
      <c r="BH96" s="59">
        <f t="shared" si="62"/>
        <v>658.93870399763512</v>
      </c>
      <c r="BI96" s="59">
        <f ca="1">AVERAGE(OFFSET($BH$3,0,0,'Données projet'!$E$11+1,1))-AVERAGE(OFFSET($H$3,0,0,'Données projet'!$E$11+1,1))</f>
        <v>162.52375757962767</v>
      </c>
      <c r="BJ96" s="59">
        <f t="shared" si="92"/>
        <v>162.18047435246194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7.5871794871794922</v>
      </c>
      <c r="N97" s="13">
        <f>IF('Données projet'!$A$36&gt;35,N96+M97-V96,IF(A97&lt;'Données projet'!$A$36,$K$205^A97,IF(A97='Données projet'!$A$36,'Données projet'!$B$36,N96+M97-V96)))</f>
        <v>307.92564102564086</v>
      </c>
      <c r="O97" s="13">
        <f>N97*VLOOKUP('Données projet'!$B$9,Paramètres!$A$1:$I$89,3,0)*VLOOKUP('Données projet'!$B$9,Paramètres!$A$1:$I$89,5,0)</f>
        <v>278.6111199999998</v>
      </c>
      <c r="P97" s="13">
        <f t="shared" si="87"/>
        <v>66.673413721636678</v>
      </c>
      <c r="Q97" s="20">
        <f t="shared" si="54"/>
        <v>601.37056289851682</v>
      </c>
      <c r="R97" s="59">
        <f t="shared" si="55"/>
        <v>894.70389623185019</v>
      </c>
      <c r="S97" s="59">
        <f ca="1">AVERAGE(OFFSET($R$3,0,0,'Données projet'!$E$9+1,1))-AVERAGE(OFFSET($H$3,0,0,'Données projet'!$E$9+1,1))</f>
        <v>309.07357540707869</v>
      </c>
      <c r="T97" s="59">
        <f t="shared" si="88"/>
        <v>155.9593924683299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7.5871794871794922</v>
      </c>
      <c r="AI97" s="13">
        <f>IF('Données projet'!$A$62&gt;35,AI96+AH97-AQ96,IF(A97&lt;'Données projet'!$A$62,$AF$205^A97,IF(A97='Données projet'!$A$62,'Données projet'!$B$62,AI96+AH97-AQ96)))</f>
        <v>307.92564102564086</v>
      </c>
      <c r="AJ97" s="13">
        <f>AI97*VLOOKUP('Données projet'!$B$10,Paramètres!$A$1:$I$89,3,0)*VLOOKUP('Données projet'!$B$10,Paramètres!$A$1:$I$89,5,0)</f>
        <v>297.82567999999986</v>
      </c>
      <c r="AK97" s="13">
        <f t="shared" si="89"/>
        <v>70.720449693018466</v>
      </c>
      <c r="AL97" s="20">
        <f t="shared" si="58"/>
        <v>641.88450921534013</v>
      </c>
      <c r="AM97" s="59">
        <f t="shared" si="59"/>
        <v>935.21784254867339</v>
      </c>
      <c r="AN97" s="59">
        <f ca="1">AVERAGE(OFFSET($AM$3,0,0,'Données projet'!$E$10+1,1))-AVERAGE(OFFSET($H$3,0,0,'Données projet'!$E$10+1,1))</f>
        <v>340.4659523898373</v>
      </c>
      <c r="AO97" s="59">
        <f t="shared" si="90"/>
        <v>170.54530785680572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7.1523076923076925</v>
      </c>
      <c r="BD97" s="12">
        <f>IF('Données projet'!$A$88&gt;35,BD96+BC97-BL96,IF(A97&lt;'Données projet'!$A$88,$BA$205^A97,IF(A97='Données projet'!$A$88,'Données projet'!$B$88,BD96+BC97-BL96)))</f>
        <v>355.19384615384581</v>
      </c>
      <c r="BE97" s="13">
        <f>BD97*VLOOKUP('Données projet'!$B$11,Paramètres!$A$1:$I$89,3,0)*VLOOKUP('Données projet'!$B$11,Paramètres!$A$1:$I$89,5,0)</f>
        <v>170.84823999999983</v>
      </c>
      <c r="BF97" s="13">
        <f t="shared" si="91"/>
        <v>43.279946061232884</v>
      </c>
      <c r="BG97" s="20">
        <f t="shared" si="61"/>
        <v>372.93992405664699</v>
      </c>
      <c r="BH97" s="59">
        <f t="shared" si="62"/>
        <v>666.27325738998024</v>
      </c>
      <c r="BI97" s="59">
        <f ca="1">AVERAGE(OFFSET($BH$3,0,0,'Données projet'!$E$11+1,1))-AVERAGE(OFFSET($H$3,0,0,'Données projet'!$E$11+1,1))</f>
        <v>162.52375757962767</v>
      </c>
      <c r="BJ97" s="59">
        <f t="shared" si="92"/>
        <v>162.18047435246194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7.5871794871794922</v>
      </c>
      <c r="N98" s="13">
        <f>IF('Données projet'!$A$36&gt;35,N97+M98-V97,IF(A98&lt;'Données projet'!$A$36,$K$205^A98,IF(A98='Données projet'!$A$36,'Données projet'!$B$36,N97+M98-V97)))</f>
        <v>315.51282051282033</v>
      </c>
      <c r="O98" s="13">
        <f>N98*VLOOKUP('Données projet'!$B$9,Paramètres!$A$1:$I$89,3,0)*VLOOKUP('Données projet'!$B$9,Paramètres!$A$1:$I$89,5,0)</f>
        <v>285.47599999999983</v>
      </c>
      <c r="P98" s="13">
        <f t="shared" si="87"/>
        <v>68.122937389828735</v>
      </c>
      <c r="Q98" s="20">
        <f t="shared" si="54"/>
        <v>615.85148262061796</v>
      </c>
      <c r="R98" s="59">
        <f t="shared" si="55"/>
        <v>909.18481595395133</v>
      </c>
      <c r="S98" s="59">
        <f ca="1">AVERAGE(OFFSET($R$3,0,0,'Données projet'!$E$9+1,1))-AVERAGE(OFFSET($H$3,0,0,'Données projet'!$E$9+1,1))</f>
        <v>309.07357540707869</v>
      </c>
      <c r="T98" s="59">
        <f t="shared" si="88"/>
        <v>155.9593924683299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7.5871794871794922</v>
      </c>
      <c r="AI98" s="13">
        <f>IF('Données projet'!$A$62&gt;35,AI97+AH98-AQ97,IF(A98&lt;'Données projet'!$A$62,$AF$205^A98,IF(A98='Données projet'!$A$62,'Données projet'!$B$62,AI97+AH98-AQ97)))</f>
        <v>315.51282051282033</v>
      </c>
      <c r="AJ98" s="13">
        <f>AI98*VLOOKUP('Données projet'!$B$10,Paramètres!$A$1:$I$89,3,0)*VLOOKUP('Données projet'!$B$10,Paramètres!$A$1:$I$89,5,0)</f>
        <v>305.16399999999982</v>
      </c>
      <c r="AK98" s="13">
        <f t="shared" si="89"/>
        <v>72.257958572992621</v>
      </c>
      <c r="AL98" s="20">
        <f t="shared" si="58"/>
        <v>657.3432445146284</v>
      </c>
      <c r="AM98" s="59">
        <f t="shared" si="59"/>
        <v>950.67657784796165</v>
      </c>
      <c r="AN98" s="59">
        <f ca="1">AVERAGE(OFFSET($AM$3,0,0,'Données projet'!$E$10+1,1))-AVERAGE(OFFSET($H$3,0,0,'Données projet'!$E$10+1,1))</f>
        <v>340.4659523898373</v>
      </c>
      <c r="AO98" s="59">
        <f t="shared" si="90"/>
        <v>170.54530785680572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7.1523076923076925</v>
      </c>
      <c r="BD98" s="12">
        <f>IF('Données projet'!$A$88&gt;35,BD97+BC98-BL97,IF(A98&lt;'Données projet'!$A$88,$BA$205^A98,IF(A98='Données projet'!$A$88,'Données projet'!$B$88,BD97+BC98-BL97)))</f>
        <v>362.34615384615353</v>
      </c>
      <c r="BE98" s="13">
        <f>BD98*VLOOKUP('Données projet'!$B$11,Paramètres!$A$1:$I$89,3,0)*VLOOKUP('Données projet'!$B$11,Paramètres!$A$1:$I$89,5,0)</f>
        <v>174.28849999999986</v>
      </c>
      <c r="BF98" s="13">
        <f t="shared" si="91"/>
        <v>44.049107829597155</v>
      </c>
      <c r="BG98" s="20">
        <f t="shared" si="61"/>
        <v>380.27133363654815</v>
      </c>
      <c r="BH98" s="59">
        <f t="shared" si="62"/>
        <v>673.60466696988146</v>
      </c>
      <c r="BI98" s="59">
        <f ca="1">AVERAGE(OFFSET($BH$3,0,0,'Données projet'!$E$11+1,1))-AVERAGE(OFFSET($H$3,0,0,'Données projet'!$E$11+1,1))</f>
        <v>162.52375757962767</v>
      </c>
      <c r="BJ98" s="59">
        <f t="shared" si="92"/>
        <v>162.18047435246194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7.5871794871794922</v>
      </c>
      <c r="N99" s="13">
        <f>IF('Données projet'!$A$36&gt;35,N98+M99-V98,IF(A99&lt;'Données projet'!$A$36,$K$205^A99,IF(A99='Données projet'!$A$36,'Données projet'!$B$36,N98+M99-V98)))</f>
        <v>323.0999999999998</v>
      </c>
      <c r="O99" s="13">
        <f>N99*VLOOKUP('Données projet'!$B$9,Paramètres!$A$1:$I$89,3,0)*VLOOKUP('Données projet'!$B$9,Paramètres!$A$1:$I$89,5,0)</f>
        <v>292.3408799999998</v>
      </c>
      <c r="P99" s="13">
        <f t="shared" si="87"/>
        <v>69.568408976210563</v>
      </c>
      <c r="Q99" s="20">
        <f t="shared" ref="Q99:Q130" si="107">(O99+P99)*0.475*44/12</f>
        <v>630.32534496689959</v>
      </c>
      <c r="R99" s="59">
        <f t="shared" si="55"/>
        <v>923.65867830023285</v>
      </c>
      <c r="S99" s="59">
        <f ca="1">AVERAGE(OFFSET($R$3,0,0,'Données projet'!$E$9+1,1))-AVERAGE(OFFSET($H$3,0,0,'Données projet'!$E$9+1,1))</f>
        <v>309.07357540707869</v>
      </c>
      <c r="T99" s="59">
        <f t="shared" si="88"/>
        <v>155.9593924683299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7.5871794871794922</v>
      </c>
      <c r="AI99" s="13">
        <f>IF('Données projet'!$A$62&gt;35,AI98+AH99-AQ98,IF(A99&lt;'Données projet'!$A$62,$AF$205^A99,IF(A99='Données projet'!$A$62,'Données projet'!$B$62,AI98+AH99-AQ98)))</f>
        <v>323.0999999999998</v>
      </c>
      <c r="AJ99" s="13">
        <f>AI99*VLOOKUP('Données projet'!$B$10,Paramètres!$A$1:$I$89,3,0)*VLOOKUP('Données projet'!$B$10,Paramètres!$A$1:$I$89,5,0)</f>
        <v>312.50231999999977</v>
      </c>
      <c r="AK99" s="13">
        <f t="shared" si="89"/>
        <v>73.791169412236613</v>
      </c>
      <c r="AL99" s="20">
        <f t="shared" si="58"/>
        <v>672.79449405964499</v>
      </c>
      <c r="AM99" s="59">
        <f t="shared" si="59"/>
        <v>966.12782739297836</v>
      </c>
      <c r="AN99" s="59">
        <f ca="1">AVERAGE(OFFSET($AM$3,0,0,'Données projet'!$E$10+1,1))-AVERAGE(OFFSET($H$3,0,0,'Données projet'!$E$10+1,1))</f>
        <v>340.4659523898373</v>
      </c>
      <c r="AO99" s="59">
        <f t="shared" si="90"/>
        <v>170.54530785680572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7.1523076923076925</v>
      </c>
      <c r="BD99" s="12">
        <f>IF('Données projet'!$A$88&gt;35,BD98+BC99-BL98,IF(A99&lt;'Données projet'!$A$88,$BA$205^A99,IF(A99='Données projet'!$A$88,'Données projet'!$B$88,BD98+BC99-BL98)))</f>
        <v>369.49846153846124</v>
      </c>
      <c r="BE99" s="13">
        <f>BD99*VLOOKUP('Données projet'!$B$11,Paramètres!$A$1:$I$89,3,0)*VLOOKUP('Données projet'!$B$11,Paramètres!$A$1:$I$89,5,0)</f>
        <v>177.72875999999985</v>
      </c>
      <c r="BF99" s="13">
        <f t="shared" si="91"/>
        <v>44.816504274907579</v>
      </c>
      <c r="BG99" s="20">
        <f t="shared" si="61"/>
        <v>387.59966861213042</v>
      </c>
      <c r="BH99" s="59">
        <f t="shared" si="62"/>
        <v>680.93300194546373</v>
      </c>
      <c r="BI99" s="59">
        <f ca="1">AVERAGE(OFFSET($BH$3,0,0,'Données projet'!$E$11+1,1))-AVERAGE(OFFSET($H$3,0,0,'Données projet'!$E$11+1,1))</f>
        <v>162.52375757962767</v>
      </c>
      <c r="BJ99" s="59">
        <f t="shared" si="92"/>
        <v>162.18047435246194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7.5871794871794922</v>
      </c>
      <c r="N100" s="13">
        <f>IF('Données projet'!$A$36&gt;35,N99+M100-V99,IF(A100&lt;'Données projet'!$A$36,$K$205^A100,IF(A100='Données projet'!$A$36,'Données projet'!$B$36,N99+M100-V99)))</f>
        <v>330.68717948717926</v>
      </c>
      <c r="O100" s="13">
        <f>N100*VLOOKUP('Données projet'!$B$9,Paramètres!$A$1:$I$89,3,0)*VLOOKUP('Données projet'!$B$9,Paramètres!$A$1:$I$89,5,0)</f>
        <v>299.20575999999983</v>
      </c>
      <c r="P100" s="13">
        <f t="shared" si="87"/>
        <v>71.009934584041005</v>
      </c>
      <c r="Q100" s="20">
        <f t="shared" si="107"/>
        <v>644.79233473387114</v>
      </c>
      <c r="R100" s="59">
        <f t="shared" si="55"/>
        <v>938.12566806720451</v>
      </c>
      <c r="S100" s="59">
        <f ca="1">AVERAGE(OFFSET($R$3,0,0,'Données projet'!$E$9+1,1))-AVERAGE(OFFSET($H$3,0,0,'Données projet'!$E$9+1,1))</f>
        <v>309.07357540707869</v>
      </c>
      <c r="T100" s="59">
        <f t="shared" si="88"/>
        <v>155.9593924683299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7.5871794871794922</v>
      </c>
      <c r="AI100" s="13">
        <f>IF('Données projet'!$A$62&gt;35,AI99+AH100-AQ99,IF(A100&lt;'Données projet'!$A$62,$AF$205^A100,IF(A100='Données projet'!$A$62,'Données projet'!$B$62,AI99+AH100-AQ99)))</f>
        <v>330.68717948717926</v>
      </c>
      <c r="AJ100" s="13">
        <f>AI100*VLOOKUP('Données projet'!$B$10,Paramètres!$A$1:$I$89,3,0)*VLOOKUP('Données projet'!$B$10,Paramètres!$A$1:$I$89,5,0)</f>
        <v>319.84063999999984</v>
      </c>
      <c r="AK100" s="13">
        <f t="shared" si="89"/>
        <v>75.320194754412668</v>
      </c>
      <c r="AL100" s="20">
        <f t="shared" si="58"/>
        <v>688.23845386393521</v>
      </c>
      <c r="AM100" s="59">
        <f t="shared" si="59"/>
        <v>981.57178719726858</v>
      </c>
      <c r="AN100" s="59">
        <f ca="1">AVERAGE(OFFSET($AM$3,0,0,'Données projet'!$E$10+1,1))-AVERAGE(OFFSET($H$3,0,0,'Données projet'!$E$10+1,1))</f>
        <v>340.4659523898373</v>
      </c>
      <c r="AO100" s="59">
        <f t="shared" si="90"/>
        <v>170.54530785680572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7.1523076923076925</v>
      </c>
      <c r="BD100" s="12">
        <f>IF('Données projet'!$A$88&gt;35,BD99+BC100-BL99,IF(A100&lt;'Données projet'!$A$88,$BA$205^A100,IF(A100='Données projet'!$A$88,'Données projet'!$B$88,BD99+BC100-BL99)))</f>
        <v>376.65076923076896</v>
      </c>
      <c r="BE100" s="13">
        <f>BD100*VLOOKUP('Données projet'!$B$11,Paramètres!$A$1:$I$89,3,0)*VLOOKUP('Données projet'!$B$11,Paramètres!$A$1:$I$89,5,0)</f>
        <v>181.16901999999988</v>
      </c>
      <c r="BF100" s="13">
        <f t="shared" si="91"/>
        <v>45.582173507530811</v>
      </c>
      <c r="BG100" s="20">
        <f t="shared" si="61"/>
        <v>394.92499535894922</v>
      </c>
      <c r="BH100" s="59">
        <f t="shared" si="62"/>
        <v>688.25832869228248</v>
      </c>
      <c r="BI100" s="59">
        <f ca="1">AVERAGE(OFFSET($BH$3,0,0,'Données projet'!$E$11+1,1))-AVERAGE(OFFSET($H$3,0,0,'Données projet'!$E$11+1,1))</f>
        <v>162.52375757962767</v>
      </c>
      <c r="BJ100" s="59">
        <f t="shared" si="92"/>
        <v>162.18047435246194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7.5871794871794922</v>
      </c>
      <c r="N101" s="13">
        <f>IF('Données projet'!$A$36&gt;35,N100+M101-V100,IF(A101&lt;'Données projet'!$A$36,$K$205^A101,IF(A101='Données projet'!$A$36,'Données projet'!$B$36,N100+M101-V100)))</f>
        <v>338.27435897435873</v>
      </c>
      <c r="O101" s="13">
        <f>N101*VLOOKUP('Données projet'!$B$9,Paramètres!$A$1:$I$89,3,0)*VLOOKUP('Données projet'!$B$9,Paramètres!$A$1:$I$89,5,0)</f>
        <v>306.0706399999998</v>
      </c>
      <c r="P101" s="13">
        <f t="shared" si="87"/>
        <v>72.44761516993232</v>
      </c>
      <c r="Q101" s="20">
        <f t="shared" si="107"/>
        <v>659.25262775429837</v>
      </c>
      <c r="R101" s="59">
        <f t="shared" si="55"/>
        <v>952.58596108763163</v>
      </c>
      <c r="S101" s="59">
        <f ca="1">AVERAGE(OFFSET($R$3,0,0,'Données projet'!$E$9+1,1))-AVERAGE(OFFSET($H$3,0,0,'Données projet'!$E$9+1,1))</f>
        <v>309.07357540707869</v>
      </c>
      <c r="T101" s="59">
        <f t="shared" si="88"/>
        <v>155.9593924683299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7.5871794871794922</v>
      </c>
      <c r="AI101" s="13">
        <f>IF('Données projet'!$A$62&gt;35,AI100+AH101-AQ100,IF(A101&lt;'Données projet'!$A$62,$AF$205^A101,IF(A101='Données projet'!$A$62,'Données projet'!$B$62,AI100+AH101-AQ100)))</f>
        <v>338.27435897435873</v>
      </c>
      <c r="AJ101" s="13">
        <f>AI101*VLOOKUP('Données projet'!$B$10,Paramètres!$A$1:$I$89,3,0)*VLOOKUP('Données projet'!$B$10,Paramètres!$A$1:$I$89,5,0)</f>
        <v>327.17895999999979</v>
      </c>
      <c r="AK101" s="13">
        <f t="shared" si="89"/>
        <v>76.845141684138582</v>
      </c>
      <c r="AL101" s="20">
        <f t="shared" si="58"/>
        <v>703.67531043320753</v>
      </c>
      <c r="AM101" s="59">
        <f t="shared" si="59"/>
        <v>997.0086437665409</v>
      </c>
      <c r="AN101" s="59">
        <f ca="1">AVERAGE(OFFSET($AM$3,0,0,'Données projet'!$E$10+1,1))-AVERAGE(OFFSET($H$3,0,0,'Données projet'!$E$10+1,1))</f>
        <v>340.4659523898373</v>
      </c>
      <c r="AO101" s="59">
        <f t="shared" si="90"/>
        <v>170.54530785680572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7.1523076923076925</v>
      </c>
      <c r="BD101" s="12">
        <f>IF('Données projet'!$A$88&gt;35,BD100+BC101-BL100,IF(A101&lt;'Données projet'!$A$88,$BA$205^A101,IF(A101='Données projet'!$A$88,'Données projet'!$B$88,BD100+BC101-BL100)))</f>
        <v>383.80307692307667</v>
      </c>
      <c r="BE101" s="13">
        <f>BD101*VLOOKUP('Données projet'!$B$11,Paramètres!$A$1:$I$89,3,0)*VLOOKUP('Données projet'!$B$11,Paramètres!$A$1:$I$89,5,0)</f>
        <v>184.6092799999999</v>
      </c>
      <c r="BF101" s="13">
        <f t="shared" si="91"/>
        <v>46.346152107639746</v>
      </c>
      <c r="BG101" s="20">
        <f t="shared" si="61"/>
        <v>402.24737758747233</v>
      </c>
      <c r="BH101" s="59">
        <f t="shared" si="62"/>
        <v>695.58071092080559</v>
      </c>
      <c r="BI101" s="59">
        <f ca="1">AVERAGE(OFFSET($BH$3,0,0,'Données projet'!$E$11+1,1))-AVERAGE(OFFSET($H$3,0,0,'Données projet'!$E$11+1,1))</f>
        <v>162.52375757962767</v>
      </c>
      <c r="BJ101" s="59">
        <f t="shared" si="92"/>
        <v>162.18047435246194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7.5871794871794922</v>
      </c>
      <c r="N102" s="13">
        <f>IF('Données projet'!$A$36&gt;35,N101+M102-V101,IF(A102&lt;'Données projet'!$A$36,$K$205^A102,IF(A102='Données projet'!$A$36,'Données projet'!$B$36,N101+M102-V101)))</f>
        <v>345.8615384615382</v>
      </c>
      <c r="O102" s="13">
        <f>N102*VLOOKUP('Données projet'!$B$9,Paramètres!$A$1:$I$89,3,0)*VLOOKUP('Données projet'!$B$9,Paramètres!$A$1:$I$89,5,0)</f>
        <v>312.93551999999977</v>
      </c>
      <c r="P102" s="13">
        <f t="shared" si="87"/>
        <v>73.881546903242409</v>
      </c>
      <c r="Q102" s="20">
        <f t="shared" si="107"/>
        <v>673.70639152314664</v>
      </c>
      <c r="R102" s="59">
        <f t="shared" si="55"/>
        <v>967.03972485648001</v>
      </c>
      <c r="S102" s="59">
        <f ca="1">AVERAGE(OFFSET($R$3,0,0,'Données projet'!$E$9+1,1))-AVERAGE(OFFSET($H$3,0,0,'Données projet'!$E$9+1,1))</f>
        <v>309.07357540707869</v>
      </c>
      <c r="T102" s="59">
        <f t="shared" si="88"/>
        <v>155.9593924683299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7.5871794871794922</v>
      </c>
      <c r="AI102" s="13">
        <f>IF('Données projet'!$A$62&gt;35,AI101+AH102-AQ101,IF(A102&lt;'Données projet'!$A$62,$AF$205^A102,IF(A102='Données projet'!$A$62,'Données projet'!$B$62,AI101+AH102-AQ101)))</f>
        <v>345.8615384615382</v>
      </c>
      <c r="AJ102" s="13">
        <f>AI102*VLOOKUP('Données projet'!$B$10,Paramètres!$A$1:$I$89,3,0)*VLOOKUP('Données projet'!$B$10,Paramètres!$A$1:$I$89,5,0)</f>
        <v>334.51727999999974</v>
      </c>
      <c r="AK102" s="13">
        <f t="shared" si="89"/>
        <v>78.366112208194252</v>
      </c>
      <c r="AL102" s="20">
        <f t="shared" si="58"/>
        <v>719.10524142927113</v>
      </c>
      <c r="AM102" s="59">
        <f t="shared" si="59"/>
        <v>1012.4385747626045</v>
      </c>
      <c r="AN102" s="59">
        <f ca="1">AVERAGE(OFFSET($AM$3,0,0,'Données projet'!$E$10+1,1))-AVERAGE(OFFSET($H$3,0,0,'Données projet'!$E$10+1,1))</f>
        <v>340.4659523898373</v>
      </c>
      <c r="AO102" s="59">
        <f t="shared" si="90"/>
        <v>170.54530785680572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7.1523076923076925</v>
      </c>
      <c r="BD102" s="12">
        <f>IF('Données projet'!$A$88&gt;35,BD101+BC102-BL101,IF(A102&lt;'Données projet'!$A$88,$BA$205^A102,IF(A102='Données projet'!$A$88,'Données projet'!$B$88,BD101+BC102-BL101)))</f>
        <v>390.95538461538439</v>
      </c>
      <c r="BE102" s="13">
        <f>BD102*VLOOKUP('Données projet'!$B$11,Paramètres!$A$1:$I$89,3,0)*VLOOKUP('Données projet'!$B$11,Paramètres!$A$1:$I$89,5,0)</f>
        <v>188.04953999999992</v>
      </c>
      <c r="BF102" s="13">
        <f t="shared" si="91"/>
        <v>47.108475214003292</v>
      </c>
      <c r="BG102" s="20">
        <f t="shared" si="61"/>
        <v>409.56687649772226</v>
      </c>
      <c r="BH102" s="59">
        <f t="shared" si="62"/>
        <v>702.90020983105558</v>
      </c>
      <c r="BI102" s="59">
        <f ca="1">AVERAGE(OFFSET($BH$3,0,0,'Données projet'!$E$11+1,1))-AVERAGE(OFFSET($H$3,0,0,'Données projet'!$E$11+1,1))</f>
        <v>162.52375757962767</v>
      </c>
      <c r="BJ102" s="59">
        <f t="shared" si="92"/>
        <v>162.18047435246194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353.44871794871796</v>
      </c>
      <c r="L103" s="12">
        <f>VLOOKUP(A103,'Données projet'!$A$35:$I$55,9,0)</f>
        <v>7.5871794871794922</v>
      </c>
      <c r="M103" s="12">
        <f t="array" ref="M103">INDEX(L:L,MIN(IF(ISNUMBER(L103:L299),ROW(L103:L299),"")))</f>
        <v>7.5871794871794922</v>
      </c>
      <c r="N103" s="13">
        <f>IF('Données projet'!$A$36&gt;35,N102+M103-V102,IF(A103&lt;'Données projet'!$A$36,$K$205^A103,IF(A103='Données projet'!$A$36,'Données projet'!$B$36,N102+M103-V102)))</f>
        <v>353.44871794871767</v>
      </c>
      <c r="O103" s="13">
        <f>N103*VLOOKUP('Données projet'!$B$9,Paramètres!$A$1:$I$89,3,0)*VLOOKUP('Données projet'!$B$9,Paramètres!$A$1:$I$89,5,0)</f>
        <v>319.80039999999974</v>
      </c>
      <c r="P103" s="13">
        <f t="shared" si="87"/>
        <v>75.31182149304135</v>
      </c>
      <c r="Q103" s="20">
        <f t="shared" si="107"/>
        <v>688.15378576704654</v>
      </c>
      <c r="R103" s="59">
        <f t="shared" si="55"/>
        <v>981.48711910037991</v>
      </c>
      <c r="S103" s="59">
        <f ca="1">AVERAGE(OFFSET($R$3,0,0,'Données projet'!$E$9+1,1))-AVERAGE(OFFSET($H$3,0,0,'Données projet'!$E$9+1,1))</f>
        <v>309.07357540707869</v>
      </c>
      <c r="T103" s="59">
        <f t="shared" si="88"/>
        <v>155.9593924683299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63.801282051282051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353.44871794871796</v>
      </c>
      <c r="AG103" s="12">
        <f>VLOOKUP(A103,'Données projet'!$A$61:$I$81,9,0)</f>
        <v>7.5871794871794922</v>
      </c>
      <c r="AH103" s="12">
        <f t="array" ref="AH103">INDEX(AG:AG,MIN(IF(ISNUMBER(AG103:AG299),ROW(AG103:AG299),"")))</f>
        <v>7.5871794871794922</v>
      </c>
      <c r="AI103" s="13">
        <f>IF('Données projet'!$A$62&gt;35,AI102+AH103-AQ102,IF(A103&lt;'Données projet'!$A$62,$AF$205^A103,IF(A103='Données projet'!$A$62,'Données projet'!$B$62,AI102+AH103-AQ102)))</f>
        <v>353.44871794871767</v>
      </c>
      <c r="AJ103" s="13">
        <f>AI103*VLOOKUP('Données projet'!$B$10,Paramètres!$A$1:$I$89,3,0)*VLOOKUP('Données projet'!$B$10,Paramètres!$A$1:$I$89,5,0)</f>
        <v>341.85559999999975</v>
      </c>
      <c r="AK103" s="13">
        <f t="shared" si="89"/>
        <v>79.883203602334916</v>
      </c>
      <c r="AL103" s="20">
        <f t="shared" si="58"/>
        <v>734.52841627406622</v>
      </c>
      <c r="AM103" s="59">
        <f t="shared" si="59"/>
        <v>1027.8617496073996</v>
      </c>
      <c r="AN103" s="59">
        <f ca="1">AVERAGE(OFFSET($AM$3,0,0,'Données projet'!$E$10+1,1))-AVERAGE(OFFSET($H$3,0,0,'Données projet'!$E$10+1,1))</f>
        <v>340.4659523898373</v>
      </c>
      <c r="AO103" s="59">
        <f t="shared" si="90"/>
        <v>170.54530785680572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63.801282051282051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398.10769230769228</v>
      </c>
      <c r="BB103" s="12">
        <f>VLOOKUP(A103,'Données projet'!$A$87:$I$107,9,0)</f>
        <v>7.1523076923076925</v>
      </c>
      <c r="BC103" s="12">
        <f t="array" ref="BC103">INDEX(BB:BB,MIN(IF(ISNUMBER(BB103:BB299),ROW(BB103:BB299),"")))</f>
        <v>7.1523076923076925</v>
      </c>
      <c r="BD103" s="12">
        <f>IF('Données projet'!$A$88&gt;35,BD102+BC103-BL102,IF(A103&lt;'Données projet'!$A$88,$BA$205^A103,IF(A103='Données projet'!$A$88,'Données projet'!$B$88,BD102+BC103-BL102)))</f>
        <v>398.1076923076921</v>
      </c>
      <c r="BE103" s="13">
        <f>BD103*VLOOKUP('Données projet'!$B$11,Paramètres!$A$1:$I$89,3,0)*VLOOKUP('Données projet'!$B$11,Paramètres!$A$1:$I$89,5,0)</f>
        <v>191.48979999999992</v>
      </c>
      <c r="BF103" s="13">
        <f t="shared" si="91"/>
        <v>47.869176606096261</v>
      </c>
      <c r="BG103" s="20">
        <f t="shared" si="61"/>
        <v>416.8835509222842</v>
      </c>
      <c r="BH103" s="59">
        <f t="shared" si="62"/>
        <v>710.21688425561752</v>
      </c>
      <c r="BI103" s="59">
        <f ca="1">AVERAGE(OFFSET($BH$3,0,0,'Données projet'!$E$11+1,1))-AVERAGE(OFFSET($H$3,0,0,'Données projet'!$E$11+1,1))</f>
        <v>162.52375757962767</v>
      </c>
      <c r="BJ103" s="59">
        <f t="shared" si="92"/>
        <v>162.18047435246194</v>
      </c>
      <c r="BK103" s="15">
        <f>IF(ISNA(VLOOKUP(A103,'Données projet'!$A$87:$I$107,3,0)),0,VLOOKUP(A103,'Données projet'!$A$87:$I$107,3,0))</f>
        <v>6</v>
      </c>
      <c r="BL103" s="15">
        <f>IF(ISNA(VLOOKUP(A103,'Données projet'!$A$87:$I$107,4,0)),0,VLOOKUP(A103,'Données projet'!$A$87:$I$107,4,0))</f>
        <v>178.02307692307693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7.2711538461538394</v>
      </c>
      <c r="N104" s="13">
        <f>IF('Données projet'!$A$36&gt;35,N103+M104-V103,IF(A104&lt;'Données projet'!$A$36,$K$205^A104,IF(A104='Données projet'!$A$36,'Données projet'!$B$36,N103+M104-V103)))</f>
        <v>296.91858974358945</v>
      </c>
      <c r="O104" s="13">
        <f>N104*VLOOKUP('Données projet'!$B$9,Paramètres!$A$1:$I$89,3,0)*VLOOKUP('Données projet'!$B$9,Paramètres!$A$1:$I$89,5,0)</f>
        <v>268.65193999999974</v>
      </c>
      <c r="P104" s="13">
        <f t="shared" si="87"/>
        <v>64.563093644979261</v>
      </c>
      <c r="Q104" s="20">
        <f t="shared" si="107"/>
        <v>580.3495169316717</v>
      </c>
      <c r="R104" s="59">
        <f t="shared" si="55"/>
        <v>873.68285026500507</v>
      </c>
      <c r="S104" s="59">
        <f ca="1">AVERAGE(OFFSET($R$3,0,0,'Données projet'!$E$9+1,1))-AVERAGE(OFFSET($H$3,0,0,'Données projet'!$E$9+1,1))</f>
        <v>309.07357540707869</v>
      </c>
      <c r="T104" s="59">
        <f t="shared" si="88"/>
        <v>155.9593924683299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7.2711538461538394</v>
      </c>
      <c r="AI104" s="13">
        <f>IF('Données projet'!$A$62&gt;35,AI103+AH104-AQ103,IF(A104&lt;'Données projet'!$A$62,$AF$205^A104,IF(A104='Données projet'!$A$62,'Données projet'!$B$62,AI103+AH104-AQ103)))</f>
        <v>296.91858974358945</v>
      </c>
      <c r="AJ104" s="13">
        <f>AI104*VLOOKUP('Données projet'!$B$10,Paramètres!$A$1:$I$89,3,0)*VLOOKUP('Données projet'!$B$10,Paramètres!$A$1:$I$89,5,0)</f>
        <v>287.17965999999973</v>
      </c>
      <c r="AK104" s="13">
        <f t="shared" si="89"/>
        <v>68.48203446141639</v>
      </c>
      <c r="AL104" s="20">
        <f t="shared" si="58"/>
        <v>619.44411785363297</v>
      </c>
      <c r="AM104" s="59">
        <f t="shared" si="59"/>
        <v>912.77745118696635</v>
      </c>
      <c r="AN104" s="59">
        <f ca="1">AVERAGE(OFFSET($AM$3,0,0,'Données projet'!$E$10+1,1))-AVERAGE(OFFSET($H$3,0,0,'Données projet'!$E$10+1,1))</f>
        <v>340.4659523898373</v>
      </c>
      <c r="AO104" s="59">
        <f t="shared" si="90"/>
        <v>170.54530785680572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4.6992307692307689</v>
      </c>
      <c r="BD104" s="12">
        <f>IF('Données projet'!$A$88&gt;35,BD103+BC104-BL103,IF(A104&lt;'Données projet'!$A$88,$BA$205^A104,IF(A104='Données projet'!$A$88,'Données projet'!$B$88,BD103+BC104-BL103)))</f>
        <v>224.78384615384596</v>
      </c>
      <c r="BE104" s="13">
        <f>BD104*VLOOKUP('Données projet'!$B$11,Paramètres!$A$1:$I$89,3,0)*VLOOKUP('Données projet'!$B$11,Paramètres!$A$1:$I$89,5,0)</f>
        <v>108.12102999999991</v>
      </c>
      <c r="BF104" s="13">
        <f t="shared" si="91"/>
        <v>28.887841653581557</v>
      </c>
      <c r="BG104" s="20">
        <f t="shared" si="61"/>
        <v>238.62378479665435</v>
      </c>
      <c r="BH104" s="59">
        <f t="shared" si="62"/>
        <v>531.95711812998763</v>
      </c>
      <c r="BI104" s="59">
        <f ca="1">AVERAGE(OFFSET($BH$3,0,0,'Données projet'!$E$11+1,1))-AVERAGE(OFFSET($H$3,0,0,'Données projet'!$E$11+1,1))</f>
        <v>162.52375757962767</v>
      </c>
      <c r="BJ104" s="59">
        <f t="shared" si="92"/>
        <v>162.18047435246194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7.2711538461538394</v>
      </c>
      <c r="N105" s="13">
        <f>IF('Données projet'!$A$36&gt;35,N104+M105-V104,IF(A105&lt;'Données projet'!$A$36,$K$205^A105,IF(A105='Données projet'!$A$36,'Données projet'!$B$36,N104+M105-V104)))</f>
        <v>304.18974358974327</v>
      </c>
      <c r="O105" s="13">
        <f>N105*VLOOKUP('Données projet'!$B$9,Paramètres!$A$1:$I$89,3,0)*VLOOKUP('Données projet'!$B$9,Paramètres!$A$1:$I$89,5,0)</f>
        <v>275.23087999999973</v>
      </c>
      <c r="P105" s="13">
        <f t="shared" si="87"/>
        <v>65.958151259438324</v>
      </c>
      <c r="Q105" s="20">
        <f t="shared" si="107"/>
        <v>594.23756277685459</v>
      </c>
      <c r="R105" s="59">
        <f t="shared" si="55"/>
        <v>887.57089611018796</v>
      </c>
      <c r="S105" s="59">
        <f ca="1">AVERAGE(OFFSET($R$3,0,0,'Données projet'!$E$9+1,1))-AVERAGE(OFFSET($H$3,0,0,'Données projet'!$E$9+1,1))</f>
        <v>309.07357540707869</v>
      </c>
      <c r="T105" s="59">
        <f t="shared" si="88"/>
        <v>155.9593924683299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7.2711538461538394</v>
      </c>
      <c r="AI105" s="13">
        <f>IF('Données projet'!$A$62&gt;35,AI104+AH105-AQ104,IF(A105&lt;'Données projet'!$A$62,$AF$205^A105,IF(A105='Données projet'!$A$62,'Données projet'!$B$62,AI104+AH105-AQ104)))</f>
        <v>304.18974358974327</v>
      </c>
      <c r="AJ105" s="13">
        <f>AI105*VLOOKUP('Données projet'!$B$10,Paramètres!$A$1:$I$89,3,0)*VLOOKUP('Données projet'!$B$10,Paramètres!$A$1:$I$89,5,0)</f>
        <v>294.21231999999969</v>
      </c>
      <c r="AK105" s="13">
        <f t="shared" si="89"/>
        <v>69.961771231069733</v>
      </c>
      <c r="AL105" s="20">
        <f t="shared" si="58"/>
        <v>634.26987556077927</v>
      </c>
      <c r="AM105" s="59">
        <f t="shared" si="59"/>
        <v>927.60320889411264</v>
      </c>
      <c r="AN105" s="59">
        <f ca="1">AVERAGE(OFFSET($AM$3,0,0,'Données projet'!$E$10+1,1))-AVERAGE(OFFSET($H$3,0,0,'Données projet'!$E$10+1,1))</f>
        <v>340.4659523898373</v>
      </c>
      <c r="AO105" s="59">
        <f t="shared" si="90"/>
        <v>170.54530785680572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4.6992307692307689</v>
      </c>
      <c r="BD105" s="12">
        <f>IF('Données projet'!$A$88&gt;35,BD104+BC105-BL104,IF(A105&lt;'Données projet'!$A$88,$BA$205^A105,IF(A105='Données projet'!$A$88,'Données projet'!$B$88,BD104+BC105-BL104)))</f>
        <v>229.48307692307674</v>
      </c>
      <c r="BE105" s="13">
        <f>BD105*VLOOKUP('Données projet'!$B$11,Paramètres!$A$1:$I$89,3,0)*VLOOKUP('Données projet'!$B$11,Paramètres!$A$1:$I$89,5,0)</f>
        <v>110.38135999999992</v>
      </c>
      <c r="BF105" s="13">
        <f t="shared" si="91"/>
        <v>29.420817856720127</v>
      </c>
      <c r="BG105" s="20">
        <f t="shared" si="61"/>
        <v>243.48879310045405</v>
      </c>
      <c r="BH105" s="59">
        <f t="shared" si="62"/>
        <v>536.82212643378739</v>
      </c>
      <c r="BI105" s="59">
        <f ca="1">AVERAGE(OFFSET($BH$3,0,0,'Données projet'!$E$11+1,1))-AVERAGE(OFFSET($H$3,0,0,'Données projet'!$E$11+1,1))</f>
        <v>162.52375757962767</v>
      </c>
      <c r="BJ105" s="59">
        <f t="shared" si="92"/>
        <v>162.18047435246194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7.2711538461538394</v>
      </c>
      <c r="N106" s="13">
        <f>IF('Données projet'!$A$36&gt;35,N105+M106-V105,IF(A106&lt;'Données projet'!$A$36,$K$205^A106,IF(A106='Données projet'!$A$36,'Données projet'!$B$36,N105+M106-V105)))</f>
        <v>311.4608974358971</v>
      </c>
      <c r="O106" s="13">
        <f>N106*VLOOKUP('Données projet'!$B$9,Paramètres!$A$1:$I$89,3,0)*VLOOKUP('Données projet'!$B$9,Paramètres!$A$1:$I$89,5,0)</f>
        <v>281.80981999999966</v>
      </c>
      <c r="P106" s="13">
        <f t="shared" si="87"/>
        <v>67.349332340203063</v>
      </c>
      <c r="Q106" s="20">
        <f t="shared" si="107"/>
        <v>608.11885699251968</v>
      </c>
      <c r="R106" s="59">
        <f t="shared" si="55"/>
        <v>901.45219032585305</v>
      </c>
      <c r="S106" s="59">
        <f ca="1">AVERAGE(OFFSET($R$3,0,0,'Données projet'!$E$9+1,1))-AVERAGE(OFFSET($H$3,0,0,'Données projet'!$E$9+1,1))</f>
        <v>309.07357540707869</v>
      </c>
      <c r="T106" s="59">
        <f t="shared" si="88"/>
        <v>155.9593924683299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7.2711538461538394</v>
      </c>
      <c r="AI106" s="13">
        <f>IF('Données projet'!$A$62&gt;35,AI105+AH106-AQ105,IF(A106&lt;'Données projet'!$A$62,$AF$205^A106,IF(A106='Données projet'!$A$62,'Données projet'!$B$62,AI105+AH106-AQ105)))</f>
        <v>311.4608974358971</v>
      </c>
      <c r="AJ106" s="13">
        <f>AI106*VLOOKUP('Données projet'!$B$10,Paramètres!$A$1:$I$89,3,0)*VLOOKUP('Données projet'!$B$10,Paramètres!$A$1:$I$89,5,0)</f>
        <v>301.24497999999966</v>
      </c>
      <c r="AK106" s="13">
        <f t="shared" si="89"/>
        <v>71.437396163773144</v>
      </c>
      <c r="AL106" s="20">
        <f t="shared" si="58"/>
        <v>649.08847181857095</v>
      </c>
      <c r="AM106" s="59">
        <f t="shared" si="59"/>
        <v>942.42180515190421</v>
      </c>
      <c r="AN106" s="59">
        <f ca="1">AVERAGE(OFFSET($AM$3,0,0,'Données projet'!$E$10+1,1))-AVERAGE(OFFSET($H$3,0,0,'Données projet'!$E$10+1,1))</f>
        <v>340.4659523898373</v>
      </c>
      <c r="AO106" s="59">
        <f t="shared" si="90"/>
        <v>170.54530785680572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4.6992307692307689</v>
      </c>
      <c r="BD106" s="12">
        <f>IF('Données projet'!$A$88&gt;35,BD105+BC106-BL105,IF(A106&lt;'Données projet'!$A$88,$BA$205^A106,IF(A106='Données projet'!$A$88,'Données projet'!$B$88,BD105+BC106-BL105)))</f>
        <v>234.18230769230752</v>
      </c>
      <c r="BE106" s="13">
        <f>BD106*VLOOKUP('Données projet'!$B$11,Paramètres!$A$1:$I$89,3,0)*VLOOKUP('Données projet'!$B$11,Paramètres!$A$1:$I$89,5,0)</f>
        <v>112.64168999999991</v>
      </c>
      <c r="BF106" s="13">
        <f t="shared" si="91"/>
        <v>29.952525089412283</v>
      </c>
      <c r="BG106" s="20">
        <f t="shared" si="61"/>
        <v>248.35159128072624</v>
      </c>
      <c r="BH106" s="59">
        <f t="shared" si="62"/>
        <v>541.68492461405958</v>
      </c>
      <c r="BI106" s="59">
        <f ca="1">AVERAGE(OFFSET($BH$3,0,0,'Données projet'!$E$11+1,1))-AVERAGE(OFFSET($H$3,0,0,'Données projet'!$E$11+1,1))</f>
        <v>162.52375757962767</v>
      </c>
      <c r="BJ106" s="59">
        <f t="shared" si="92"/>
        <v>162.18047435246194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7.2711538461538394</v>
      </c>
      <c r="N107" s="13">
        <f>IF('Données projet'!$A$36&gt;35,N106+M107-V106,IF(A107&lt;'Données projet'!$A$36,$K$205^A107,IF(A107='Données projet'!$A$36,'Données projet'!$B$36,N106+M107-V106)))</f>
        <v>318.73205128205092</v>
      </c>
      <c r="O107" s="13">
        <f>N107*VLOOKUP('Données projet'!$B$9,Paramètres!$A$1:$I$89,3,0)*VLOOKUP('Données projet'!$B$9,Paramètres!$A$1:$I$89,5,0)</f>
        <v>288.38875999999971</v>
      </c>
      <c r="P107" s="13">
        <f t="shared" si="87"/>
        <v>68.736737801641027</v>
      </c>
      <c r="Q107" s="20">
        <f t="shared" si="107"/>
        <v>621.99357533785758</v>
      </c>
      <c r="R107" s="59">
        <f t="shared" si="55"/>
        <v>915.32690867119095</v>
      </c>
      <c r="S107" s="59">
        <f ca="1">AVERAGE(OFFSET($R$3,0,0,'Données projet'!$E$9+1,1))-AVERAGE(OFFSET($H$3,0,0,'Données projet'!$E$9+1,1))</f>
        <v>309.07357540707869</v>
      </c>
      <c r="T107" s="59">
        <f t="shared" si="88"/>
        <v>155.9593924683299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7.2711538461538394</v>
      </c>
      <c r="AI107" s="13">
        <f>IF('Données projet'!$A$62&gt;35,AI106+AH107-AQ106,IF(A107&lt;'Données projet'!$A$62,$AF$205^A107,IF(A107='Données projet'!$A$62,'Données projet'!$B$62,AI106+AH107-AQ106)))</f>
        <v>318.73205128205092</v>
      </c>
      <c r="AJ107" s="13">
        <f>AI107*VLOOKUP('Données projet'!$B$10,Paramètres!$A$1:$I$89,3,0)*VLOOKUP('Données projet'!$B$10,Paramètres!$A$1:$I$89,5,0)</f>
        <v>308.27763999999962</v>
      </c>
      <c r="AK107" s="13">
        <f t="shared" si="89"/>
        <v>72.909016299335477</v>
      </c>
      <c r="AL107" s="20">
        <f t="shared" si="58"/>
        <v>663.90009305467527</v>
      </c>
      <c r="AM107" s="59">
        <f t="shared" si="59"/>
        <v>957.23342638800864</v>
      </c>
      <c r="AN107" s="59">
        <f ca="1">AVERAGE(OFFSET($AM$3,0,0,'Données projet'!$E$10+1,1))-AVERAGE(OFFSET($H$3,0,0,'Données projet'!$E$10+1,1))</f>
        <v>340.4659523898373</v>
      </c>
      <c r="AO107" s="59">
        <f t="shared" si="90"/>
        <v>170.54530785680572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4.6992307692307689</v>
      </c>
      <c r="BD107" s="12">
        <f>IF('Données projet'!$A$88&gt;35,BD106+BC107-BL106,IF(A107&lt;'Données projet'!$A$88,$BA$205^A107,IF(A107='Données projet'!$A$88,'Données projet'!$B$88,BD106+BC107-BL106)))</f>
        <v>238.8815384615383</v>
      </c>
      <c r="BE107" s="13">
        <f>BD107*VLOOKUP('Données projet'!$B$11,Paramètres!$A$1:$I$89,3,0)*VLOOKUP('Données projet'!$B$11,Paramètres!$A$1:$I$89,5,0)</f>
        <v>114.90201999999992</v>
      </c>
      <c r="BF107" s="13">
        <f t="shared" si="91"/>
        <v>30.482991750181057</v>
      </c>
      <c r="BG107" s="20">
        <f t="shared" si="61"/>
        <v>253.21222879823188</v>
      </c>
      <c r="BH107" s="59">
        <f t="shared" si="62"/>
        <v>546.54556213156525</v>
      </c>
      <c r="BI107" s="59">
        <f ca="1">AVERAGE(OFFSET($BH$3,0,0,'Données projet'!$E$11+1,1))-AVERAGE(OFFSET($H$3,0,0,'Données projet'!$E$11+1,1))</f>
        <v>162.52375757962767</v>
      </c>
      <c r="BJ107" s="59">
        <f t="shared" si="92"/>
        <v>162.18047435246194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7.2711538461538394</v>
      </c>
      <c r="N108" s="13">
        <f>IF('Données projet'!$A$36&gt;35,N107+M108-V107,IF(A108&lt;'Données projet'!$A$36,$K$205^A108,IF(A108='Données projet'!$A$36,'Données projet'!$B$36,N107+M108-V107)))</f>
        <v>326.00320512820474</v>
      </c>
      <c r="O108" s="13">
        <f>N108*VLOOKUP('Données projet'!$B$9,Paramètres!$A$1:$I$89,3,0)*VLOOKUP('Données projet'!$B$9,Paramètres!$A$1:$I$89,5,0)</f>
        <v>294.96769999999964</v>
      </c>
      <c r="P108" s="13">
        <f t="shared" si="87"/>
        <v>70.120463691076594</v>
      </c>
      <c r="Q108" s="20">
        <f t="shared" si="107"/>
        <v>635.86188509529109</v>
      </c>
      <c r="R108" s="59">
        <f t="shared" si="55"/>
        <v>929.19521842862446</v>
      </c>
      <c r="S108" s="59">
        <f ca="1">AVERAGE(OFFSET($R$3,0,0,'Données projet'!$E$9+1,1))-AVERAGE(OFFSET($H$3,0,0,'Données projet'!$E$9+1,1))</f>
        <v>309.07357540707869</v>
      </c>
      <c r="T108" s="59">
        <f t="shared" si="88"/>
        <v>155.9593924683299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7.2711538461538394</v>
      </c>
      <c r="AI108" s="13">
        <f>IF('Données projet'!$A$62&gt;35,AI107+AH108-AQ107,IF(A108&lt;'Données projet'!$A$62,$AF$205^A108,IF(A108='Données projet'!$A$62,'Données projet'!$B$62,AI107+AH108-AQ107)))</f>
        <v>326.00320512820474</v>
      </c>
      <c r="AJ108" s="13">
        <f>AI108*VLOOKUP('Données projet'!$B$10,Paramètres!$A$1:$I$89,3,0)*VLOOKUP('Données projet'!$B$10,Paramètres!$A$1:$I$89,5,0)</f>
        <v>315.31029999999964</v>
      </c>
      <c r="AK108" s="13">
        <f t="shared" si="89"/>
        <v>74.376733515095907</v>
      </c>
      <c r="AL108" s="20">
        <f t="shared" si="58"/>
        <v>678.704916705458</v>
      </c>
      <c r="AM108" s="59">
        <f t="shared" si="59"/>
        <v>972.03825003879138</v>
      </c>
      <c r="AN108" s="59">
        <f ca="1">AVERAGE(OFFSET($AM$3,0,0,'Données projet'!$E$10+1,1))-AVERAGE(OFFSET($H$3,0,0,'Données projet'!$E$10+1,1))</f>
        <v>340.4659523898373</v>
      </c>
      <c r="AO108" s="59">
        <f t="shared" si="90"/>
        <v>170.54530785680572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4.6992307692307689</v>
      </c>
      <c r="BD108" s="12">
        <f>IF('Données projet'!$A$88&gt;35,BD107+BC108-BL107,IF(A108&lt;'Données projet'!$A$88,$BA$205^A108,IF(A108='Données projet'!$A$88,'Données projet'!$B$88,BD107+BC108-BL107)))</f>
        <v>243.58076923076908</v>
      </c>
      <c r="BE108" s="13">
        <f>BD108*VLOOKUP('Données projet'!$B$11,Paramètres!$A$1:$I$89,3,0)*VLOOKUP('Données projet'!$B$11,Paramètres!$A$1:$I$89,5,0)</f>
        <v>117.16234999999993</v>
      </c>
      <c r="BF108" s="13">
        <f t="shared" si="91"/>
        <v>31.012245056346515</v>
      </c>
      <c r="BG108" s="20">
        <f t="shared" si="61"/>
        <v>258.0707530564701</v>
      </c>
      <c r="BH108" s="59">
        <f t="shared" si="62"/>
        <v>551.40408638980341</v>
      </c>
      <c r="BI108" s="59">
        <f ca="1">AVERAGE(OFFSET($BH$3,0,0,'Données projet'!$E$11+1,1))-AVERAGE(OFFSET($H$3,0,0,'Données projet'!$E$11+1,1))</f>
        <v>162.52375757962767</v>
      </c>
      <c r="BJ108" s="59">
        <f t="shared" si="92"/>
        <v>162.18047435246194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7.2711538461538394</v>
      </c>
      <c r="N109" s="13">
        <f>IF('Données projet'!$A$36&gt;35,N108+M109-V108,IF(A109&lt;'Données projet'!$A$36,$K$205^A109,IF(A109='Données projet'!$A$36,'Données projet'!$B$36,N108+M109-V108)))</f>
        <v>333.27435897435856</v>
      </c>
      <c r="O109" s="13">
        <f>N109*VLOOKUP('Données projet'!$B$9,Paramètres!$A$1:$I$89,3,0)*VLOOKUP('Données projet'!$B$9,Paramètres!$A$1:$I$89,5,0)</f>
        <v>301.54663999999963</v>
      </c>
      <c r="P109" s="13">
        <f t="shared" si="87"/>
        <v>71.500601526763546</v>
      </c>
      <c r="Q109" s="20">
        <f t="shared" si="107"/>
        <v>649.72394565911247</v>
      </c>
      <c r="R109" s="59">
        <f t="shared" si="55"/>
        <v>943.05727899244584</v>
      </c>
      <c r="S109" s="59">
        <f ca="1">AVERAGE(OFFSET($R$3,0,0,'Données projet'!$E$9+1,1))-AVERAGE(OFFSET($H$3,0,0,'Données projet'!$E$9+1,1))</f>
        <v>309.07357540707869</v>
      </c>
      <c r="T109" s="59">
        <f t="shared" si="88"/>
        <v>155.9593924683299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7.2711538461538394</v>
      </c>
      <c r="AI109" s="13">
        <f>IF('Données projet'!$A$62&gt;35,AI108+AH109-AQ108,IF(A109&lt;'Données projet'!$A$62,$AF$205^A109,IF(A109='Données projet'!$A$62,'Données projet'!$B$62,AI108+AH109-AQ108)))</f>
        <v>333.27435897435856</v>
      </c>
      <c r="AJ109" s="13">
        <f>AI109*VLOOKUP('Données projet'!$B$10,Paramètres!$A$1:$I$89,3,0)*VLOOKUP('Données projet'!$B$10,Paramètres!$A$1:$I$89,5,0)</f>
        <v>322.34295999999961</v>
      </c>
      <c r="AK109" s="13">
        <f t="shared" si="89"/>
        <v>75.840644884410537</v>
      </c>
      <c r="AL109" s="20">
        <f t="shared" si="58"/>
        <v>693.50311184034763</v>
      </c>
      <c r="AM109" s="59">
        <f t="shared" si="59"/>
        <v>986.83644517368089</v>
      </c>
      <c r="AN109" s="59">
        <f ca="1">AVERAGE(OFFSET($AM$3,0,0,'Données projet'!$E$10+1,1))-AVERAGE(OFFSET($H$3,0,0,'Données projet'!$E$10+1,1))</f>
        <v>340.4659523898373</v>
      </c>
      <c r="AO109" s="59">
        <f t="shared" si="90"/>
        <v>170.54530785680572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4.6992307692307689</v>
      </c>
      <c r="BD109" s="12">
        <f>IF('Données projet'!$A$88&gt;35,BD108+BC109-BL108,IF(A109&lt;'Données projet'!$A$88,$BA$205^A109,IF(A109='Données projet'!$A$88,'Données projet'!$B$88,BD108+BC109-BL108)))</f>
        <v>248.27999999999986</v>
      </c>
      <c r="BE109" s="13">
        <f>BD109*VLOOKUP('Données projet'!$B$11,Paramètres!$A$1:$I$89,3,0)*VLOOKUP('Données projet'!$B$11,Paramètres!$A$1:$I$89,5,0)</f>
        <v>119.42267999999994</v>
      </c>
      <c r="BF109" s="13">
        <f t="shared" si="91"/>
        <v>31.540311114980447</v>
      </c>
      <c r="BG109" s="20">
        <f t="shared" si="61"/>
        <v>262.92720952525747</v>
      </c>
      <c r="BH109" s="59">
        <f t="shared" si="62"/>
        <v>556.26054285859072</v>
      </c>
      <c r="BI109" s="59">
        <f ca="1">AVERAGE(OFFSET($BH$3,0,0,'Données projet'!$E$11+1,1))-AVERAGE(OFFSET($H$3,0,0,'Données projet'!$E$11+1,1))</f>
        <v>162.52375757962767</v>
      </c>
      <c r="BJ109" s="59">
        <f t="shared" si="92"/>
        <v>162.18047435246194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7.2711538461538394</v>
      </c>
      <c r="N110" s="13">
        <f>IF('Données projet'!$A$36&gt;35,N109+M110-V109,IF(A110&lt;'Données projet'!$A$36,$K$205^A110,IF(A110='Données projet'!$A$36,'Données projet'!$B$36,N109+M110-V109)))</f>
        <v>340.54551282051239</v>
      </c>
      <c r="O110" s="13">
        <f>N110*VLOOKUP('Données projet'!$B$9,Paramètres!$A$1:$I$89,3,0)*VLOOKUP('Données projet'!$B$9,Paramètres!$A$1:$I$89,5,0)</f>
        <v>308.12557999999962</v>
      </c>
      <c r="P110" s="13">
        <f t="shared" si="87"/>
        <v>72.877238605529826</v>
      </c>
      <c r="Q110" s="20">
        <f t="shared" si="107"/>
        <v>663.57990907129715</v>
      </c>
      <c r="R110" s="59">
        <f t="shared" si="55"/>
        <v>956.91324240463041</v>
      </c>
      <c r="S110" s="59">
        <f ca="1">AVERAGE(OFFSET($R$3,0,0,'Données projet'!$E$9+1,1))-AVERAGE(OFFSET($H$3,0,0,'Données projet'!$E$9+1,1))</f>
        <v>309.07357540707869</v>
      </c>
      <c r="T110" s="59">
        <f t="shared" si="88"/>
        <v>155.9593924683299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7.2711538461538394</v>
      </c>
      <c r="AI110" s="13">
        <f>IF('Données projet'!$A$62&gt;35,AI109+AH110-AQ109,IF(A110&lt;'Données projet'!$A$62,$AF$205^A110,IF(A110='Données projet'!$A$62,'Données projet'!$B$62,AI109+AH110-AQ109)))</f>
        <v>340.54551282051239</v>
      </c>
      <c r="AJ110" s="13">
        <f>AI110*VLOOKUP('Données projet'!$B$10,Paramètres!$A$1:$I$89,3,0)*VLOOKUP('Données projet'!$B$10,Paramètres!$A$1:$I$89,5,0)</f>
        <v>329.37561999999957</v>
      </c>
      <c r="AK110" s="13">
        <f t="shared" si="89"/>
        <v>77.300843002972584</v>
      </c>
      <c r="AL110" s="20">
        <f t="shared" si="58"/>
        <v>708.29483973017648</v>
      </c>
      <c r="AM110" s="59">
        <f t="shared" si="59"/>
        <v>1001.6281730635098</v>
      </c>
      <c r="AN110" s="59">
        <f ca="1">AVERAGE(OFFSET($AM$3,0,0,'Données projet'!$E$10+1,1))-AVERAGE(OFFSET($H$3,0,0,'Données projet'!$E$10+1,1))</f>
        <v>340.4659523898373</v>
      </c>
      <c r="AO110" s="59">
        <f t="shared" si="90"/>
        <v>170.54530785680572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4.6992307692307689</v>
      </c>
      <c r="BD110" s="12">
        <f>IF('Données projet'!$A$88&gt;35,BD109+BC110-BL109,IF(A110&lt;'Données projet'!$A$88,$BA$205^A110,IF(A110='Données projet'!$A$88,'Données projet'!$B$88,BD109+BC110-BL109)))</f>
        <v>252.97923076923064</v>
      </c>
      <c r="BE110" s="13">
        <f>BD110*VLOOKUP('Données projet'!$B$11,Paramètres!$A$1:$I$89,3,0)*VLOOKUP('Données projet'!$B$11,Paramètres!$A$1:$I$89,5,0)</f>
        <v>121.68300999999994</v>
      </c>
      <c r="BF110" s="13">
        <f t="shared" si="91"/>
        <v>32.067214988337305</v>
      </c>
      <c r="BG110" s="20">
        <f t="shared" si="61"/>
        <v>267.78164185468734</v>
      </c>
      <c r="BH110" s="59">
        <f t="shared" si="62"/>
        <v>561.11497518802071</v>
      </c>
      <c r="BI110" s="59">
        <f ca="1">AVERAGE(OFFSET($BH$3,0,0,'Données projet'!$E$11+1,1))-AVERAGE(OFFSET($H$3,0,0,'Données projet'!$E$11+1,1))</f>
        <v>162.52375757962767</v>
      </c>
      <c r="BJ110" s="59">
        <f t="shared" si="92"/>
        <v>162.18047435246194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7.2711538461538394</v>
      </c>
      <c r="N111" s="13">
        <f>IF('Données projet'!$A$36&gt;35,N110+M111-V110,IF(A111&lt;'Données projet'!$A$36,$K$205^A111,IF(A111='Données projet'!$A$36,'Données projet'!$B$36,N110+M111-V110)))</f>
        <v>347.81666666666621</v>
      </c>
      <c r="O111" s="13">
        <f>N111*VLOOKUP('Données projet'!$B$9,Paramètres!$A$1:$I$89,3,0)*VLOOKUP('Données projet'!$B$9,Paramètres!$A$1:$I$89,5,0)</f>
        <v>314.70451999999955</v>
      </c>
      <c r="P111" s="13">
        <f t="shared" si="87"/>
        <v>74.250458283407895</v>
      </c>
      <c r="Q111" s="20">
        <f t="shared" si="107"/>
        <v>677.42992051026795</v>
      </c>
      <c r="R111" s="59">
        <f t="shared" si="55"/>
        <v>970.76325384360121</v>
      </c>
      <c r="S111" s="59">
        <f ca="1">AVERAGE(OFFSET($R$3,0,0,'Données projet'!$E$9+1,1))-AVERAGE(OFFSET($H$3,0,0,'Données projet'!$E$9+1,1))</f>
        <v>309.07357540707869</v>
      </c>
      <c r="T111" s="59">
        <f t="shared" si="88"/>
        <v>155.9593924683299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7.2711538461538394</v>
      </c>
      <c r="AI111" s="13">
        <f>IF('Données projet'!$A$62&gt;35,AI110+AH111-AQ110,IF(A111&lt;'Données projet'!$A$62,$AF$205^A111,IF(A111='Données projet'!$A$62,'Données projet'!$B$62,AI110+AH111-AQ110)))</f>
        <v>347.81666666666621</v>
      </c>
      <c r="AJ111" s="13">
        <f>AI111*VLOOKUP('Données projet'!$B$10,Paramètres!$A$1:$I$89,3,0)*VLOOKUP('Données projet'!$B$10,Paramètres!$A$1:$I$89,5,0)</f>
        <v>336.40827999999959</v>
      </c>
      <c r="AK111" s="13">
        <f t="shared" si="89"/>
        <v>78.757416286474935</v>
      </c>
      <c r="AL111" s="20">
        <f t="shared" si="58"/>
        <v>723.08025436560968</v>
      </c>
      <c r="AM111" s="59">
        <f t="shared" si="59"/>
        <v>1016.413587698943</v>
      </c>
      <c r="AN111" s="59">
        <f ca="1">AVERAGE(OFFSET($AM$3,0,0,'Données projet'!$E$10+1,1))-AVERAGE(OFFSET($H$3,0,0,'Données projet'!$E$10+1,1))</f>
        <v>340.4659523898373</v>
      </c>
      <c r="AO111" s="59">
        <f t="shared" si="90"/>
        <v>170.54530785680572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4.6992307692307689</v>
      </c>
      <c r="BD111" s="12">
        <f>IF('Données projet'!$A$88&gt;35,BD110+BC111-BL110,IF(A111&lt;'Données projet'!$A$88,$BA$205^A111,IF(A111='Données projet'!$A$88,'Données projet'!$B$88,BD110+BC111-BL110)))</f>
        <v>257.67846153846142</v>
      </c>
      <c r="BE111" s="13">
        <f>BD111*VLOOKUP('Données projet'!$B$11,Paramètres!$A$1:$I$89,3,0)*VLOOKUP('Données projet'!$B$11,Paramètres!$A$1:$I$89,5,0)</f>
        <v>123.94333999999995</v>
      </c>
      <c r="BF111" s="13">
        <f t="shared" si="91"/>
        <v>32.592980754286209</v>
      </c>
      <c r="BG111" s="20">
        <f t="shared" si="61"/>
        <v>272.6340919803817</v>
      </c>
      <c r="BH111" s="59">
        <f t="shared" si="62"/>
        <v>565.96742531371501</v>
      </c>
      <c r="BI111" s="59">
        <f ca="1">AVERAGE(OFFSET($BH$3,0,0,'Données projet'!$E$11+1,1))-AVERAGE(OFFSET($H$3,0,0,'Données projet'!$E$11+1,1))</f>
        <v>162.52375757962767</v>
      </c>
      <c r="BJ111" s="59">
        <f t="shared" si="92"/>
        <v>162.18047435246194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7.2711538461538394</v>
      </c>
      <c r="N112" s="13">
        <f>IF('Données projet'!$A$36&gt;35,N111+M112-V111,IF(A112&lt;'Données projet'!$A$36,$K$205^A112,IF(A112='Données projet'!$A$36,'Données projet'!$B$36,N111+M112-V111)))</f>
        <v>355.08782051282003</v>
      </c>
      <c r="O112" s="13">
        <f>N112*VLOOKUP('Données projet'!$B$9,Paramètres!$A$1:$I$89,3,0)*VLOOKUP('Données projet'!$B$9,Paramètres!$A$1:$I$89,5,0)</f>
        <v>321.28345999999959</v>
      </c>
      <c r="P112" s="13">
        <f t="shared" si="87"/>
        <v>75.620340232134694</v>
      </c>
      <c r="Q112" s="20">
        <f t="shared" si="107"/>
        <v>691.27411873763378</v>
      </c>
      <c r="R112" s="59">
        <f t="shared" si="55"/>
        <v>984.60745207096716</v>
      </c>
      <c r="S112" s="59">
        <f ca="1">AVERAGE(OFFSET($R$3,0,0,'Données projet'!$E$9+1,1))-AVERAGE(OFFSET($H$3,0,0,'Données projet'!$E$9+1,1))</f>
        <v>309.07357540707869</v>
      </c>
      <c r="T112" s="59">
        <f t="shared" si="88"/>
        <v>155.9593924683299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7.2711538461538394</v>
      </c>
      <c r="AI112" s="13">
        <f>IF('Données projet'!$A$62&gt;35,AI111+AH112-AQ111,IF(A112&lt;'Données projet'!$A$62,$AF$205^A112,IF(A112='Données projet'!$A$62,'Données projet'!$B$62,AI111+AH112-AQ111)))</f>
        <v>355.08782051282003</v>
      </c>
      <c r="AJ112" s="13">
        <f>AI112*VLOOKUP('Données projet'!$B$10,Paramètres!$A$1:$I$89,3,0)*VLOOKUP('Données projet'!$B$10,Paramètres!$A$1:$I$89,5,0)</f>
        <v>343.44093999999956</v>
      </c>
      <c r="AK112" s="13">
        <f t="shared" si="89"/>
        <v>80.210449242681108</v>
      </c>
      <c r="AL112" s="20">
        <f t="shared" si="58"/>
        <v>737.85950293100223</v>
      </c>
      <c r="AM112" s="59">
        <f t="shared" si="59"/>
        <v>1031.1928362643355</v>
      </c>
      <c r="AN112" s="59">
        <f ca="1">AVERAGE(OFFSET($AM$3,0,0,'Données projet'!$E$10+1,1))-AVERAGE(OFFSET($H$3,0,0,'Données projet'!$E$10+1,1))</f>
        <v>340.4659523898373</v>
      </c>
      <c r="AO112" s="59">
        <f t="shared" si="90"/>
        <v>170.54530785680572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4.6992307692307689</v>
      </c>
      <c r="BD112" s="12">
        <f>IF('Données projet'!$A$88&gt;35,BD111+BC112-BL111,IF(A112&lt;'Données projet'!$A$88,$BA$205^A112,IF(A112='Données projet'!$A$88,'Données projet'!$B$88,BD111+BC112-BL111)))</f>
        <v>262.3776923076922</v>
      </c>
      <c r="BE112" s="13">
        <f>BD112*VLOOKUP('Données projet'!$B$11,Paramètres!$A$1:$I$89,3,0)*VLOOKUP('Données projet'!$B$11,Paramètres!$A$1:$I$89,5,0)</f>
        <v>126.20366999999996</v>
      </c>
      <c r="BF112" s="13">
        <f t="shared" si="91"/>
        <v>33.117631562209596</v>
      </c>
      <c r="BG112" s="20">
        <f t="shared" si="61"/>
        <v>277.48460022084828</v>
      </c>
      <c r="BH112" s="59">
        <f t="shared" si="62"/>
        <v>570.81793355418154</v>
      </c>
      <c r="BI112" s="59">
        <f ca="1">AVERAGE(OFFSET($BH$3,0,0,'Données projet'!$E$11+1,1))-AVERAGE(OFFSET($H$3,0,0,'Données projet'!$E$11+1,1))</f>
        <v>162.52375757962767</v>
      </c>
      <c r="BJ112" s="59">
        <f t="shared" si="92"/>
        <v>162.18047435246194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362.35897435897431</v>
      </c>
      <c r="L113" s="12">
        <f>VLOOKUP(A113,'Données projet'!$A$35:$I$55,9,0)</f>
        <v>7.2711538461538394</v>
      </c>
      <c r="M113" s="12">
        <f t="array" ref="M113">INDEX(L:L,MIN(IF(ISNUMBER(L113:L309),ROW(L113:L309),"")))</f>
        <v>7.2711538461538394</v>
      </c>
      <c r="N113" s="13">
        <f>IF('Données projet'!$A$36&gt;35,N112+M113-V112,IF(A113&lt;'Données projet'!$A$36,$K$205^A113,IF(A113='Données projet'!$A$36,'Données projet'!$B$36,N112+M113-V112)))</f>
        <v>362.35897435897385</v>
      </c>
      <c r="O113" s="13">
        <f>N113*VLOOKUP('Données projet'!$B$9,Paramètres!$A$1:$I$89,3,0)*VLOOKUP('Données projet'!$B$9,Paramètres!$A$1:$I$89,5,0)</f>
        <v>327.86239999999952</v>
      </c>
      <c r="P113" s="13">
        <f t="shared" si="87"/>
        <v>76.98696067405001</v>
      </c>
      <c r="Q113" s="20">
        <f t="shared" si="107"/>
        <v>705.11263650730291</v>
      </c>
      <c r="R113" s="59">
        <f t="shared" si="55"/>
        <v>998.44596984063628</v>
      </c>
      <c r="S113" s="59">
        <f ca="1">AVERAGE(OFFSET($R$3,0,0,'Données projet'!$E$9+1,1))-AVERAGE(OFFSET($H$3,0,0,'Données projet'!$E$9+1,1))</f>
        <v>309.07357540707869</v>
      </c>
      <c r="T113" s="59">
        <f t="shared" si="88"/>
        <v>155.9593924683299</v>
      </c>
      <c r="U113" s="15">
        <f>IF(ISNA(VLOOKUP(A113,'Données projet'!$A$35:$I$55,3,0)),0,VLOOKUP(A113,'Données projet'!$A$35:$I$55,3,0))</f>
        <v>10</v>
      </c>
      <c r="V113" s="15">
        <f>IF(ISNA(VLOOKUP(A113,'Données projet'!$A$35:$I$55,4,0)),0,VLOOKUP(A113,'Données projet'!$A$35:$I$55,4,0))</f>
        <v>50.051282051282051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362.35897435897431</v>
      </c>
      <c r="AG113" s="12">
        <f>VLOOKUP(A113,'Données projet'!$A$61:$I$81,9,0)</f>
        <v>7.2711538461538394</v>
      </c>
      <c r="AH113" s="12">
        <f t="array" ref="AH113">INDEX(AG:AG,MIN(IF(ISNUMBER(AG113:AG309),ROW(AG113:AG309),"")))</f>
        <v>7.2711538461538394</v>
      </c>
      <c r="AI113" s="13">
        <f>IF('Données projet'!$A$62&gt;35,AI112+AH113-AQ112,IF(A113&lt;'Données projet'!$A$62,$AF$205^A113,IF(A113='Données projet'!$A$62,'Données projet'!$B$62,AI112+AH113-AQ112)))</f>
        <v>362.35897435897385</v>
      </c>
      <c r="AJ113" s="13">
        <f>AI113*VLOOKUP('Données projet'!$B$10,Paramètres!$A$1:$I$89,3,0)*VLOOKUP('Données projet'!$B$10,Paramètres!$A$1:$I$89,5,0)</f>
        <v>350.47359999999952</v>
      </c>
      <c r="AK113" s="13">
        <f t="shared" si="89"/>
        <v>81.660022720580884</v>
      </c>
      <c r="AL113" s="20">
        <f t="shared" si="58"/>
        <v>752.63272623834416</v>
      </c>
      <c r="AM113" s="59">
        <f t="shared" si="59"/>
        <v>1045.9660595716775</v>
      </c>
      <c r="AN113" s="59">
        <f ca="1">AVERAGE(OFFSET($AM$3,0,0,'Données projet'!$E$10+1,1))-AVERAGE(OFFSET($H$3,0,0,'Données projet'!$E$10+1,1))</f>
        <v>340.4659523898373</v>
      </c>
      <c r="AO113" s="59">
        <f t="shared" si="90"/>
        <v>170.54530785680572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50.051282051282051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267.07692307692304</v>
      </c>
      <c r="BB113" s="12">
        <f>VLOOKUP(A113,'Données projet'!$A$87:$I$107,9,0)</f>
        <v>4.6992307692307689</v>
      </c>
      <c r="BC113" s="12">
        <f t="array" ref="BC113">INDEX(BB:BB,MIN(IF(ISNUMBER(BB113:BB309),ROW(BB113:BB309),"")))</f>
        <v>4.6992307692307689</v>
      </c>
      <c r="BD113" s="12">
        <f>IF('Données projet'!$A$88&gt;35,BD112+BC113-BL112,IF(A113&lt;'Données projet'!$A$88,$BA$205^A113,IF(A113='Données projet'!$A$88,'Données projet'!$B$88,BD112+BC113-BL112)))</f>
        <v>267.07692307692298</v>
      </c>
      <c r="BE113" s="13">
        <f>BD113*VLOOKUP('Données projet'!$B$11,Paramètres!$A$1:$I$89,3,0)*VLOOKUP('Données projet'!$B$11,Paramètres!$A$1:$I$89,5,0)</f>
        <v>128.46399999999997</v>
      </c>
      <c r="BF113" s="13">
        <f t="shared" si="91"/>
        <v>33.641189684783924</v>
      </c>
      <c r="BG113" s="20">
        <f t="shared" si="61"/>
        <v>282.33320536766524</v>
      </c>
      <c r="BH113" s="59">
        <f t="shared" si="62"/>
        <v>575.66653870099856</v>
      </c>
      <c r="BI113" s="59">
        <f ca="1">AVERAGE(OFFSET($BH$3,0,0,'Données projet'!$E$11+1,1))-AVERAGE(OFFSET($H$3,0,0,'Données projet'!$E$11+1,1))</f>
        <v>162.52375757962767</v>
      </c>
      <c r="BJ113" s="59">
        <f t="shared" si="92"/>
        <v>162.18047435246194</v>
      </c>
      <c r="BK113" s="15">
        <f>IF(ISNA(VLOOKUP(A113,'Données projet'!$A$87:$I$107,3,0)),0,VLOOKUP(A113,'Données projet'!$A$87:$I$107,3,0))</f>
        <v>7</v>
      </c>
      <c r="BL113" s="15">
        <f>IF(ISNA(VLOOKUP(A113,'Données projet'!$A$87:$I$107,4,0)),0,VLOOKUP(A113,'Données projet'!$A$87:$I$107,4,0))</f>
        <v>129.43076923076922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7.1749999999999998</v>
      </c>
      <c r="N114" s="13">
        <f>IF('Données projet'!$A$36&gt;35,N113+M114-V113,IF(A114&lt;'Données projet'!$A$36,$K$205^A114,IF(A114='Données projet'!$A$36,'Données projet'!$B$36,N113+M114-V113)))</f>
        <v>319.48269230769182</v>
      </c>
      <c r="O114" s="13">
        <f>N114*VLOOKUP('Données projet'!$B$9,Paramètres!$A$1:$I$89,3,0)*VLOOKUP('Données projet'!$B$9,Paramètres!$A$1:$I$89,5,0)</f>
        <v>289.06793999999957</v>
      </c>
      <c r="P114" s="13">
        <f t="shared" si="87"/>
        <v>68.879756132176865</v>
      </c>
      <c r="Q114" s="20">
        <f t="shared" si="107"/>
        <v>623.42557076354058</v>
      </c>
      <c r="R114" s="59">
        <f t="shared" si="55"/>
        <v>916.75890409687395</v>
      </c>
      <c r="S114" s="59">
        <f ca="1">AVERAGE(OFFSET($R$3,0,0,'Données projet'!$E$9+1,1))-AVERAGE(OFFSET($H$3,0,0,'Données projet'!$E$9+1,1))</f>
        <v>309.07357540707869</v>
      </c>
      <c r="T114" s="59">
        <f t="shared" si="88"/>
        <v>155.9593924683299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7.1749999999999998</v>
      </c>
      <c r="AI114" s="13">
        <f>IF('Données projet'!$A$62&gt;35,AI113+AH114-AQ113,IF(A114&lt;'Données projet'!$A$62,$AF$205^A114,IF(A114='Données projet'!$A$62,'Données projet'!$B$62,AI113+AH114-AQ113)))</f>
        <v>319.48269230769182</v>
      </c>
      <c r="AJ114" s="13">
        <f>AI114*VLOOKUP('Données projet'!$B$10,Paramètres!$A$1:$I$89,3,0)*VLOOKUP('Données projet'!$B$10,Paramètres!$A$1:$I$89,5,0)</f>
        <v>309.00365999999951</v>
      </c>
      <c r="AK114" s="13">
        <f t="shared" si="89"/>
        <v>73.06071575621452</v>
      </c>
      <c r="AL114" s="20">
        <f t="shared" si="58"/>
        <v>665.42878777540602</v>
      </c>
      <c r="AM114" s="59">
        <f t="shared" si="59"/>
        <v>958.76212110873939</v>
      </c>
      <c r="AN114" s="59">
        <f ca="1">AVERAGE(OFFSET($AM$3,0,0,'Données projet'!$E$10+1,1))-AVERAGE(OFFSET($H$3,0,0,'Données projet'!$E$10+1,1))</f>
        <v>340.4659523898373</v>
      </c>
      <c r="AO114" s="59">
        <f t="shared" si="90"/>
        <v>170.54530785680572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3.098461538461541</v>
      </c>
      <c r="BD114" s="12">
        <f>IF('Données projet'!$A$88&gt;35,BD113+BC114-BL113,IF(A114&lt;'Données projet'!$A$88,$BA$205^A114,IF(A114='Données projet'!$A$88,'Données projet'!$B$88,BD113+BC114-BL113)))</f>
        <v>140.74461538461532</v>
      </c>
      <c r="BE114" s="13">
        <f>BD114*VLOOKUP('Données projet'!$B$11,Paramètres!$A$1:$I$89,3,0)*VLOOKUP('Données projet'!$B$11,Paramètres!$A$1:$I$89,5,0)</f>
        <v>67.698159999999973</v>
      </c>
      <c r="BF114" s="13">
        <f t="shared" si="91"/>
        <v>19.100721956805138</v>
      </c>
      <c r="BG114" s="20">
        <f t="shared" si="61"/>
        <v>151.17471940810222</v>
      </c>
      <c r="BH114" s="59">
        <f t="shared" si="62"/>
        <v>444.50805274143556</v>
      </c>
      <c r="BI114" s="59">
        <f ca="1">AVERAGE(OFFSET($BH$3,0,0,'Données projet'!$E$11+1,1))-AVERAGE(OFFSET($H$3,0,0,'Données projet'!$E$11+1,1))</f>
        <v>162.52375757962767</v>
      </c>
      <c r="BJ114" s="59">
        <f t="shared" si="92"/>
        <v>162.18047435246194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7.1749999999999998</v>
      </c>
      <c r="N115" s="13">
        <f>IF('Données projet'!$A$36&gt;35,N114+M115-V114,IF(A115&lt;'Données projet'!$A$36,$K$205^A115,IF(A115='Données projet'!$A$36,'Données projet'!$B$36,N114+M115-V114)))</f>
        <v>326.65769230769183</v>
      </c>
      <c r="O115" s="13">
        <f>N115*VLOOKUP('Données projet'!$B$9,Paramètres!$A$1:$I$89,3,0)*VLOOKUP('Données projet'!$B$9,Paramètres!$A$1:$I$89,5,0)</f>
        <v>295.55987999999957</v>
      </c>
      <c r="P115" s="13">
        <f t="shared" si="87"/>
        <v>70.244837533317892</v>
      </c>
      <c r="Q115" s="20">
        <f t="shared" si="107"/>
        <v>637.10988303719455</v>
      </c>
      <c r="R115" s="59">
        <f t="shared" si="55"/>
        <v>930.44321637052781</v>
      </c>
      <c r="S115" s="59">
        <f ca="1">AVERAGE(OFFSET($R$3,0,0,'Données projet'!$E$9+1,1))-AVERAGE(OFFSET($H$3,0,0,'Données projet'!$E$9+1,1))</f>
        <v>309.07357540707869</v>
      </c>
      <c r="T115" s="59">
        <f t="shared" si="88"/>
        <v>155.9593924683299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7.1749999999999998</v>
      </c>
      <c r="AI115" s="13">
        <f>IF('Données projet'!$A$62&gt;35,AI114+AH115-AQ114,IF(A115&lt;'Données projet'!$A$62,$AF$205^A115,IF(A115='Données projet'!$A$62,'Données projet'!$B$62,AI114+AH115-AQ114)))</f>
        <v>326.65769230769183</v>
      </c>
      <c r="AJ115" s="13">
        <f>AI115*VLOOKUP('Données projet'!$B$10,Paramètres!$A$1:$I$89,3,0)*VLOOKUP('Données projet'!$B$10,Paramètres!$A$1:$I$89,5,0)</f>
        <v>315.94331999999957</v>
      </c>
      <c r="AK115" s="13">
        <f t="shared" si="89"/>
        <v>74.5086567744939</v>
      </c>
      <c r="AL115" s="20">
        <f t="shared" si="58"/>
        <v>680.03719288224272</v>
      </c>
      <c r="AM115" s="59">
        <f t="shared" si="59"/>
        <v>973.37052621557609</v>
      </c>
      <c r="AN115" s="59">
        <f ca="1">AVERAGE(OFFSET($AM$3,0,0,'Données projet'!$E$10+1,1))-AVERAGE(OFFSET($H$3,0,0,'Données projet'!$E$10+1,1))</f>
        <v>340.4659523898373</v>
      </c>
      <c r="AO115" s="59">
        <f t="shared" si="90"/>
        <v>170.54530785680572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3.098461538461541</v>
      </c>
      <c r="BD115" s="12">
        <f>IF('Données projet'!$A$88&gt;35,BD114+BC115-BL114,IF(A115&lt;'Données projet'!$A$88,$BA$205^A115,IF(A115='Données projet'!$A$88,'Données projet'!$B$88,BD114+BC115-BL114)))</f>
        <v>143.84307692307686</v>
      </c>
      <c r="BE115" s="13">
        <f>BD115*VLOOKUP('Données projet'!$B$11,Paramètres!$A$1:$I$89,3,0)*VLOOKUP('Données projet'!$B$11,Paramètres!$A$1:$I$89,5,0)</f>
        <v>69.188519999999983</v>
      </c>
      <c r="BF115" s="13">
        <f t="shared" si="91"/>
        <v>19.471801934627187</v>
      </c>
      <c r="BG115" s="20">
        <f t="shared" si="61"/>
        <v>154.41672736947567</v>
      </c>
      <c r="BH115" s="59">
        <f t="shared" si="62"/>
        <v>447.75006070280898</v>
      </c>
      <c r="BI115" s="59">
        <f ca="1">AVERAGE(OFFSET($BH$3,0,0,'Données projet'!$E$11+1,1))-AVERAGE(OFFSET($H$3,0,0,'Données projet'!$E$11+1,1))</f>
        <v>162.52375757962767</v>
      </c>
      <c r="BJ115" s="59">
        <f t="shared" si="92"/>
        <v>162.18047435246194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7.1749999999999998</v>
      </c>
      <c r="N116" s="13">
        <f>IF('Données projet'!$A$36&gt;35,N115+M116-V115,IF(A116&lt;'Données projet'!$A$36,$K$205^A116,IF(A116='Données projet'!$A$36,'Données projet'!$B$36,N115+M116-V115)))</f>
        <v>333.83269230769184</v>
      </c>
      <c r="O116" s="13">
        <f>N116*VLOOKUP('Données projet'!$B$9,Paramètres!$A$1:$I$89,3,0)*VLOOKUP('Données projet'!$B$9,Paramètres!$A$1:$I$89,5,0)</f>
        <v>302.05181999999957</v>
      </c>
      <c r="P116" s="13">
        <f t="shared" si="87"/>
        <v>71.606432974509374</v>
      </c>
      <c r="Q116" s="20">
        <f t="shared" si="107"/>
        <v>650.78812393060309</v>
      </c>
      <c r="R116" s="59">
        <f t="shared" si="55"/>
        <v>944.12145726393646</v>
      </c>
      <c r="S116" s="59">
        <f ca="1">AVERAGE(OFFSET($R$3,0,0,'Données projet'!$E$9+1,1))-AVERAGE(OFFSET($H$3,0,0,'Données projet'!$E$9+1,1))</f>
        <v>309.07357540707869</v>
      </c>
      <c r="T116" s="59">
        <f t="shared" si="88"/>
        <v>155.9593924683299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7.1749999999999998</v>
      </c>
      <c r="AI116" s="13">
        <f>IF('Données projet'!$A$62&gt;35,AI115+AH116-AQ115,IF(A116&lt;'Données projet'!$A$62,$AF$205^A116,IF(A116='Données projet'!$A$62,'Données projet'!$B$62,AI115+AH116-AQ115)))</f>
        <v>333.83269230769184</v>
      </c>
      <c r="AJ116" s="13">
        <f>AI116*VLOOKUP('Données projet'!$B$10,Paramètres!$A$1:$I$89,3,0)*VLOOKUP('Données projet'!$B$10,Paramètres!$A$1:$I$89,5,0)</f>
        <v>322.88297999999958</v>
      </c>
      <c r="AK116" s="13">
        <f t="shared" si="89"/>
        <v>75.952900237158715</v>
      </c>
      <c r="AL116" s="20">
        <f t="shared" si="58"/>
        <v>694.63915807971728</v>
      </c>
      <c r="AM116" s="59">
        <f t="shared" si="59"/>
        <v>987.97249141305065</v>
      </c>
      <c r="AN116" s="59">
        <f ca="1">AVERAGE(OFFSET($AM$3,0,0,'Données projet'!$E$10+1,1))-AVERAGE(OFFSET($H$3,0,0,'Données projet'!$E$10+1,1))</f>
        <v>340.4659523898373</v>
      </c>
      <c r="AO116" s="59">
        <f t="shared" si="90"/>
        <v>170.54530785680572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3.098461538461541</v>
      </c>
      <c r="BD116" s="12">
        <f>IF('Données projet'!$A$88&gt;35,BD115+BC116-BL115,IF(A116&lt;'Données projet'!$A$88,$BA$205^A116,IF(A116='Données projet'!$A$88,'Données projet'!$B$88,BD115+BC116-BL115)))</f>
        <v>146.94153846153841</v>
      </c>
      <c r="BE116" s="13">
        <f>BD116*VLOOKUP('Données projet'!$B$11,Paramètres!$A$1:$I$89,3,0)*VLOOKUP('Données projet'!$B$11,Paramètres!$A$1:$I$89,5,0)</f>
        <v>70.678879999999978</v>
      </c>
      <c r="BF116" s="13">
        <f t="shared" si="91"/>
        <v>19.841952584916761</v>
      </c>
      <c r="BG116" s="20">
        <f t="shared" si="61"/>
        <v>157.65711675206333</v>
      </c>
      <c r="BH116" s="59">
        <f t="shared" si="62"/>
        <v>450.99045008539667</v>
      </c>
      <c r="BI116" s="59">
        <f ca="1">AVERAGE(OFFSET($BH$3,0,0,'Données projet'!$E$11+1,1))-AVERAGE(OFFSET($H$3,0,0,'Données projet'!$E$11+1,1))</f>
        <v>162.52375757962767</v>
      </c>
      <c r="BJ116" s="59">
        <f t="shared" si="92"/>
        <v>162.18047435246194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7.1749999999999998</v>
      </c>
      <c r="N117" s="13">
        <f>IF('Données projet'!$A$36&gt;35,N116+M117-V116,IF(A117&lt;'Données projet'!$A$36,$K$205^A117,IF(A117='Données projet'!$A$36,'Données projet'!$B$36,N116+M117-V116)))</f>
        <v>341.00769230769185</v>
      </c>
      <c r="O117" s="13">
        <f>N117*VLOOKUP('Données projet'!$B$9,Paramètres!$A$1:$I$89,3,0)*VLOOKUP('Données projet'!$B$9,Paramètres!$A$1:$I$89,5,0)</f>
        <v>308.54375999999962</v>
      </c>
      <c r="P117" s="13">
        <f t="shared" si="87"/>
        <v>72.964626008291646</v>
      </c>
      <c r="Q117" s="20">
        <f t="shared" si="107"/>
        <v>664.46043896444064</v>
      </c>
      <c r="R117" s="59">
        <f t="shared" si="55"/>
        <v>957.79377229777401</v>
      </c>
      <c r="S117" s="59">
        <f ca="1">AVERAGE(OFFSET($R$3,0,0,'Données projet'!$E$9+1,1))-AVERAGE(OFFSET($H$3,0,0,'Données projet'!$E$9+1,1))</f>
        <v>309.07357540707869</v>
      </c>
      <c r="T117" s="59">
        <f t="shared" si="88"/>
        <v>155.9593924683299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7.1749999999999998</v>
      </c>
      <c r="AI117" s="13">
        <f>IF('Données projet'!$A$62&gt;35,AI116+AH117-AQ116,IF(A117&lt;'Données projet'!$A$62,$AF$205^A117,IF(A117='Données projet'!$A$62,'Données projet'!$B$62,AI116+AH117-AQ116)))</f>
        <v>341.00769230769185</v>
      </c>
      <c r="AJ117" s="13">
        <f>AI117*VLOOKUP('Données projet'!$B$10,Paramètres!$A$1:$I$89,3,0)*VLOOKUP('Données projet'!$B$10,Paramètres!$A$1:$I$89,5,0)</f>
        <v>329.82263999999958</v>
      </c>
      <c r="AK117" s="13">
        <f t="shared" si="89"/>
        <v>77.393534768338284</v>
      </c>
      <c r="AL117" s="20">
        <f t="shared" si="58"/>
        <v>709.23483772152179</v>
      </c>
      <c r="AM117" s="59">
        <f t="shared" si="59"/>
        <v>1002.5681710548552</v>
      </c>
      <c r="AN117" s="59">
        <f ca="1">AVERAGE(OFFSET($AM$3,0,0,'Données projet'!$E$10+1,1))-AVERAGE(OFFSET($H$3,0,0,'Données projet'!$E$10+1,1))</f>
        <v>340.4659523898373</v>
      </c>
      <c r="AO117" s="59">
        <f t="shared" si="90"/>
        <v>170.54530785680572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3.098461538461541</v>
      </c>
      <c r="BD117" s="12">
        <f>IF('Données projet'!$A$88&gt;35,BD116+BC117-BL116,IF(A117&lt;'Données projet'!$A$88,$BA$205^A117,IF(A117='Données projet'!$A$88,'Données projet'!$B$88,BD116+BC117-BL116)))</f>
        <v>150.03999999999996</v>
      </c>
      <c r="BE117" s="13">
        <f>BD117*VLOOKUP('Données projet'!$B$11,Paramètres!$A$1:$I$89,3,0)*VLOOKUP('Données projet'!$B$11,Paramètres!$A$1:$I$89,5,0)</f>
        <v>72.169239999999988</v>
      </c>
      <c r="BF117" s="13">
        <f t="shared" si="91"/>
        <v>20.21119576123828</v>
      </c>
      <c r="BG117" s="20">
        <f t="shared" si="61"/>
        <v>160.89592561748995</v>
      </c>
      <c r="BH117" s="59">
        <f t="shared" si="62"/>
        <v>454.22925895082324</v>
      </c>
      <c r="BI117" s="59">
        <f ca="1">AVERAGE(OFFSET($BH$3,0,0,'Données projet'!$E$11+1,1))-AVERAGE(OFFSET($H$3,0,0,'Données projet'!$E$11+1,1))</f>
        <v>162.52375757962767</v>
      </c>
      <c r="BJ117" s="59">
        <f t="shared" si="92"/>
        <v>162.18047435246194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7.1749999999999998</v>
      </c>
      <c r="N118" s="13">
        <f>IF('Données projet'!$A$36&gt;35,N117+M118-V117,IF(A118&lt;'Données projet'!$A$36,$K$205^A118,IF(A118='Données projet'!$A$36,'Données projet'!$B$36,N117+M118-V117)))</f>
        <v>348.18269230769187</v>
      </c>
      <c r="O118" s="13">
        <f>N118*VLOOKUP('Données projet'!$B$9,Paramètres!$A$1:$I$89,3,0)*VLOOKUP('Données projet'!$B$9,Paramètres!$A$1:$I$89,5,0)</f>
        <v>315.03569999999957</v>
      </c>
      <c r="P118" s="13">
        <f t="shared" si="87"/>
        <v>74.319496470315627</v>
      </c>
      <c r="Q118" s="20">
        <f t="shared" si="107"/>
        <v>678.12696718579889</v>
      </c>
      <c r="R118" s="59">
        <f t="shared" si="55"/>
        <v>971.46030051913226</v>
      </c>
      <c r="S118" s="59">
        <f ca="1">AVERAGE(OFFSET($R$3,0,0,'Données projet'!$E$9+1,1))-AVERAGE(OFFSET($H$3,0,0,'Données projet'!$E$9+1,1))</f>
        <v>309.07357540707869</v>
      </c>
      <c r="T118" s="59">
        <f t="shared" si="88"/>
        <v>155.9593924683299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7.1749999999999998</v>
      </c>
      <c r="AI118" s="13">
        <f>IF('Données projet'!$A$62&gt;35,AI117+AH118-AQ117,IF(A118&lt;'Données projet'!$A$62,$AF$205^A118,IF(A118='Données projet'!$A$62,'Données projet'!$B$62,AI117+AH118-AQ117)))</f>
        <v>348.18269230769187</v>
      </c>
      <c r="AJ118" s="13">
        <f>AI118*VLOOKUP('Données projet'!$B$10,Paramètres!$A$1:$I$89,3,0)*VLOOKUP('Données projet'!$B$10,Paramètres!$A$1:$I$89,5,0)</f>
        <v>336.76229999999958</v>
      </c>
      <c r="AK118" s="13">
        <f t="shared" si="89"/>
        <v>78.830645049659154</v>
      </c>
      <c r="AL118" s="20">
        <f t="shared" si="58"/>
        <v>723.82437929482228</v>
      </c>
      <c r="AM118" s="59">
        <f t="shared" si="59"/>
        <v>1017.1577126281557</v>
      </c>
      <c r="AN118" s="59">
        <f ca="1">AVERAGE(OFFSET($AM$3,0,0,'Données projet'!$E$10+1,1))-AVERAGE(OFFSET($H$3,0,0,'Données projet'!$E$10+1,1))</f>
        <v>340.4659523898373</v>
      </c>
      <c r="AO118" s="59">
        <f t="shared" si="90"/>
        <v>170.54530785680572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3.098461538461541</v>
      </c>
      <c r="BD118" s="12">
        <f>IF('Données projet'!$A$88&gt;35,BD117+BC118-BL117,IF(A118&lt;'Données projet'!$A$88,$BA$205^A118,IF(A118='Données projet'!$A$88,'Données projet'!$B$88,BD117+BC118-BL117)))</f>
        <v>153.13846153846151</v>
      </c>
      <c r="BE118" s="13">
        <f>BD118*VLOOKUP('Données projet'!$B$11,Paramètres!$A$1:$I$89,3,0)*VLOOKUP('Données projet'!$B$11,Paramètres!$A$1:$I$89,5,0)</f>
        <v>73.659599999999998</v>
      </c>
      <c r="BF118" s="13">
        <f t="shared" si="91"/>
        <v>20.579552362977129</v>
      </c>
      <c r="BG118" s="20">
        <f t="shared" si="61"/>
        <v>164.13319036551849</v>
      </c>
      <c r="BH118" s="59">
        <f t="shared" si="62"/>
        <v>457.4665236988518</v>
      </c>
      <c r="BI118" s="59">
        <f ca="1">AVERAGE(OFFSET($BH$3,0,0,'Données projet'!$E$11+1,1))-AVERAGE(OFFSET($H$3,0,0,'Données projet'!$E$11+1,1))</f>
        <v>162.52375757962767</v>
      </c>
      <c r="BJ118" s="59">
        <f t="shared" si="92"/>
        <v>162.18047435246194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7.1749999999999998</v>
      </c>
      <c r="N119" s="13">
        <f>IF('Données projet'!$A$36&gt;35,N118+M119-V118,IF(A119&lt;'Données projet'!$A$36,$K$205^A119,IF(A119='Données projet'!$A$36,'Données projet'!$B$36,N118+M119-V118)))</f>
        <v>355.35769230769188</v>
      </c>
      <c r="O119" s="13">
        <f>N119*VLOOKUP('Données projet'!$B$9,Paramètres!$A$1:$I$89,3,0)*VLOOKUP('Données projet'!$B$9,Paramètres!$A$1:$I$89,5,0)</f>
        <v>321.52763999999962</v>
      </c>
      <c r="P119" s="13">
        <f t="shared" si="87"/>
        <v>75.67112071782168</v>
      </c>
      <c r="Q119" s="20">
        <f t="shared" si="107"/>
        <v>691.78784158353881</v>
      </c>
      <c r="R119" s="59">
        <f t="shared" si="55"/>
        <v>985.12117491687218</v>
      </c>
      <c r="S119" s="59">
        <f ca="1">AVERAGE(OFFSET($R$3,0,0,'Données projet'!$E$9+1,1))-AVERAGE(OFFSET($H$3,0,0,'Données projet'!$E$9+1,1))</f>
        <v>309.07357540707869</v>
      </c>
      <c r="T119" s="59">
        <f t="shared" si="88"/>
        <v>155.9593924683299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7.1749999999999998</v>
      </c>
      <c r="AI119" s="13">
        <f>IF('Données projet'!$A$62&gt;35,AI118+AH119-AQ118,IF(A119&lt;'Données projet'!$A$62,$AF$205^A119,IF(A119='Données projet'!$A$62,'Données projet'!$B$62,AI118+AH119-AQ118)))</f>
        <v>355.35769230769188</v>
      </c>
      <c r="AJ119" s="13">
        <f>AI119*VLOOKUP('Données projet'!$B$10,Paramètres!$A$1:$I$89,3,0)*VLOOKUP('Données projet'!$B$10,Paramètres!$A$1:$I$89,5,0)</f>
        <v>343.70195999999959</v>
      </c>
      <c r="AK119" s="13">
        <f t="shared" si="89"/>
        <v>80.264312073200145</v>
      </c>
      <c r="AL119" s="20">
        <f t="shared" si="58"/>
        <v>738.40792386082285</v>
      </c>
      <c r="AM119" s="59">
        <f t="shared" si="59"/>
        <v>1031.7412571941561</v>
      </c>
      <c r="AN119" s="59">
        <f ca="1">AVERAGE(OFFSET($AM$3,0,0,'Données projet'!$E$10+1,1))-AVERAGE(OFFSET($H$3,0,0,'Données projet'!$E$10+1,1))</f>
        <v>340.4659523898373</v>
      </c>
      <c r="AO119" s="59">
        <f t="shared" si="90"/>
        <v>170.54530785680572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3.098461538461541</v>
      </c>
      <c r="BD119" s="12">
        <f>IF('Données projet'!$A$88&gt;35,BD118+BC119-BL118,IF(A119&lt;'Données projet'!$A$88,$BA$205^A119,IF(A119='Données projet'!$A$88,'Données projet'!$B$88,BD118+BC119-BL118)))</f>
        <v>156.23692307692306</v>
      </c>
      <c r="BE119" s="13">
        <f>BD119*VLOOKUP('Données projet'!$B$11,Paramètres!$A$1:$I$89,3,0)*VLOOKUP('Données projet'!$B$11,Paramètres!$A$1:$I$89,5,0)</f>
        <v>75.149959999999993</v>
      </c>
      <c r="BF119" s="13">
        <f t="shared" si="91"/>
        <v>20.947042395450396</v>
      </c>
      <c r="BG119" s="20">
        <f t="shared" si="61"/>
        <v>167.36894583874275</v>
      </c>
      <c r="BH119" s="59">
        <f t="shared" si="62"/>
        <v>460.70227917207603</v>
      </c>
      <c r="BI119" s="59">
        <f ca="1">AVERAGE(OFFSET($BH$3,0,0,'Données projet'!$E$11+1,1))-AVERAGE(OFFSET($H$3,0,0,'Données projet'!$E$11+1,1))</f>
        <v>162.52375757962767</v>
      </c>
      <c r="BJ119" s="59">
        <f t="shared" si="92"/>
        <v>162.18047435246194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7.1749999999999998</v>
      </c>
      <c r="N120" s="13">
        <f>IF('Données projet'!$A$36&gt;35,N119+M120-V119,IF(A120&lt;'Données projet'!$A$36,$K$205^A120,IF(A120='Données projet'!$A$36,'Données projet'!$B$36,N119+M120-V119)))</f>
        <v>362.53269230769189</v>
      </c>
      <c r="O120" s="13">
        <f>N120*VLOOKUP('Données projet'!$B$9,Paramètres!$A$1:$I$89,3,0)*VLOOKUP('Données projet'!$B$9,Paramètres!$A$1:$I$89,5,0)</f>
        <v>328.01957999999956</v>
      </c>
      <c r="P120" s="13">
        <f t="shared" si="87"/>
        <v>77.019571848313717</v>
      </c>
      <c r="Q120" s="20">
        <f t="shared" si="107"/>
        <v>705.44318946914564</v>
      </c>
      <c r="R120" s="59">
        <f t="shared" si="55"/>
        <v>998.77652280247889</v>
      </c>
      <c r="S120" s="59">
        <f ca="1">AVERAGE(OFFSET($R$3,0,0,'Données projet'!$E$9+1,1))-AVERAGE(OFFSET($H$3,0,0,'Données projet'!$E$9+1,1))</f>
        <v>309.07357540707869</v>
      </c>
      <c r="T120" s="59">
        <f t="shared" si="88"/>
        <v>155.9593924683299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7.1749999999999998</v>
      </c>
      <c r="AI120" s="13">
        <f>IF('Données projet'!$A$62&gt;35,AI119+AH120-AQ119,IF(A120&lt;'Données projet'!$A$62,$AF$205^A120,IF(A120='Données projet'!$A$62,'Données projet'!$B$62,AI119+AH120-AQ119)))</f>
        <v>362.53269230769189</v>
      </c>
      <c r="AJ120" s="13">
        <f>AI120*VLOOKUP('Données projet'!$B$10,Paramètres!$A$1:$I$89,3,0)*VLOOKUP('Données projet'!$B$10,Paramètres!$A$1:$I$89,5,0)</f>
        <v>350.64161999999959</v>
      </c>
      <c r="AK120" s="13">
        <f t="shared" si="89"/>
        <v>81.694613373439608</v>
      </c>
      <c r="AL120" s="20">
        <f t="shared" si="58"/>
        <v>752.98560645873988</v>
      </c>
      <c r="AM120" s="59">
        <f t="shared" si="59"/>
        <v>1046.3189397920733</v>
      </c>
      <c r="AN120" s="59">
        <f ca="1">AVERAGE(OFFSET($AM$3,0,0,'Données projet'!$E$10+1,1))-AVERAGE(OFFSET($H$3,0,0,'Données projet'!$E$10+1,1))</f>
        <v>340.4659523898373</v>
      </c>
      <c r="AO120" s="59">
        <f t="shared" si="90"/>
        <v>170.54530785680572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3.098461538461541</v>
      </c>
      <c r="BD120" s="12">
        <f>IF('Données projet'!$A$88&gt;35,BD119+BC120-BL119,IF(A120&lt;'Données projet'!$A$88,$BA$205^A120,IF(A120='Données projet'!$A$88,'Données projet'!$B$88,BD119+BC120-BL119)))</f>
        <v>159.33538461538461</v>
      </c>
      <c r="BE120" s="13">
        <f>BD120*VLOOKUP('Données projet'!$B$11,Paramètres!$A$1:$I$89,3,0)*VLOOKUP('Données projet'!$B$11,Paramètres!$A$1:$I$89,5,0)</f>
        <v>76.640320000000003</v>
      </c>
      <c r="BF120" s="13">
        <f t="shared" si="91"/>
        <v>21.313685025114477</v>
      </c>
      <c r="BG120" s="20">
        <f t="shared" si="61"/>
        <v>170.60322541874106</v>
      </c>
      <c r="BH120" s="59">
        <f t="shared" si="62"/>
        <v>463.93655875207435</v>
      </c>
      <c r="BI120" s="59">
        <f ca="1">AVERAGE(OFFSET($BH$3,0,0,'Données projet'!$E$11+1,1))-AVERAGE(OFFSET($H$3,0,0,'Données projet'!$E$11+1,1))</f>
        <v>162.52375757962767</v>
      </c>
      <c r="BJ120" s="59">
        <f t="shared" si="92"/>
        <v>162.18047435246194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7.1749999999999998</v>
      </c>
      <c r="N121" s="13">
        <f>IF('Données projet'!$A$36&gt;35,N120+M121-V120,IF(A121&lt;'Données projet'!$A$36,$K$205^A121,IF(A121='Données projet'!$A$36,'Données projet'!$B$36,N120+M121-V120)))</f>
        <v>369.7076923076919</v>
      </c>
      <c r="O121" s="13">
        <f>N121*VLOOKUP('Données projet'!$B$9,Paramètres!$A$1:$I$89,3,0)*VLOOKUP('Données projet'!$B$9,Paramètres!$A$1:$I$89,5,0)</f>
        <v>334.51151999999962</v>
      </c>
      <c r="P121" s="13">
        <f t="shared" si="87"/>
        <v>78.364919900433733</v>
      </c>
      <c r="Q121" s="20">
        <f t="shared" si="107"/>
        <v>719.09313282658798</v>
      </c>
      <c r="R121" s="59">
        <f t="shared" si="55"/>
        <v>1012.4264661599213</v>
      </c>
      <c r="S121" s="59">
        <f ca="1">AVERAGE(OFFSET($R$3,0,0,'Données projet'!$E$9+1,1))-AVERAGE(OFFSET($H$3,0,0,'Données projet'!$E$9+1,1))</f>
        <v>309.07357540707869</v>
      </c>
      <c r="T121" s="59">
        <f t="shared" si="88"/>
        <v>155.9593924683299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7.1749999999999998</v>
      </c>
      <c r="AI121" s="13">
        <f>IF('Données projet'!$A$62&gt;35,AI120+AH121-AQ120,IF(A121&lt;'Données projet'!$A$62,$AF$205^A121,IF(A121='Données projet'!$A$62,'Données projet'!$B$62,AI120+AH121-AQ120)))</f>
        <v>369.7076923076919</v>
      </c>
      <c r="AJ121" s="13">
        <f>AI121*VLOOKUP('Données projet'!$B$10,Paramètres!$A$1:$I$89,3,0)*VLOOKUP('Données projet'!$B$10,Paramètres!$A$1:$I$89,5,0)</f>
        <v>357.58127999999959</v>
      </c>
      <c r="AK121" s="13">
        <f t="shared" si="89"/>
        <v>83.12162324032262</v>
      </c>
      <c r="AL121" s="20">
        <f t="shared" si="58"/>
        <v>767.55755647689455</v>
      </c>
      <c r="AM121" s="59">
        <f t="shared" si="59"/>
        <v>1060.8908898102279</v>
      </c>
      <c r="AN121" s="59">
        <f ca="1">AVERAGE(OFFSET($AM$3,0,0,'Données projet'!$E$10+1,1))-AVERAGE(OFFSET($H$3,0,0,'Données projet'!$E$10+1,1))</f>
        <v>340.4659523898373</v>
      </c>
      <c r="AO121" s="59">
        <f t="shared" si="90"/>
        <v>170.54530785680572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3.098461538461541</v>
      </c>
      <c r="BD121" s="12">
        <f>IF('Données projet'!$A$88&gt;35,BD120+BC121-BL120,IF(A121&lt;'Données projet'!$A$88,$BA$205^A121,IF(A121='Données projet'!$A$88,'Données projet'!$B$88,BD120+BC121-BL120)))</f>
        <v>162.43384615384616</v>
      </c>
      <c r="BE121" s="13">
        <f>BD121*VLOOKUP('Données projet'!$B$11,Paramètres!$A$1:$I$89,3,0)*VLOOKUP('Données projet'!$B$11,Paramètres!$A$1:$I$89,5,0)</f>
        <v>78.130680000000012</v>
      </c>
      <c r="BF121" s="13">
        <f t="shared" si="91"/>
        <v>21.679498630357035</v>
      </c>
      <c r="BG121" s="20">
        <f t="shared" si="61"/>
        <v>173.83606111453852</v>
      </c>
      <c r="BH121" s="59">
        <f t="shared" si="62"/>
        <v>467.16939444787181</v>
      </c>
      <c r="BI121" s="59">
        <f ca="1">AVERAGE(OFFSET($BH$3,0,0,'Données projet'!$E$11+1,1))-AVERAGE(OFFSET($H$3,0,0,'Données projet'!$E$11+1,1))</f>
        <v>162.52375757962767</v>
      </c>
      <c r="BJ121" s="59">
        <f t="shared" si="92"/>
        <v>162.18047435246194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7.1749999999999998</v>
      </c>
      <c r="N122" s="13">
        <f>IF('Données projet'!$A$36&gt;35,N121+M122-V121,IF(A122&lt;'Données projet'!$A$36,$K$205^A122,IF(A122='Données projet'!$A$36,'Données projet'!$B$36,N121+M122-V121)))</f>
        <v>376.88269230769191</v>
      </c>
      <c r="O122" s="13">
        <f>N122*VLOOKUP('Données projet'!$B$9,Paramètres!$A$1:$I$89,3,0)*VLOOKUP('Données projet'!$B$9,Paramètres!$A$1:$I$89,5,0)</f>
        <v>341.00345999999962</v>
      </c>
      <c r="P122" s="13">
        <f t="shared" si="87"/>
        <v>79.707232038800896</v>
      </c>
      <c r="Q122" s="20">
        <f t="shared" si="107"/>
        <v>732.73778863424411</v>
      </c>
      <c r="R122" s="59">
        <f t="shared" si="55"/>
        <v>1026.0711219675775</v>
      </c>
      <c r="S122" s="59">
        <f ca="1">AVERAGE(OFFSET($R$3,0,0,'Données projet'!$E$9+1,1))-AVERAGE(OFFSET($H$3,0,0,'Données projet'!$E$9+1,1))</f>
        <v>309.07357540707869</v>
      </c>
      <c r="T122" s="59">
        <f t="shared" si="88"/>
        <v>155.9593924683299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7.1749999999999998</v>
      </c>
      <c r="AI122" s="13">
        <f>IF('Données projet'!$A$62&gt;35,AI121+AH122-AQ121,IF(A122&lt;'Données projet'!$A$62,$AF$205^A122,IF(A122='Données projet'!$A$62,'Données projet'!$B$62,AI121+AH122-AQ121)))</f>
        <v>376.88269230769191</v>
      </c>
      <c r="AJ122" s="13">
        <f>AI122*VLOOKUP('Données projet'!$B$10,Paramètres!$A$1:$I$89,3,0)*VLOOKUP('Données projet'!$B$10,Paramètres!$A$1:$I$89,5,0)</f>
        <v>364.52093999999965</v>
      </c>
      <c r="AK122" s="13">
        <f t="shared" si="89"/>
        <v>84.545412915320412</v>
      </c>
      <c r="AL122" s="20">
        <f t="shared" si="58"/>
        <v>782.12389799418236</v>
      </c>
      <c r="AM122" s="59">
        <f t="shared" si="59"/>
        <v>1075.4572313275157</v>
      </c>
      <c r="AN122" s="59">
        <f ca="1">AVERAGE(OFFSET($AM$3,0,0,'Données projet'!$E$10+1,1))-AVERAGE(OFFSET($H$3,0,0,'Données projet'!$E$10+1,1))</f>
        <v>340.4659523898373</v>
      </c>
      <c r="AO122" s="59">
        <f t="shared" si="90"/>
        <v>170.54530785680572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3.098461538461541</v>
      </c>
      <c r="BD122" s="12">
        <f>IF('Données projet'!$A$88&gt;35,BD121+BC122-BL121,IF(A122&lt;'Données projet'!$A$88,$BA$205^A122,IF(A122='Données projet'!$A$88,'Données projet'!$B$88,BD121+BC122-BL121)))</f>
        <v>165.53230769230771</v>
      </c>
      <c r="BE122" s="13">
        <f>BD122*VLOOKUP('Données projet'!$B$11,Paramètres!$A$1:$I$89,3,0)*VLOOKUP('Données projet'!$B$11,Paramètres!$A$1:$I$89,5,0)</f>
        <v>79.621040000000008</v>
      </c>
      <c r="BF122" s="13">
        <f t="shared" si="91"/>
        <v>22.044500848303951</v>
      </c>
      <c r="BG122" s="20">
        <f t="shared" si="61"/>
        <v>177.0674836441294</v>
      </c>
      <c r="BH122" s="59">
        <f t="shared" si="62"/>
        <v>470.40081697746268</v>
      </c>
      <c r="BI122" s="59">
        <f ca="1">AVERAGE(OFFSET($BH$3,0,0,'Données projet'!$E$11+1,1))-AVERAGE(OFFSET($H$3,0,0,'Données projet'!$E$11+1,1))</f>
        <v>162.52375757962767</v>
      </c>
      <c r="BJ122" s="59">
        <f t="shared" si="92"/>
        <v>162.18047435246194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384.05769230769226</v>
      </c>
      <c r="L123" s="12">
        <f>VLOOKUP(A123,'Données projet'!$A$35:$I$55,9,0)</f>
        <v>7.1749999999999998</v>
      </c>
      <c r="M123" s="12">
        <f t="array" ref="M123">INDEX(L:L,MIN(IF(ISNUMBER(L123:L319),ROW(L123:L319),"")))</f>
        <v>7.1749999999999998</v>
      </c>
      <c r="N123" s="13">
        <f>IF('Données projet'!$A$36&gt;35,N122+M123-V122,IF(A123&lt;'Données projet'!$A$36,$K$205^A123,IF(A123='Données projet'!$A$36,'Données projet'!$B$36,N122+M123-V122)))</f>
        <v>384.05769230769192</v>
      </c>
      <c r="O123" s="13">
        <f>N123*VLOOKUP('Données projet'!$B$9,Paramètres!$A$1:$I$89,3,0)*VLOOKUP('Données projet'!$B$9,Paramètres!$A$1:$I$89,5,0)</f>
        <v>347.49539999999962</v>
      </c>
      <c r="P123" s="13">
        <f t="shared" si="87"/>
        <v>81.046572724377867</v>
      </c>
      <c r="Q123" s="20">
        <f t="shared" si="107"/>
        <v>746.3772691616241</v>
      </c>
      <c r="R123" s="59">
        <f t="shared" si="55"/>
        <v>1039.7106024949574</v>
      </c>
      <c r="S123" s="59">
        <f ca="1">AVERAGE(OFFSET($R$3,0,0,'Données projet'!$E$9+1,1))-AVERAGE(OFFSET($H$3,0,0,'Données projet'!$E$9+1,1))</f>
        <v>309.07357540707869</v>
      </c>
      <c r="T123" s="59">
        <f t="shared" si="88"/>
        <v>155.9593924683299</v>
      </c>
      <c r="U123" s="15">
        <f>IF(ISNA(VLOOKUP(A123,'Données projet'!$A$35:$I$55,3,0)),0,VLOOKUP(A123,'Données projet'!$A$35:$I$55,3,0))</f>
        <v>11</v>
      </c>
      <c r="V123" s="15">
        <f>IF(ISNA(VLOOKUP(A123,'Données projet'!$A$35:$I$55,4,0)),0,VLOOKUP(A123,'Données projet'!$A$35:$I$55,4,0))</f>
        <v>44.929487179487182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384.05769230769226</v>
      </c>
      <c r="AG123" s="12">
        <f>VLOOKUP(A123,'Données projet'!$A$61:$I$81,9,0)</f>
        <v>7.1749999999999998</v>
      </c>
      <c r="AH123" s="12">
        <f t="array" ref="AH123">INDEX(AG:AG,MIN(IF(ISNUMBER(AG123:AG319),ROW(AG123:AG319),"")))</f>
        <v>7.1749999999999998</v>
      </c>
      <c r="AI123" s="13">
        <f>IF('Données projet'!$A$62&gt;35,AI122+AH123-AQ122,IF(A123&lt;'Données projet'!$A$62,$AF$205^A123,IF(A123='Données projet'!$A$62,'Données projet'!$B$62,AI122+AH123-AQ122)))</f>
        <v>384.05769230769192</v>
      </c>
      <c r="AJ123" s="13">
        <f>AI123*VLOOKUP('Données projet'!$B$10,Paramètres!$A$1:$I$89,3,0)*VLOOKUP('Données projet'!$B$10,Paramètres!$A$1:$I$89,5,0)</f>
        <v>371.46059999999966</v>
      </c>
      <c r="AK123" s="13">
        <f t="shared" si="89"/>
        <v>85.966050772137194</v>
      </c>
      <c r="AL123" s="20">
        <f t="shared" si="58"/>
        <v>796.68475009480505</v>
      </c>
      <c r="AM123" s="59">
        <f t="shared" si="59"/>
        <v>1090.0180834281384</v>
      </c>
      <c r="AN123" s="59">
        <f ca="1">AVERAGE(OFFSET($AM$3,0,0,'Données projet'!$E$10+1,1))-AVERAGE(OFFSET($H$3,0,0,'Données projet'!$E$10+1,1))</f>
        <v>340.4659523898373</v>
      </c>
      <c r="AO123" s="59">
        <f t="shared" si="90"/>
        <v>170.54530785680572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44.929487179487182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168.63076923076923</v>
      </c>
      <c r="BB123" s="12">
        <f>VLOOKUP(A123,'Données projet'!$A$87:$I$107,9,0)</f>
        <v>3.098461538461541</v>
      </c>
      <c r="BC123" s="12">
        <f t="array" ref="BC123">INDEX(BB:BB,MIN(IF(ISNUMBER(BB123:BB319),ROW(BB123:BB319),"")))</f>
        <v>3.098461538461541</v>
      </c>
      <c r="BD123" s="12">
        <f>IF('Données projet'!$A$88&gt;35,BD122+BC123-BL122,IF(A123&lt;'Données projet'!$A$88,$BA$205^A123,IF(A123='Données projet'!$A$88,'Données projet'!$B$88,BD122+BC123-BL122)))</f>
        <v>168.63076923076926</v>
      </c>
      <c r="BE123" s="13">
        <f>BD123*VLOOKUP('Données projet'!$B$11,Paramètres!$A$1:$I$89,3,0)*VLOOKUP('Données projet'!$B$11,Paramètres!$A$1:$I$89,5,0)</f>
        <v>81.111400000000017</v>
      </c>
      <c r="BF123" s="13">
        <f t="shared" si="91"/>
        <v>22.408708618022576</v>
      </c>
      <c r="BG123" s="20">
        <f t="shared" si="61"/>
        <v>180.29752250972265</v>
      </c>
      <c r="BH123" s="59">
        <f t="shared" si="62"/>
        <v>473.630855843056</v>
      </c>
      <c r="BI123" s="59">
        <f ca="1">AVERAGE(OFFSET($BH$3,0,0,'Données projet'!$E$11+1,1))-AVERAGE(OFFSET($H$3,0,0,'Données projet'!$E$11+1,1))</f>
        <v>162.52375757962767</v>
      </c>
      <c r="BJ123" s="59">
        <f t="shared" si="92"/>
        <v>162.18047435246194</v>
      </c>
      <c r="BK123" s="15">
        <f>IF(ISNA(VLOOKUP(A123,'Données projet'!$A$87:$I$107,3,0)),0,VLOOKUP(A123,'Données projet'!$A$87:$I$107,3,0))</f>
        <v>8</v>
      </c>
      <c r="BL123" s="15">
        <f>IF(ISNA(VLOOKUP(A123,'Données projet'!$A$87:$I$107,4,0)),0,VLOOKUP(A123,'Données projet'!$A$87:$I$107,4,0))</f>
        <v>168.63076923076923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7.1730769230769287</v>
      </c>
      <c r="N124" s="13">
        <f>IF('Données projet'!$A$36&gt;35,N123+M124-V123,IF(A124&lt;'Données projet'!$A$36,$K$205^A124,IF(A124='Données projet'!$A$36,'Données projet'!$B$36,N123+M124-V123)))</f>
        <v>346.30128205128165</v>
      </c>
      <c r="O124" s="13">
        <f>N124*VLOOKUP('Données projet'!$B$9,Paramètres!$A$1:$I$89,3,0)*VLOOKUP('Données projet'!$B$9,Paramètres!$A$1:$I$89,5,0)</f>
        <v>313.33339999999964</v>
      </c>
      <c r="P124" s="13">
        <f t="shared" si="87"/>
        <v>73.964542836466293</v>
      </c>
      <c r="Q124" s="20">
        <f t="shared" si="107"/>
        <v>674.5439171068449</v>
      </c>
      <c r="R124" s="59">
        <f t="shared" si="55"/>
        <v>967.87725044017816</v>
      </c>
      <c r="S124" s="59">
        <f ca="1">AVERAGE(OFFSET($R$3,0,0,'Données projet'!$E$9+1,1))-AVERAGE(OFFSET($H$3,0,0,'Données projet'!$E$9+1,1))</f>
        <v>309.07357540707869</v>
      </c>
      <c r="T124" s="59">
        <f t="shared" si="88"/>
        <v>155.9593924683299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7.1730769230769287</v>
      </c>
      <c r="AI124" s="13">
        <f>IF('Données projet'!$A$62&gt;35,AI123+AH124-AQ123,IF(A124&lt;'Données projet'!$A$62,$AF$205^A124,IF(A124='Données projet'!$A$62,'Données projet'!$B$62,AI123+AH124-AQ123)))</f>
        <v>346.30128205128165</v>
      </c>
      <c r="AJ124" s="13">
        <f>AI124*VLOOKUP('Données projet'!$B$10,Paramètres!$A$1:$I$89,3,0)*VLOOKUP('Données projet'!$B$10,Paramètres!$A$1:$I$89,5,0)</f>
        <v>334.94259999999963</v>
      </c>
      <c r="AK124" s="13">
        <f t="shared" si="89"/>
        <v>78.454145944471591</v>
      </c>
      <c r="AL124" s="20">
        <f t="shared" si="58"/>
        <v>719.99933251995401</v>
      </c>
      <c r="AM124" s="59">
        <f t="shared" si="59"/>
        <v>1013.3326658532874</v>
      </c>
      <c r="AN124" s="59">
        <f ca="1">AVERAGE(OFFSET($AM$3,0,0,'Données projet'!$E$10+1,1))-AVERAGE(OFFSET($H$3,0,0,'Données projet'!$E$10+1,1))</f>
        <v>340.4659523898373</v>
      </c>
      <c r="AO124" s="59">
        <f t="shared" si="90"/>
        <v>170.54530785680572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1.3670842236024327E-14</v>
      </c>
      <c r="BF124" s="13">
        <f t="shared" si="91"/>
        <v>2.5890519619727347E-13</v>
      </c>
      <c r="BG124" s="20">
        <f t="shared" si="61"/>
        <v>4.7473660027132696E-13</v>
      </c>
      <c r="BH124" s="59">
        <f t="shared" si="62"/>
        <v>293.33333333333377</v>
      </c>
      <c r="BI124" s="59">
        <f ca="1">AVERAGE(OFFSET($BH$3,0,0,'Données projet'!$E$11+1,1))-AVERAGE(OFFSET($H$3,0,0,'Données projet'!$E$11+1,1))</f>
        <v>162.52375757962767</v>
      </c>
      <c r="BJ124" s="59">
        <f t="shared" si="92"/>
        <v>162.18047435246194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7.1730769230769287</v>
      </c>
      <c r="N125" s="13">
        <f>IF('Données projet'!$A$36&gt;35,N124+M125-V124,IF(A125&lt;'Données projet'!$A$36,$K$205^A125,IF(A125='Données projet'!$A$36,'Données projet'!$B$36,N124+M125-V124)))</f>
        <v>353.47435897435855</v>
      </c>
      <c r="O125" s="13">
        <f>N125*VLOOKUP('Données projet'!$B$9,Paramètres!$A$1:$I$89,3,0)*VLOOKUP('Données projet'!$B$9,Paramètres!$A$1:$I$89,5,0)</f>
        <v>319.8235999999996</v>
      </c>
      <c r="P125" s="13">
        <f t="shared" si="87"/>
        <v>75.316649034447607</v>
      </c>
      <c r="Q125" s="20">
        <f t="shared" si="107"/>
        <v>688.20260040166215</v>
      </c>
      <c r="R125" s="59">
        <f t="shared" si="55"/>
        <v>981.53593373499552</v>
      </c>
      <c r="S125" s="59">
        <f ca="1">AVERAGE(OFFSET($R$3,0,0,'Données projet'!$E$9+1,1))-AVERAGE(OFFSET($H$3,0,0,'Données projet'!$E$9+1,1))</f>
        <v>309.07357540707869</v>
      </c>
      <c r="T125" s="59">
        <f t="shared" si="88"/>
        <v>155.9593924683299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7.1730769230769287</v>
      </c>
      <c r="AI125" s="13">
        <f>IF('Données projet'!$A$62&gt;35,AI124+AH125-AQ124,IF(A125&lt;'Données projet'!$A$62,$AF$205^A125,IF(A125='Données projet'!$A$62,'Données projet'!$B$62,AI124+AH125-AQ124)))</f>
        <v>353.47435897435855</v>
      </c>
      <c r="AJ125" s="13">
        <f>AI125*VLOOKUP('Données projet'!$B$10,Paramètres!$A$1:$I$89,3,0)*VLOOKUP('Données projet'!$B$10,Paramètres!$A$1:$I$89,5,0)</f>
        <v>341.88039999999955</v>
      </c>
      <c r="AK125" s="13">
        <f t="shared" si="89"/>
        <v>79.888324172590799</v>
      </c>
      <c r="AL125" s="20">
        <f t="shared" si="58"/>
        <v>734.58052793392801</v>
      </c>
      <c r="AM125" s="59">
        <f t="shared" si="59"/>
        <v>1027.9138612672614</v>
      </c>
      <c r="AN125" s="59">
        <f ca="1">AVERAGE(OFFSET($AM$3,0,0,'Données projet'!$E$10+1,1))-AVERAGE(OFFSET($H$3,0,0,'Données projet'!$E$10+1,1))</f>
        <v>340.4659523898373</v>
      </c>
      <c r="AO125" s="59">
        <f t="shared" si="90"/>
        <v>170.54530785680572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1.3670842236024327E-14</v>
      </c>
      <c r="BF125" s="13">
        <f t="shared" si="91"/>
        <v>2.5890519619727347E-13</v>
      </c>
      <c r="BG125" s="20">
        <f t="shared" si="61"/>
        <v>4.7473660027132696E-13</v>
      </c>
      <c r="BH125" s="59">
        <f t="shared" si="62"/>
        <v>293.33333333333377</v>
      </c>
      <c r="BI125" s="59">
        <f ca="1">AVERAGE(OFFSET($BH$3,0,0,'Données projet'!$E$11+1,1))-AVERAGE(OFFSET($H$3,0,0,'Données projet'!$E$11+1,1))</f>
        <v>162.52375757962767</v>
      </c>
      <c r="BJ125" s="59">
        <f t="shared" si="92"/>
        <v>162.18047435246194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7.1730769230769287</v>
      </c>
      <c r="N126" s="13">
        <f>IF('Données projet'!$A$36&gt;35,N125+M126-V125,IF(A126&lt;'Données projet'!$A$36,$K$205^A126,IF(A126='Données projet'!$A$36,'Données projet'!$B$36,N125+M126-V125)))</f>
        <v>360.64743589743546</v>
      </c>
      <c r="O126" s="13">
        <f>N126*VLOOKUP('Données projet'!$B$9,Paramètres!$A$1:$I$89,3,0)*VLOOKUP('Données projet'!$B$9,Paramètres!$A$1:$I$89,5,0)</f>
        <v>326.31379999999962</v>
      </c>
      <c r="P126" s="13">
        <f t="shared" si="87"/>
        <v>76.665564943323318</v>
      </c>
      <c r="Q126" s="20">
        <f t="shared" si="107"/>
        <v>701.85572727628733</v>
      </c>
      <c r="R126" s="59">
        <f t="shared" si="55"/>
        <v>995.18906060962058</v>
      </c>
      <c r="S126" s="59">
        <f ca="1">AVERAGE(OFFSET($R$3,0,0,'Données projet'!$E$9+1,1))-AVERAGE(OFFSET($H$3,0,0,'Données projet'!$E$9+1,1))</f>
        <v>309.07357540707869</v>
      </c>
      <c r="T126" s="59">
        <f t="shared" si="88"/>
        <v>155.9593924683299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7.1730769230769287</v>
      </c>
      <c r="AI126" s="13">
        <f>IF('Données projet'!$A$62&gt;35,AI125+AH126-AQ125,IF(A126&lt;'Données projet'!$A$62,$AF$205^A126,IF(A126='Données projet'!$A$62,'Données projet'!$B$62,AI125+AH126-AQ125)))</f>
        <v>360.64743589743546</v>
      </c>
      <c r="AJ126" s="13">
        <f>AI126*VLOOKUP('Données projet'!$B$10,Paramètres!$A$1:$I$89,3,0)*VLOOKUP('Données projet'!$B$10,Paramètres!$A$1:$I$89,5,0)</f>
        <v>348.81819999999959</v>
      </c>
      <c r="AK126" s="13">
        <f t="shared" si="89"/>
        <v>81.319118462981237</v>
      </c>
      <c r="AL126" s="20">
        <f t="shared" si="58"/>
        <v>749.15582965635815</v>
      </c>
      <c r="AM126" s="59">
        <f t="shared" si="59"/>
        <v>1042.4891629896915</v>
      </c>
      <c r="AN126" s="59">
        <f ca="1">AVERAGE(OFFSET($AM$3,0,0,'Données projet'!$E$10+1,1))-AVERAGE(OFFSET($H$3,0,0,'Données projet'!$E$10+1,1))</f>
        <v>340.4659523898373</v>
      </c>
      <c r="AO126" s="59">
        <f t="shared" si="90"/>
        <v>170.54530785680572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1.3670842236024327E-14</v>
      </c>
      <c r="BF126" s="13">
        <f t="shared" si="91"/>
        <v>2.5890519619727347E-13</v>
      </c>
      <c r="BG126" s="20">
        <f t="shared" si="61"/>
        <v>4.7473660027132696E-13</v>
      </c>
      <c r="BH126" s="59">
        <f t="shared" si="62"/>
        <v>293.33333333333377</v>
      </c>
      <c r="BI126" s="59">
        <f ca="1">AVERAGE(OFFSET($BH$3,0,0,'Données projet'!$E$11+1,1))-AVERAGE(OFFSET($H$3,0,0,'Données projet'!$E$11+1,1))</f>
        <v>162.52375757962767</v>
      </c>
      <c r="BJ126" s="59">
        <f t="shared" si="92"/>
        <v>162.18047435246194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7.1730769230769287</v>
      </c>
      <c r="N127" s="13">
        <f>IF('Données projet'!$A$36&gt;35,N126+M127-V126,IF(A127&lt;'Données projet'!$A$36,$K$205^A127,IF(A127='Données projet'!$A$36,'Données projet'!$B$36,N126+M127-V126)))</f>
        <v>367.82051282051236</v>
      </c>
      <c r="O127" s="13">
        <f>N127*VLOOKUP('Données projet'!$B$9,Paramètres!$A$1:$I$89,3,0)*VLOOKUP('Données projet'!$B$9,Paramètres!$A$1:$I$89,5,0)</f>
        <v>332.80399999999958</v>
      </c>
      <c r="P127" s="13">
        <f t="shared" si="87"/>
        <v>78.011361329585995</v>
      </c>
      <c r="Q127" s="20">
        <f t="shared" si="107"/>
        <v>715.50342098236149</v>
      </c>
      <c r="R127" s="59">
        <f t="shared" si="55"/>
        <v>1008.8367543156949</v>
      </c>
      <c r="S127" s="59">
        <f ca="1">AVERAGE(OFFSET($R$3,0,0,'Données projet'!$E$9+1,1))-AVERAGE(OFFSET($H$3,0,0,'Données projet'!$E$9+1,1))</f>
        <v>309.07357540707869</v>
      </c>
      <c r="T127" s="59">
        <f t="shared" si="88"/>
        <v>155.9593924683299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7.1730769230769287</v>
      </c>
      <c r="AI127" s="13">
        <f>IF('Données projet'!$A$62&gt;35,AI126+AH127-AQ126,IF(A127&lt;'Données projet'!$A$62,$AF$205^A127,IF(A127='Données projet'!$A$62,'Données projet'!$B$62,AI126+AH127-AQ126)))</f>
        <v>367.82051282051236</v>
      </c>
      <c r="AJ127" s="13">
        <f>AI127*VLOOKUP('Données projet'!$B$10,Paramètres!$A$1:$I$89,3,0)*VLOOKUP('Données projet'!$B$10,Paramètres!$A$1:$I$89,5,0)</f>
        <v>355.75599999999957</v>
      </c>
      <c r="AK127" s="13">
        <f t="shared" si="89"/>
        <v>82.746603877618853</v>
      </c>
      <c r="AL127" s="20">
        <f t="shared" si="58"/>
        <v>763.72536842018542</v>
      </c>
      <c r="AM127" s="59">
        <f t="shared" si="59"/>
        <v>1057.0587017535188</v>
      </c>
      <c r="AN127" s="59">
        <f ca="1">AVERAGE(OFFSET($AM$3,0,0,'Données projet'!$E$10+1,1))-AVERAGE(OFFSET($H$3,0,0,'Données projet'!$E$10+1,1))</f>
        <v>340.4659523898373</v>
      </c>
      <c r="AO127" s="59">
        <f t="shared" si="90"/>
        <v>170.54530785680572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1.3670842236024327E-14</v>
      </c>
      <c r="BF127" s="13">
        <f t="shared" si="91"/>
        <v>2.5890519619727347E-13</v>
      </c>
      <c r="BG127" s="20">
        <f t="shared" si="61"/>
        <v>4.7473660027132696E-13</v>
      </c>
      <c r="BH127" s="59">
        <f t="shared" si="62"/>
        <v>293.33333333333377</v>
      </c>
      <c r="BI127" s="59">
        <f ca="1">AVERAGE(OFFSET($BH$3,0,0,'Données projet'!$E$11+1,1))-AVERAGE(OFFSET($H$3,0,0,'Données projet'!$E$11+1,1))</f>
        <v>162.52375757962767</v>
      </c>
      <c r="BJ127" s="59">
        <f t="shared" si="92"/>
        <v>162.18047435246194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7.1730769230769287</v>
      </c>
      <c r="N128" s="13">
        <f>IF('Données projet'!$A$36&gt;35,N127+M128-V127,IF(A128&lt;'Données projet'!$A$36,$K$205^A128,IF(A128='Données projet'!$A$36,'Données projet'!$B$36,N127+M128-V127)))</f>
        <v>374.99358974358927</v>
      </c>
      <c r="O128" s="13">
        <f>N128*VLOOKUP('Données projet'!$B$9,Paramètres!$A$1:$I$89,3,0)*VLOOKUP('Données projet'!$B$9,Paramètres!$A$1:$I$89,5,0)</f>
        <v>339.29419999999953</v>
      </c>
      <c r="P128" s="13">
        <f t="shared" si="87"/>
        <v>79.354106041732479</v>
      </c>
      <c r="Q128" s="20">
        <f t="shared" si="107"/>
        <v>729.14579968934993</v>
      </c>
      <c r="R128" s="59">
        <f t="shared" si="55"/>
        <v>1022.4791330226833</v>
      </c>
      <c r="S128" s="59">
        <f ca="1">AVERAGE(OFFSET($R$3,0,0,'Données projet'!$E$9+1,1))-AVERAGE(OFFSET($H$3,0,0,'Données projet'!$E$9+1,1))</f>
        <v>309.07357540707869</v>
      </c>
      <c r="T128" s="59">
        <f t="shared" si="88"/>
        <v>155.9593924683299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7.1730769230769287</v>
      </c>
      <c r="AI128" s="13">
        <f>IF('Données projet'!$A$62&gt;35,AI127+AH128-AQ127,IF(A128&lt;'Données projet'!$A$62,$AF$205^A128,IF(A128='Données projet'!$A$62,'Données projet'!$B$62,AI127+AH128-AQ127)))</f>
        <v>374.99358974358927</v>
      </c>
      <c r="AJ128" s="13">
        <f>AI128*VLOOKUP('Données projet'!$B$10,Paramètres!$A$1:$I$89,3,0)*VLOOKUP('Données projet'!$B$10,Paramètres!$A$1:$I$89,5,0)</f>
        <v>362.69379999999956</v>
      </c>
      <c r="AK128" s="13">
        <f t="shared" si="89"/>
        <v>84.170852383363368</v>
      </c>
      <c r="AL128" s="20">
        <f t="shared" si="58"/>
        <v>778.28926956769021</v>
      </c>
      <c r="AM128" s="59">
        <f t="shared" si="59"/>
        <v>1071.6226029010236</v>
      </c>
      <c r="AN128" s="59">
        <f ca="1">AVERAGE(OFFSET($AM$3,0,0,'Données projet'!$E$10+1,1))-AVERAGE(OFFSET($H$3,0,0,'Données projet'!$E$10+1,1))</f>
        <v>340.4659523898373</v>
      </c>
      <c r="AO128" s="59">
        <f t="shared" si="90"/>
        <v>170.54530785680572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1.3670842236024327E-14</v>
      </c>
      <c r="BF128" s="13">
        <f t="shared" si="91"/>
        <v>2.5890519619727347E-13</v>
      </c>
      <c r="BG128" s="20">
        <f t="shared" si="61"/>
        <v>4.7473660027132696E-13</v>
      </c>
      <c r="BH128" s="59">
        <f t="shared" si="62"/>
        <v>293.33333333333377</v>
      </c>
      <c r="BI128" s="59">
        <f ca="1">AVERAGE(OFFSET($BH$3,0,0,'Données projet'!$E$11+1,1))-AVERAGE(OFFSET($H$3,0,0,'Données projet'!$E$11+1,1))</f>
        <v>162.52375757962767</v>
      </c>
      <c r="BJ128" s="59">
        <f t="shared" si="92"/>
        <v>162.18047435246194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7.1730769230769287</v>
      </c>
      <c r="N129" s="13">
        <f>IF('Données projet'!$A$36&gt;35,N128+M129-V128,IF(A129&lt;'Données projet'!$A$36,$K$205^A129,IF(A129='Données projet'!$A$36,'Données projet'!$B$36,N128+M129-V128)))</f>
        <v>382.16666666666617</v>
      </c>
      <c r="O129" s="13">
        <f>N129*VLOOKUP('Données projet'!$B$9,Paramètres!$A$1:$I$89,3,0)*VLOOKUP('Données projet'!$B$9,Paramètres!$A$1:$I$89,5,0)</f>
        <v>345.78439999999955</v>
      </c>
      <c r="P129" s="13">
        <f t="shared" si="87"/>
        <v>80.69386418406053</v>
      </c>
      <c r="Q129" s="20">
        <f t="shared" si="107"/>
        <v>742.782976787238</v>
      </c>
      <c r="R129" s="59">
        <f t="shared" si="55"/>
        <v>1036.1163101205714</v>
      </c>
      <c r="S129" s="59">
        <f ca="1">AVERAGE(OFFSET($R$3,0,0,'Données projet'!$E$9+1,1))-AVERAGE(OFFSET($H$3,0,0,'Données projet'!$E$9+1,1))</f>
        <v>309.07357540707869</v>
      </c>
      <c r="T129" s="59">
        <f t="shared" si="88"/>
        <v>155.9593924683299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7.1730769230769287</v>
      </c>
      <c r="AI129" s="13">
        <f>IF('Données projet'!$A$62&gt;35,AI128+AH129-AQ128,IF(A129&lt;'Données projet'!$A$62,$AF$205^A129,IF(A129='Données projet'!$A$62,'Données projet'!$B$62,AI128+AH129-AQ128)))</f>
        <v>382.16666666666617</v>
      </c>
      <c r="AJ129" s="13">
        <f>AI129*VLOOKUP('Données projet'!$B$10,Paramètres!$A$1:$I$89,3,0)*VLOOKUP('Données projet'!$B$10,Paramètres!$A$1:$I$89,5,0)</f>
        <v>369.63159999999954</v>
      </c>
      <c r="AK129" s="13">
        <f t="shared" si="89"/>
        <v>85.591933036303899</v>
      </c>
      <c r="AL129" s="20">
        <f t="shared" si="58"/>
        <v>792.84765337156171</v>
      </c>
      <c r="AM129" s="59">
        <f t="shared" si="59"/>
        <v>1086.1809867048951</v>
      </c>
      <c r="AN129" s="59">
        <f ca="1">AVERAGE(OFFSET($AM$3,0,0,'Données projet'!$E$10+1,1))-AVERAGE(OFFSET($H$3,0,0,'Données projet'!$E$10+1,1))</f>
        <v>340.4659523898373</v>
      </c>
      <c r="AO129" s="59">
        <f t="shared" si="90"/>
        <v>170.54530785680572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1.3670842236024327E-14</v>
      </c>
      <c r="BF129" s="13">
        <f t="shared" si="91"/>
        <v>2.5890519619727347E-13</v>
      </c>
      <c r="BG129" s="20">
        <f t="shared" si="61"/>
        <v>4.7473660027132696E-13</v>
      </c>
      <c r="BH129" s="59">
        <f t="shared" si="62"/>
        <v>293.33333333333377</v>
      </c>
      <c r="BI129" s="59">
        <f ca="1">AVERAGE(OFFSET($BH$3,0,0,'Données projet'!$E$11+1,1))-AVERAGE(OFFSET($H$3,0,0,'Données projet'!$E$11+1,1))</f>
        <v>162.52375757962767</v>
      </c>
      <c r="BJ129" s="59">
        <f t="shared" si="92"/>
        <v>162.18047435246194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7.1730769230769287</v>
      </c>
      <c r="N130" s="13">
        <f>IF('Données projet'!$A$36&gt;35,N129+M130-V129,IF(A130&lt;'Données projet'!$A$36,$K$205^A130,IF(A130='Données projet'!$A$36,'Données projet'!$B$36,N129+M130-V129)))</f>
        <v>389.33974358974308</v>
      </c>
      <c r="O130" s="13">
        <f>N130*VLOOKUP('Données projet'!$B$9,Paramètres!$A$1:$I$89,3,0)*VLOOKUP('Données projet'!$B$9,Paramètres!$A$1:$I$89,5,0)</f>
        <v>352.27459999999957</v>
      </c>
      <c r="P130" s="13">
        <f t="shared" si="87"/>
        <v>82.030698277048387</v>
      </c>
      <c r="Q130" s="20">
        <f t="shared" si="107"/>
        <v>756.41506116585845</v>
      </c>
      <c r="R130" s="59">
        <f t="shared" si="55"/>
        <v>1049.7483944991918</v>
      </c>
      <c r="S130" s="59">
        <f ca="1">AVERAGE(OFFSET($R$3,0,0,'Données projet'!$E$9+1,1))-AVERAGE(OFFSET($H$3,0,0,'Données projet'!$E$9+1,1))</f>
        <v>309.07357540707869</v>
      </c>
      <c r="T130" s="59">
        <f t="shared" si="88"/>
        <v>155.9593924683299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7.1730769230769287</v>
      </c>
      <c r="AI130" s="13">
        <f>IF('Données projet'!$A$62&gt;35,AI129+AH130-AQ129,IF(A130&lt;'Données projet'!$A$62,$AF$205^A130,IF(A130='Données projet'!$A$62,'Données projet'!$B$62,AI129+AH130-AQ129)))</f>
        <v>389.33974358974308</v>
      </c>
      <c r="AJ130" s="13">
        <f>AI130*VLOOKUP('Données projet'!$B$10,Paramètres!$A$1:$I$89,3,0)*VLOOKUP('Données projet'!$B$10,Paramètres!$A$1:$I$89,5,0)</f>
        <v>376.56939999999952</v>
      </c>
      <c r="AK130" s="13">
        <f t="shared" si="89"/>
        <v>87.009912151874218</v>
      </c>
      <c r="AL130" s="20">
        <f t="shared" si="58"/>
        <v>807.40063533118018</v>
      </c>
      <c r="AM130" s="59">
        <f t="shared" si="59"/>
        <v>1100.7339686645134</v>
      </c>
      <c r="AN130" s="59">
        <f ca="1">AVERAGE(OFFSET($AM$3,0,0,'Données projet'!$E$10+1,1))-AVERAGE(OFFSET($H$3,0,0,'Données projet'!$E$10+1,1))</f>
        <v>340.4659523898373</v>
      </c>
      <c r="AO130" s="59">
        <f t="shared" si="90"/>
        <v>170.54530785680572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1.3670842236024327E-14</v>
      </c>
      <c r="BF130" s="13">
        <f t="shared" si="91"/>
        <v>2.5890519619727347E-13</v>
      </c>
      <c r="BG130" s="20">
        <f t="shared" si="61"/>
        <v>4.7473660027132696E-13</v>
      </c>
      <c r="BH130" s="59">
        <f t="shared" si="62"/>
        <v>293.33333333333377</v>
      </c>
      <c r="BI130" s="59">
        <f ca="1">AVERAGE(OFFSET($BH$3,0,0,'Données projet'!$E$11+1,1))-AVERAGE(OFFSET($H$3,0,0,'Données projet'!$E$11+1,1))</f>
        <v>162.52375757962767</v>
      </c>
      <c r="BJ130" s="59">
        <f t="shared" si="92"/>
        <v>162.18047435246194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7.1730769230769287</v>
      </c>
      <c r="N131" s="13">
        <f>IF('Données projet'!$A$36&gt;35,N130+M131-V130,IF(A131&lt;'Données projet'!$A$36,$K$205^A131,IF(A131='Données projet'!$A$36,'Données projet'!$B$36,N130+M131-V130)))</f>
        <v>396.51282051281999</v>
      </c>
      <c r="O131" s="13">
        <f>N131*VLOOKUP('Données projet'!$B$9,Paramètres!$A$1:$I$89,3,0)*VLOOKUP('Données projet'!$B$9,Paramètres!$A$1:$I$89,5,0)</f>
        <v>358.76479999999952</v>
      </c>
      <c r="P131" s="13">
        <f t="shared" si="87"/>
        <v>83.364668405580957</v>
      </c>
      <c r="Q131" s="20">
        <f t="shared" ref="Q131:Q153" si="108">(O131+P131)*0.475*44/12</f>
        <v>770.04215747305261</v>
      </c>
      <c r="R131" s="59">
        <f t="shared" ref="R131:R194" si="109">Q131+(I131+J131)*44/12</f>
        <v>1063.3754908063859</v>
      </c>
      <c r="S131" s="59">
        <f ca="1">AVERAGE(OFFSET($R$3,0,0,'Données projet'!$E$9+1,1))-AVERAGE(OFFSET($H$3,0,0,'Données projet'!$E$9+1,1))</f>
        <v>309.07357540707869</v>
      </c>
      <c r="T131" s="59">
        <f t="shared" si="88"/>
        <v>155.9593924683299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7.1730769230769287</v>
      </c>
      <c r="AI131" s="13">
        <f>IF('Données projet'!$A$62&gt;35,AI130+AH131-AQ130,IF(A131&lt;'Données projet'!$A$62,$AF$205^A131,IF(A131='Données projet'!$A$62,'Données projet'!$B$62,AI130+AH131-AQ130)))</f>
        <v>396.51282051281999</v>
      </c>
      <c r="AJ131" s="13">
        <f>AI131*VLOOKUP('Données projet'!$B$10,Paramètres!$A$1:$I$89,3,0)*VLOOKUP('Données projet'!$B$10,Paramètres!$A$1:$I$89,5,0)</f>
        <v>383.5071999999995</v>
      </c>
      <c r="AK131" s="13">
        <f t="shared" si="89"/>
        <v>88.424853462075461</v>
      </c>
      <c r="AL131" s="20">
        <f t="shared" si="58"/>
        <v>821.94832644644737</v>
      </c>
      <c r="AM131" s="59">
        <f t="shared" si="59"/>
        <v>1115.2816597797807</v>
      </c>
      <c r="AN131" s="59">
        <f ca="1">AVERAGE(OFFSET($AM$3,0,0,'Données projet'!$E$10+1,1))-AVERAGE(OFFSET($H$3,0,0,'Données projet'!$E$10+1,1))</f>
        <v>340.4659523898373</v>
      </c>
      <c r="AO131" s="59">
        <f t="shared" si="90"/>
        <v>170.54530785680572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1.3670842236024327E-14</v>
      </c>
      <c r="BF131" s="13">
        <f t="shared" si="91"/>
        <v>2.5890519619727347E-13</v>
      </c>
      <c r="BG131" s="20">
        <f t="shared" si="61"/>
        <v>4.7473660027132696E-13</v>
      </c>
      <c r="BH131" s="59">
        <f t="shared" si="62"/>
        <v>293.33333333333377</v>
      </c>
      <c r="BI131" s="59">
        <f ca="1">AVERAGE(OFFSET($BH$3,0,0,'Données projet'!$E$11+1,1))-AVERAGE(OFFSET($H$3,0,0,'Données projet'!$E$11+1,1))</f>
        <v>162.52375757962767</v>
      </c>
      <c r="BJ131" s="59">
        <f t="shared" si="92"/>
        <v>162.18047435246194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7.1730769230769287</v>
      </c>
      <c r="N132" s="13">
        <f>IF('Données projet'!$A$36&gt;35,N131+M132-V131,IF(A132&lt;'Données projet'!$A$36,$K$205^A132,IF(A132='Données projet'!$A$36,'Données projet'!$B$36,N131+M132-V131)))</f>
        <v>403.68589743589689</v>
      </c>
      <c r="O132" s="13">
        <f>N132*VLOOKUP('Données projet'!$B$9,Paramètres!$A$1:$I$89,3,0)*VLOOKUP('Données projet'!$B$9,Paramètres!$A$1:$I$89,5,0)</f>
        <v>365.25499999999948</v>
      </c>
      <c r="P132" s="13">
        <f t="shared" si="87"/>
        <v>84.695832356146539</v>
      </c>
      <c r="Q132" s="20">
        <f t="shared" si="108"/>
        <v>783.66436635362095</v>
      </c>
      <c r="R132" s="59">
        <f t="shared" si="109"/>
        <v>1076.9976996869543</v>
      </c>
      <c r="S132" s="59">
        <f ca="1">AVERAGE(OFFSET($R$3,0,0,'Données projet'!$E$9+1,1))-AVERAGE(OFFSET($H$3,0,0,'Données projet'!$E$9+1,1))</f>
        <v>309.07357540707869</v>
      </c>
      <c r="T132" s="59">
        <f t="shared" si="88"/>
        <v>155.9593924683299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7.1730769230769287</v>
      </c>
      <c r="AI132" s="13">
        <f>IF('Données projet'!$A$62&gt;35,AI131+AH132-AQ131,IF(A132&lt;'Données projet'!$A$62,$AF$205^A132,IF(A132='Données projet'!$A$62,'Données projet'!$B$62,AI131+AH132-AQ131)))</f>
        <v>403.68589743589689</v>
      </c>
      <c r="AJ132" s="13">
        <f>AI132*VLOOKUP('Données projet'!$B$10,Paramètres!$A$1:$I$89,3,0)*VLOOKUP('Données projet'!$B$10,Paramètres!$A$1:$I$89,5,0)</f>
        <v>390.44499999999948</v>
      </c>
      <c r="AK132" s="13">
        <f t="shared" si="89"/>
        <v>89.836818261000658</v>
      </c>
      <c r="AL132" s="20">
        <f t="shared" ref="AL132:AL153" si="112">(AJ132+AK132)*0.475*44/12</f>
        <v>836.49083347124179</v>
      </c>
      <c r="AM132" s="59">
        <f t="shared" ref="AM132:AM195" si="113">AL132+(AD132+AE132)*44/12</f>
        <v>1129.824166804575</v>
      </c>
      <c r="AN132" s="59">
        <f ca="1">AVERAGE(OFFSET($AM$3,0,0,'Données projet'!$E$10+1,1))-AVERAGE(OFFSET($H$3,0,0,'Données projet'!$E$10+1,1))</f>
        <v>340.4659523898373</v>
      </c>
      <c r="AO132" s="59">
        <f t="shared" si="90"/>
        <v>170.54530785680572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1.3670842236024327E-14</v>
      </c>
      <c r="BF132" s="13">
        <f t="shared" si="91"/>
        <v>2.5890519619727347E-13</v>
      </c>
      <c r="BG132" s="20">
        <f t="shared" ref="BG132:BG153" si="115">(BE132+BF132)*0.475*44/12</f>
        <v>4.7473660027132696E-13</v>
      </c>
      <c r="BH132" s="59">
        <f t="shared" ref="BH132:BH195" si="116">BG132+(AY132+AZ132)*44/12</f>
        <v>293.33333333333377</v>
      </c>
      <c r="BI132" s="59">
        <f ca="1">AVERAGE(OFFSET($BH$3,0,0,'Données projet'!$E$11+1,1))-AVERAGE(OFFSET($H$3,0,0,'Données projet'!$E$11+1,1))</f>
        <v>162.52375757962767</v>
      </c>
      <c r="BJ132" s="59">
        <f t="shared" si="92"/>
        <v>162.18047435246194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>
        <f>VLOOKUP(A133,'Données projet'!$A$35:$I$55,2,0)</f>
        <v>410.85897435897436</v>
      </c>
      <c r="L133" s="12">
        <f>VLOOKUP(A133,'Données projet'!$A$35:$I$55,9,0)</f>
        <v>7.1730769230769287</v>
      </c>
      <c r="M133" s="12">
        <f t="array" ref="M133">INDEX(L:L,MIN(IF(ISNUMBER(L133:L329),ROW(L133:L329),"")))</f>
        <v>7.1730769230769287</v>
      </c>
      <c r="N133" s="13">
        <f>IF('Données projet'!$A$36&gt;35,N132+M133-V132,IF(A133&lt;'Données projet'!$A$36,$K$205^A133,IF(A133='Données projet'!$A$36,'Données projet'!$B$36,N132+M133-V132)))</f>
        <v>410.8589743589738</v>
      </c>
      <c r="O133" s="13">
        <f>N133*VLOOKUP('Données projet'!$B$9,Paramètres!$A$1:$I$89,3,0)*VLOOKUP('Données projet'!$B$9,Paramètres!$A$1:$I$89,5,0)</f>
        <v>371.7451999999995</v>
      </c>
      <c r="P133" s="13">
        <f t="shared" ref="P133:P196" si="141">EXP(-1.0587+0.8836*LN(O133)+0.284)</f>
        <v>86.024245744005782</v>
      </c>
      <c r="Q133" s="20">
        <f t="shared" si="108"/>
        <v>797.28178467080909</v>
      </c>
      <c r="R133" s="59">
        <f t="shared" si="109"/>
        <v>1090.6151180041425</v>
      </c>
      <c r="S133" s="59">
        <f ca="1">AVERAGE(OFFSET($R$3,0,0,'Données projet'!$E$9+1,1))-AVERAGE(OFFSET($H$3,0,0,'Données projet'!$E$9+1,1))</f>
        <v>309.07357540707869</v>
      </c>
      <c r="T133" s="59">
        <f t="shared" ref="T133:T196" si="142">$T$3</f>
        <v>155.9593924683299</v>
      </c>
      <c r="U133" s="15">
        <f>IF(ISNA(VLOOKUP(A133,'Données projet'!$A$35:$I$55,3,0)),0,VLOOKUP(A133,'Données projet'!$A$35:$I$55,3,0))</f>
        <v>12</v>
      </c>
      <c r="V133" s="15">
        <f>IF(ISNA(VLOOKUP(A133,'Données projet'!$A$35:$I$55,4,0)),0,VLOOKUP(A133,'Données projet'!$A$35:$I$55,4,0))</f>
        <v>51.378205128205131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410.85897435897436</v>
      </c>
      <c r="AG133" s="12">
        <f>VLOOKUP(A133,'Données projet'!$A$61:$I$81,9,0)</f>
        <v>7.1730769230769287</v>
      </c>
      <c r="AH133" s="12">
        <f t="array" ref="AH133">INDEX(AG:AG,MIN(IF(ISNUMBER(AG133:AG329),ROW(AG133:AG329),"")))</f>
        <v>7.1730769230769287</v>
      </c>
      <c r="AI133" s="13">
        <f>IF('Données projet'!$A$62&gt;35,AI132+AH133-AQ132,IF(A133&lt;'Données projet'!$A$62,$AF$205^A133,IF(A133='Données projet'!$A$62,'Données projet'!$B$62,AI132+AH133-AQ132)))</f>
        <v>410.8589743589738</v>
      </c>
      <c r="AJ133" s="13">
        <f>AI133*VLOOKUP('Données projet'!$B$10,Paramètres!$A$1:$I$89,3,0)*VLOOKUP('Données projet'!$B$10,Paramètres!$A$1:$I$89,5,0)</f>
        <v>397.38279999999946</v>
      </c>
      <c r="AK133" s="13">
        <f t="shared" ref="AK133:AK153" si="143">EXP(-1.0587+0.8836*LN(AJ133)+0.284)</f>
        <v>91.245865539723368</v>
      </c>
      <c r="AL133" s="20">
        <f t="shared" si="112"/>
        <v>851.02825914835046</v>
      </c>
      <c r="AM133" s="59">
        <f t="shared" si="113"/>
        <v>1144.3615924816838</v>
      </c>
      <c r="AN133" s="59">
        <f ca="1">AVERAGE(OFFSET($AM$3,0,0,'Données projet'!$E$10+1,1))-AVERAGE(OFFSET($H$3,0,0,'Données projet'!$E$10+1,1))</f>
        <v>340.4659523898373</v>
      </c>
      <c r="AO133" s="59">
        <f t="shared" ref="AO133:AO196" si="144">$AO$3</f>
        <v>170.54530785680572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51.378205128205131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1.3670842236024327E-14</v>
      </c>
      <c r="BF133" s="13">
        <f t="shared" ref="BF133:BF153" si="145">EXP(-1.0587+0.8836*LN(BE133)+0.284)</f>
        <v>2.5890519619727347E-13</v>
      </c>
      <c r="BG133" s="20">
        <f t="shared" si="115"/>
        <v>4.7473660027132696E-13</v>
      </c>
      <c r="BH133" s="59">
        <f t="shared" si="116"/>
        <v>293.33333333333377</v>
      </c>
      <c r="BI133" s="59">
        <f ca="1">AVERAGE(OFFSET($BH$3,0,0,'Données projet'!$E$11+1,1))-AVERAGE(OFFSET($H$3,0,0,'Données projet'!$E$11+1,1))</f>
        <v>162.52375757962767</v>
      </c>
      <c r="BJ133" s="59">
        <f t="shared" ref="BJ133:BJ196" si="146">$BJ$3</f>
        <v>162.18047435246194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7.2230769230769223</v>
      </c>
      <c r="N134" s="13">
        <f>IF('Données projet'!$A$36&gt;35,N133+M134-V133,IF(A134&lt;'Données projet'!$A$36,$K$205^A134,IF(A134='Données projet'!$A$36,'Données projet'!$B$36,N133+M134-V133)))</f>
        <v>366.70384615384557</v>
      </c>
      <c r="O134" s="13">
        <f>N134*VLOOKUP('Données projet'!$B$9,Paramètres!$A$1:$I$89,3,0)*VLOOKUP('Données projet'!$B$9,Paramètres!$A$1:$I$89,5,0)</f>
        <v>331.79363999999947</v>
      </c>
      <c r="P134" s="13">
        <f t="shared" si="141"/>
        <v>77.802057109037236</v>
      </c>
      <c r="Q134" s="20">
        <f t="shared" si="108"/>
        <v>713.37917246490554</v>
      </c>
      <c r="R134" s="59">
        <f t="shared" si="109"/>
        <v>1006.7125057982389</v>
      </c>
      <c r="S134" s="59">
        <f ca="1">AVERAGE(OFFSET($R$3,0,0,'Données projet'!$E$9+1,1))-AVERAGE(OFFSET($H$3,0,0,'Données projet'!$E$9+1,1))</f>
        <v>309.07357540707869</v>
      </c>
      <c r="T134" s="59">
        <f t="shared" si="142"/>
        <v>155.9593924683299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7.2230769230769223</v>
      </c>
      <c r="AI134" s="13">
        <f>IF('Données projet'!$A$62&gt;35,AI133+AH134-AQ133,IF(A134&lt;'Données projet'!$A$62,$AF$205^A134,IF(A134='Données projet'!$A$62,'Données projet'!$B$62,AI133+AH134-AQ133)))</f>
        <v>366.70384615384557</v>
      </c>
      <c r="AJ134" s="13">
        <f>AI134*VLOOKUP('Données projet'!$B$10,Paramètres!$A$1:$I$89,3,0)*VLOOKUP('Données projet'!$B$10,Paramètres!$A$1:$I$89,5,0)</f>
        <v>354.67595999999946</v>
      </c>
      <c r="AK134" s="13">
        <f t="shared" si="143"/>
        <v>82.524595017210814</v>
      </c>
      <c r="AL134" s="20">
        <f t="shared" si="112"/>
        <v>761.45763332164108</v>
      </c>
      <c r="AM134" s="59">
        <f t="shared" si="113"/>
        <v>1054.7909666549745</v>
      </c>
      <c r="AN134" s="59">
        <f ca="1">AVERAGE(OFFSET($AM$3,0,0,'Données projet'!$E$10+1,1))-AVERAGE(OFFSET($H$3,0,0,'Données projet'!$E$10+1,1))</f>
        <v>340.4659523898373</v>
      </c>
      <c r="AO134" s="59">
        <f t="shared" si="144"/>
        <v>170.54530785680572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1.3670842236024327E-14</v>
      </c>
      <c r="BF134" s="13">
        <f t="shared" si="145"/>
        <v>2.5890519619727347E-13</v>
      </c>
      <c r="BG134" s="20">
        <f t="shared" si="115"/>
        <v>4.7473660027132696E-13</v>
      </c>
      <c r="BH134" s="59">
        <f t="shared" si="116"/>
        <v>293.33333333333377</v>
      </c>
      <c r="BI134" s="59">
        <f ca="1">AVERAGE(OFFSET($BH$3,0,0,'Données projet'!$E$11+1,1))-AVERAGE(OFFSET($H$3,0,0,'Données projet'!$E$11+1,1))</f>
        <v>162.52375757962767</v>
      </c>
      <c r="BJ134" s="59">
        <f t="shared" si="146"/>
        <v>162.18047435246194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7.2230769230769223</v>
      </c>
      <c r="N135" s="13">
        <f>IF('Données projet'!$A$36&gt;35,N134+M135-V134,IF(A135&lt;'Données projet'!$A$36,$K$205^A135,IF(A135='Données projet'!$A$36,'Données projet'!$B$36,N134+M135-V134)))</f>
        <v>373.92692307692249</v>
      </c>
      <c r="O135" s="13">
        <f>N135*VLOOKUP('Données projet'!$B$9,Paramètres!$A$1:$I$89,3,0)*VLOOKUP('Données projet'!$B$9,Paramètres!$A$1:$I$89,5,0)</f>
        <v>338.32907999999946</v>
      </c>
      <c r="P135" s="13">
        <f t="shared" si="141"/>
        <v>79.154624848228366</v>
      </c>
      <c r="Q135" s="20">
        <f t="shared" si="108"/>
        <v>727.11745261066346</v>
      </c>
      <c r="R135" s="59">
        <f t="shared" si="109"/>
        <v>1020.4507859439968</v>
      </c>
      <c r="S135" s="59">
        <f ca="1">AVERAGE(OFFSET($R$3,0,0,'Données projet'!$E$9+1,1))-AVERAGE(OFFSET($H$3,0,0,'Données projet'!$E$9+1,1))</f>
        <v>309.07357540707869</v>
      </c>
      <c r="T135" s="59">
        <f t="shared" si="142"/>
        <v>155.9593924683299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7.2230769230769223</v>
      </c>
      <c r="AI135" s="13">
        <f>IF('Données projet'!$A$62&gt;35,AI134+AH135-AQ134,IF(A135&lt;'Données projet'!$A$62,$AF$205^A135,IF(A135='Données projet'!$A$62,'Données projet'!$B$62,AI134+AH135-AQ134)))</f>
        <v>373.92692307692249</v>
      </c>
      <c r="AJ135" s="13">
        <f>AI135*VLOOKUP('Données projet'!$B$10,Paramètres!$A$1:$I$89,3,0)*VLOOKUP('Données projet'!$B$10,Paramètres!$A$1:$I$89,5,0)</f>
        <v>361.66211999999945</v>
      </c>
      <c r="AK135" s="13">
        <f t="shared" si="143"/>
        <v>83.959262801812699</v>
      </c>
      <c r="AL135" s="20">
        <f t="shared" si="112"/>
        <v>776.12390837982286</v>
      </c>
      <c r="AM135" s="59">
        <f t="shared" si="113"/>
        <v>1069.4572417131562</v>
      </c>
      <c r="AN135" s="59">
        <f ca="1">AVERAGE(OFFSET($AM$3,0,0,'Données projet'!$E$10+1,1))-AVERAGE(OFFSET($H$3,0,0,'Données projet'!$E$10+1,1))</f>
        <v>340.4659523898373</v>
      </c>
      <c r="AO135" s="59">
        <f t="shared" si="144"/>
        <v>170.54530785680572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1.3670842236024327E-14</v>
      </c>
      <c r="BF135" s="13">
        <f t="shared" si="145"/>
        <v>2.5890519619727347E-13</v>
      </c>
      <c r="BG135" s="20">
        <f t="shared" si="115"/>
        <v>4.7473660027132696E-13</v>
      </c>
      <c r="BH135" s="59">
        <f t="shared" si="116"/>
        <v>293.33333333333377</v>
      </c>
      <c r="BI135" s="59">
        <f ca="1">AVERAGE(OFFSET($BH$3,0,0,'Données projet'!$E$11+1,1))-AVERAGE(OFFSET($H$3,0,0,'Données projet'!$E$11+1,1))</f>
        <v>162.52375757962767</v>
      </c>
      <c r="BJ135" s="59">
        <f t="shared" si="146"/>
        <v>162.18047435246194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7.2230769230769223</v>
      </c>
      <c r="N136" s="13">
        <f>IF('Données projet'!$A$36&gt;35,N135+M136-V135,IF(A136&lt;'Données projet'!$A$36,$K$205^A136,IF(A136='Données projet'!$A$36,'Données projet'!$B$36,N135+M136-V135)))</f>
        <v>381.14999999999941</v>
      </c>
      <c r="O136" s="13">
        <f>N136*VLOOKUP('Données projet'!$B$9,Paramètres!$A$1:$I$89,3,0)*VLOOKUP('Données projet'!$B$9,Paramètres!$A$1:$I$89,5,0)</f>
        <v>344.86451999999946</v>
      </c>
      <c r="P136" s="13">
        <f t="shared" si="141"/>
        <v>80.504154586493371</v>
      </c>
      <c r="Q136" s="20">
        <f t="shared" si="108"/>
        <v>740.85044157147502</v>
      </c>
      <c r="R136" s="59">
        <f t="shared" si="109"/>
        <v>1034.1837749048084</v>
      </c>
      <c r="S136" s="59">
        <f ca="1">AVERAGE(OFFSET($R$3,0,0,'Données projet'!$E$9+1,1))-AVERAGE(OFFSET($H$3,0,0,'Données projet'!$E$9+1,1))</f>
        <v>309.07357540707869</v>
      </c>
      <c r="T136" s="59">
        <f t="shared" si="142"/>
        <v>155.9593924683299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7.2230769230769223</v>
      </c>
      <c r="AI136" s="13">
        <f>IF('Données projet'!$A$62&gt;35,AI135+AH136-AQ135,IF(A136&lt;'Données projet'!$A$62,$AF$205^A136,IF(A136='Données projet'!$A$62,'Données projet'!$B$62,AI135+AH136-AQ135)))</f>
        <v>381.14999999999941</v>
      </c>
      <c r="AJ136" s="13">
        <f>AI136*VLOOKUP('Données projet'!$B$10,Paramètres!$A$1:$I$89,3,0)*VLOOKUP('Données projet'!$B$10,Paramètres!$A$1:$I$89,5,0)</f>
        <v>368.64827999999943</v>
      </c>
      <c r="AK136" s="13">
        <f t="shared" si="143"/>
        <v>85.390708180665868</v>
      </c>
      <c r="AL136" s="20">
        <f t="shared" si="112"/>
        <v>790.78457108132534</v>
      </c>
      <c r="AM136" s="59">
        <f t="shared" si="113"/>
        <v>1084.1179044146586</v>
      </c>
      <c r="AN136" s="59">
        <f ca="1">AVERAGE(OFFSET($AM$3,0,0,'Données projet'!$E$10+1,1))-AVERAGE(OFFSET($H$3,0,0,'Données projet'!$E$10+1,1))</f>
        <v>340.4659523898373</v>
      </c>
      <c r="AO136" s="59">
        <f t="shared" si="144"/>
        <v>170.54530785680572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1.3670842236024327E-14</v>
      </c>
      <c r="BF136" s="13">
        <f t="shared" si="145"/>
        <v>2.5890519619727347E-13</v>
      </c>
      <c r="BG136" s="20">
        <f t="shared" si="115"/>
        <v>4.7473660027132696E-13</v>
      </c>
      <c r="BH136" s="59">
        <f t="shared" si="116"/>
        <v>293.33333333333377</v>
      </c>
      <c r="BI136" s="59">
        <f ca="1">AVERAGE(OFFSET($BH$3,0,0,'Données projet'!$E$11+1,1))-AVERAGE(OFFSET($H$3,0,0,'Données projet'!$E$11+1,1))</f>
        <v>162.52375757962767</v>
      </c>
      <c r="BJ136" s="59">
        <f t="shared" si="146"/>
        <v>162.18047435246194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7.2230769230769223</v>
      </c>
      <c r="N137" s="13">
        <f>IF('Données projet'!$A$36&gt;35,N136+M137-V136,IF(A137&lt;'Données projet'!$A$36,$K$205^A137,IF(A137='Données projet'!$A$36,'Données projet'!$B$36,N136+M137-V136)))</f>
        <v>388.37307692307633</v>
      </c>
      <c r="O137" s="13">
        <f>N137*VLOOKUP('Données projet'!$B$9,Paramètres!$A$1:$I$89,3,0)*VLOOKUP('Données projet'!$B$9,Paramètres!$A$1:$I$89,5,0)</f>
        <v>351.39995999999945</v>
      </c>
      <c r="P137" s="13">
        <f t="shared" si="141"/>
        <v>81.85071053455772</v>
      </c>
      <c r="Q137" s="20">
        <f t="shared" si="108"/>
        <v>754.57825118102039</v>
      </c>
      <c r="R137" s="59">
        <f t="shared" si="109"/>
        <v>1047.9115845143538</v>
      </c>
      <c r="S137" s="59">
        <f ca="1">AVERAGE(OFFSET($R$3,0,0,'Données projet'!$E$9+1,1))-AVERAGE(OFFSET($H$3,0,0,'Données projet'!$E$9+1,1))</f>
        <v>309.07357540707869</v>
      </c>
      <c r="T137" s="59">
        <f t="shared" si="142"/>
        <v>155.9593924683299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7.2230769230769223</v>
      </c>
      <c r="AI137" s="13">
        <f>IF('Données projet'!$A$62&gt;35,AI136+AH137-AQ136,IF(A137&lt;'Données projet'!$A$62,$AF$205^A137,IF(A137='Données projet'!$A$62,'Données projet'!$B$62,AI136+AH137-AQ136)))</f>
        <v>388.37307692307633</v>
      </c>
      <c r="AJ137" s="13">
        <f>AI137*VLOOKUP('Données projet'!$B$10,Paramètres!$A$1:$I$89,3,0)*VLOOKUP('Données projet'!$B$10,Paramètres!$A$1:$I$89,5,0)</f>
        <v>375.63443999999947</v>
      </c>
      <c r="AK137" s="13">
        <f t="shared" si="143"/>
        <v>86.818999262048067</v>
      </c>
      <c r="AL137" s="20">
        <f t="shared" si="112"/>
        <v>805.43974004806614</v>
      </c>
      <c r="AM137" s="59">
        <f t="shared" si="113"/>
        <v>1098.7730733813994</v>
      </c>
      <c r="AN137" s="59">
        <f ca="1">AVERAGE(OFFSET($AM$3,0,0,'Données projet'!$E$10+1,1))-AVERAGE(OFFSET($H$3,0,0,'Données projet'!$E$10+1,1))</f>
        <v>340.4659523898373</v>
      </c>
      <c r="AO137" s="59">
        <f t="shared" si="144"/>
        <v>170.54530785680572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1.3670842236024327E-14</v>
      </c>
      <c r="BF137" s="13">
        <f t="shared" si="145"/>
        <v>2.5890519619727347E-13</v>
      </c>
      <c r="BG137" s="20">
        <f t="shared" si="115"/>
        <v>4.7473660027132696E-13</v>
      </c>
      <c r="BH137" s="59">
        <f t="shared" si="116"/>
        <v>293.33333333333377</v>
      </c>
      <c r="BI137" s="59">
        <f ca="1">AVERAGE(OFFSET($BH$3,0,0,'Données projet'!$E$11+1,1))-AVERAGE(OFFSET($H$3,0,0,'Données projet'!$E$11+1,1))</f>
        <v>162.52375757962767</v>
      </c>
      <c r="BJ137" s="59">
        <f t="shared" si="146"/>
        <v>162.18047435246194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7.2230769230769223</v>
      </c>
      <c r="N138" s="13">
        <f>IF('Données projet'!$A$36&gt;35,N137+M138-V137,IF(A138&lt;'Données projet'!$A$36,$K$205^A138,IF(A138='Données projet'!$A$36,'Données projet'!$B$36,N137+M138-V137)))</f>
        <v>395.59615384615324</v>
      </c>
      <c r="O138" s="13">
        <f>N138*VLOOKUP('Données projet'!$B$9,Paramètres!$A$1:$I$89,3,0)*VLOOKUP('Données projet'!$B$9,Paramètres!$A$1:$I$89,5,0)</f>
        <v>357.93539999999945</v>
      </c>
      <c r="P138" s="13">
        <f t="shared" si="141"/>
        <v>83.194354378018602</v>
      </c>
      <c r="Q138" s="20">
        <f t="shared" si="108"/>
        <v>768.30098887504801</v>
      </c>
      <c r="R138" s="59">
        <f t="shared" si="109"/>
        <v>1061.6343222083813</v>
      </c>
      <c r="S138" s="59">
        <f ca="1">AVERAGE(OFFSET($R$3,0,0,'Données projet'!$E$9+1,1))-AVERAGE(OFFSET($H$3,0,0,'Données projet'!$E$9+1,1))</f>
        <v>309.07357540707869</v>
      </c>
      <c r="T138" s="59">
        <f t="shared" si="142"/>
        <v>155.9593924683299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7.2230769230769223</v>
      </c>
      <c r="AI138" s="13">
        <f>IF('Données projet'!$A$62&gt;35,AI137+AH138-AQ137,IF(A138&lt;'Données projet'!$A$62,$AF$205^A138,IF(A138='Données projet'!$A$62,'Données projet'!$B$62,AI137+AH138-AQ137)))</f>
        <v>395.59615384615324</v>
      </c>
      <c r="AJ138" s="13">
        <f>AI138*VLOOKUP('Données projet'!$B$10,Paramètres!$A$1:$I$89,3,0)*VLOOKUP('Données projet'!$B$10,Paramètres!$A$1:$I$89,5,0)</f>
        <v>382.6205999999994</v>
      </c>
      <c r="AK138" s="13">
        <f t="shared" si="143"/>
        <v>88.244201475835013</v>
      </c>
      <c r="AL138" s="20">
        <f t="shared" si="112"/>
        <v>820.08952923707818</v>
      </c>
      <c r="AM138" s="59">
        <f t="shared" si="113"/>
        <v>1113.4228625704116</v>
      </c>
      <c r="AN138" s="59">
        <f ca="1">AVERAGE(OFFSET($AM$3,0,0,'Données projet'!$E$10+1,1))-AVERAGE(OFFSET($H$3,0,0,'Données projet'!$E$10+1,1))</f>
        <v>340.4659523898373</v>
      </c>
      <c r="AO138" s="59">
        <f t="shared" si="144"/>
        <v>170.54530785680572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1.3670842236024327E-14</v>
      </c>
      <c r="BF138" s="13">
        <f t="shared" si="145"/>
        <v>2.5890519619727347E-13</v>
      </c>
      <c r="BG138" s="20">
        <f t="shared" si="115"/>
        <v>4.7473660027132696E-13</v>
      </c>
      <c r="BH138" s="59">
        <f t="shared" si="116"/>
        <v>293.33333333333377</v>
      </c>
      <c r="BI138" s="59">
        <f ca="1">AVERAGE(OFFSET($BH$3,0,0,'Données projet'!$E$11+1,1))-AVERAGE(OFFSET($H$3,0,0,'Données projet'!$E$11+1,1))</f>
        <v>162.52375757962767</v>
      </c>
      <c r="BJ138" s="59">
        <f t="shared" si="146"/>
        <v>162.18047435246194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7.2230769230769223</v>
      </c>
      <c r="N139" s="13">
        <f>IF('Données projet'!$A$36&gt;35,N138+M139-V138,IF(A139&lt;'Données projet'!$A$36,$K$205^A139,IF(A139='Données projet'!$A$36,'Données projet'!$B$36,N138+M139-V138)))</f>
        <v>402.81923076923016</v>
      </c>
      <c r="O139" s="13">
        <f>N139*VLOOKUP('Données projet'!$B$9,Paramètres!$A$1:$I$89,3,0)*VLOOKUP('Données projet'!$B$9,Paramètres!$A$1:$I$89,5,0)</f>
        <v>364.47083999999944</v>
      </c>
      <c r="P139" s="13">
        <f t="shared" si="141"/>
        <v>84.535145420907739</v>
      </c>
      <c r="Q139" s="20">
        <f t="shared" si="108"/>
        <v>782.01875794141324</v>
      </c>
      <c r="R139" s="59">
        <f t="shared" si="109"/>
        <v>1075.3520912747465</v>
      </c>
      <c r="S139" s="59">
        <f ca="1">AVERAGE(OFFSET($R$3,0,0,'Données projet'!$E$9+1,1))-AVERAGE(OFFSET($H$3,0,0,'Données projet'!$E$9+1,1))</f>
        <v>309.07357540707869</v>
      </c>
      <c r="T139" s="59">
        <f t="shared" si="142"/>
        <v>155.9593924683299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7.2230769230769223</v>
      </c>
      <c r="AI139" s="13">
        <f>IF('Données projet'!$A$62&gt;35,AI138+AH139-AQ138,IF(A139&lt;'Données projet'!$A$62,$AF$205^A139,IF(A139='Données projet'!$A$62,'Données projet'!$B$62,AI138+AH139-AQ138)))</f>
        <v>402.81923076923016</v>
      </c>
      <c r="AJ139" s="13">
        <f>AI139*VLOOKUP('Données projet'!$B$10,Paramètres!$A$1:$I$89,3,0)*VLOOKUP('Données projet'!$B$10,Paramètres!$A$1:$I$89,5,0)</f>
        <v>389.60675999999938</v>
      </c>
      <c r="AK139" s="13">
        <f t="shared" si="143"/>
        <v>89.666377725777423</v>
      </c>
      <c r="AL139" s="20">
        <f t="shared" si="112"/>
        <v>834.73404820572796</v>
      </c>
      <c r="AM139" s="59">
        <f t="shared" si="113"/>
        <v>1128.0673815390612</v>
      </c>
      <c r="AN139" s="59">
        <f ca="1">AVERAGE(OFFSET($AM$3,0,0,'Données projet'!$E$10+1,1))-AVERAGE(OFFSET($H$3,0,0,'Données projet'!$E$10+1,1))</f>
        <v>340.4659523898373</v>
      </c>
      <c r="AO139" s="59">
        <f t="shared" si="144"/>
        <v>170.54530785680572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1.3670842236024327E-14</v>
      </c>
      <c r="BF139" s="13">
        <f t="shared" si="145"/>
        <v>2.5890519619727347E-13</v>
      </c>
      <c r="BG139" s="20">
        <f t="shared" si="115"/>
        <v>4.7473660027132696E-13</v>
      </c>
      <c r="BH139" s="59">
        <f t="shared" si="116"/>
        <v>293.33333333333377</v>
      </c>
      <c r="BI139" s="59">
        <f ca="1">AVERAGE(OFFSET($BH$3,0,0,'Données projet'!$E$11+1,1))-AVERAGE(OFFSET($H$3,0,0,'Données projet'!$E$11+1,1))</f>
        <v>162.52375757962767</v>
      </c>
      <c r="BJ139" s="59">
        <f t="shared" si="146"/>
        <v>162.18047435246194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7.2230769230769223</v>
      </c>
      <c r="N140" s="13">
        <f>IF('Données projet'!$A$36&gt;35,N139+M140-V139,IF(A140&lt;'Données projet'!$A$36,$K$205^A140,IF(A140='Données projet'!$A$36,'Données projet'!$B$36,N139+M140-V139)))</f>
        <v>410.04230769230708</v>
      </c>
      <c r="O140" s="13">
        <f>N140*VLOOKUP('Données projet'!$B$9,Paramètres!$A$1:$I$89,3,0)*VLOOKUP('Données projet'!$B$9,Paramètres!$A$1:$I$89,5,0)</f>
        <v>371.00627999999944</v>
      </c>
      <c r="P140" s="13">
        <f t="shared" si="141"/>
        <v>85.873140718665468</v>
      </c>
      <c r="Q140" s="20">
        <f t="shared" si="108"/>
        <v>795.73165775167456</v>
      </c>
      <c r="R140" s="59">
        <f t="shared" si="109"/>
        <v>1089.0649910850079</v>
      </c>
      <c r="S140" s="59">
        <f ca="1">AVERAGE(OFFSET($R$3,0,0,'Données projet'!$E$9+1,1))-AVERAGE(OFFSET($H$3,0,0,'Données projet'!$E$9+1,1))</f>
        <v>309.07357540707869</v>
      </c>
      <c r="T140" s="59">
        <f t="shared" si="142"/>
        <v>155.9593924683299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7.2230769230769223</v>
      </c>
      <c r="AI140" s="13">
        <f>IF('Données projet'!$A$62&gt;35,AI139+AH140-AQ139,IF(A140&lt;'Données projet'!$A$62,$AF$205^A140,IF(A140='Données projet'!$A$62,'Données projet'!$B$62,AI139+AH140-AQ139)))</f>
        <v>410.04230769230708</v>
      </c>
      <c r="AJ140" s="13">
        <f>AI140*VLOOKUP('Données projet'!$B$10,Paramètres!$A$1:$I$89,3,0)*VLOOKUP('Données projet'!$B$10,Paramètres!$A$1:$I$89,5,0)</f>
        <v>396.59291999999942</v>
      </c>
      <c r="AK140" s="13">
        <f t="shared" si="143"/>
        <v>91.08558853054619</v>
      </c>
      <c r="AL140" s="20">
        <f t="shared" si="112"/>
        <v>849.37340235736701</v>
      </c>
      <c r="AM140" s="59">
        <f t="shared" si="113"/>
        <v>1142.7067356907003</v>
      </c>
      <c r="AN140" s="59">
        <f ca="1">AVERAGE(OFFSET($AM$3,0,0,'Données projet'!$E$10+1,1))-AVERAGE(OFFSET($H$3,0,0,'Données projet'!$E$10+1,1))</f>
        <v>340.4659523898373</v>
      </c>
      <c r="AO140" s="59">
        <f t="shared" si="144"/>
        <v>170.54530785680572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1.3670842236024327E-14</v>
      </c>
      <c r="BF140" s="13">
        <f t="shared" si="145"/>
        <v>2.5890519619727347E-13</v>
      </c>
      <c r="BG140" s="20">
        <f t="shared" si="115"/>
        <v>4.7473660027132696E-13</v>
      </c>
      <c r="BH140" s="59">
        <f t="shared" si="116"/>
        <v>293.33333333333377</v>
      </c>
      <c r="BI140" s="59">
        <f ca="1">AVERAGE(OFFSET($BH$3,0,0,'Données projet'!$E$11+1,1))-AVERAGE(OFFSET($H$3,0,0,'Données projet'!$E$11+1,1))</f>
        <v>162.52375757962767</v>
      </c>
      <c r="BJ140" s="59">
        <f t="shared" si="146"/>
        <v>162.18047435246194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7.2230769230769223</v>
      </c>
      <c r="N141" s="13">
        <f>IF('Données projet'!$A$36&gt;35,N140+M141-V140,IF(A141&lt;'Données projet'!$A$36,$K$205^A141,IF(A141='Données projet'!$A$36,'Données projet'!$B$36,N140+M141-V140)))</f>
        <v>417.26538461538399</v>
      </c>
      <c r="O141" s="13">
        <f>N141*VLOOKUP('Données projet'!$B$9,Paramètres!$A$1:$I$89,3,0)*VLOOKUP('Données projet'!$B$9,Paramètres!$A$1:$I$89,5,0)</f>
        <v>377.54171999999943</v>
      </c>
      <c r="P141" s="13">
        <f t="shared" si="141"/>
        <v>87.208395201480016</v>
      </c>
      <c r="Q141" s="20">
        <f t="shared" si="108"/>
        <v>809.43978397591002</v>
      </c>
      <c r="R141" s="59">
        <f t="shared" si="109"/>
        <v>1102.7731173092434</v>
      </c>
      <c r="S141" s="59">
        <f ca="1">AVERAGE(OFFSET($R$3,0,0,'Données projet'!$E$9+1,1))-AVERAGE(OFFSET($H$3,0,0,'Données projet'!$E$9+1,1))</f>
        <v>309.07357540707869</v>
      </c>
      <c r="T141" s="59">
        <f t="shared" si="142"/>
        <v>155.9593924683299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7.2230769230769223</v>
      </c>
      <c r="AI141" s="13">
        <f>IF('Données projet'!$A$62&gt;35,AI140+AH141-AQ140,IF(A141&lt;'Données projet'!$A$62,$AF$205^A141,IF(A141='Données projet'!$A$62,'Données projet'!$B$62,AI140+AH141-AQ140)))</f>
        <v>417.26538461538399</v>
      </c>
      <c r="AJ141" s="13">
        <f>AI141*VLOOKUP('Données projet'!$B$10,Paramètres!$A$1:$I$89,3,0)*VLOOKUP('Données projet'!$B$10,Paramètres!$A$1:$I$89,5,0)</f>
        <v>403.57907999999935</v>
      </c>
      <c r="AK141" s="13">
        <f t="shared" si="143"/>
        <v>92.501892154559158</v>
      </c>
      <c r="AL141" s="20">
        <f t="shared" si="112"/>
        <v>864.00769316918922</v>
      </c>
      <c r="AM141" s="59">
        <f t="shared" si="113"/>
        <v>1157.3410265025225</v>
      </c>
      <c r="AN141" s="59">
        <f ca="1">AVERAGE(OFFSET($AM$3,0,0,'Données projet'!$E$10+1,1))-AVERAGE(OFFSET($H$3,0,0,'Données projet'!$E$10+1,1))</f>
        <v>340.4659523898373</v>
      </c>
      <c r="AO141" s="59">
        <f t="shared" si="144"/>
        <v>170.54530785680572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1.3670842236024327E-14</v>
      </c>
      <c r="BF141" s="13">
        <f t="shared" si="145"/>
        <v>2.5890519619727347E-13</v>
      </c>
      <c r="BG141" s="20">
        <f t="shared" si="115"/>
        <v>4.7473660027132696E-13</v>
      </c>
      <c r="BH141" s="59">
        <f t="shared" si="116"/>
        <v>293.33333333333377</v>
      </c>
      <c r="BI141" s="59">
        <f ca="1">AVERAGE(OFFSET($BH$3,0,0,'Données projet'!$E$11+1,1))-AVERAGE(OFFSET($H$3,0,0,'Données projet'!$E$11+1,1))</f>
        <v>162.52375757962767</v>
      </c>
      <c r="BJ141" s="59">
        <f t="shared" si="146"/>
        <v>162.18047435246194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7.2230769230769223</v>
      </c>
      <c r="N142" s="13">
        <f>IF('Données projet'!$A$36&gt;35,N141+M142-V141,IF(A142&lt;'Données projet'!$A$36,$K$205^A142,IF(A142='Données projet'!$A$36,'Données projet'!$B$36,N141+M142-V141)))</f>
        <v>424.48846153846091</v>
      </c>
      <c r="O142" s="13">
        <f>N142*VLOOKUP('Données projet'!$B$9,Paramètres!$A$1:$I$89,3,0)*VLOOKUP('Données projet'!$B$9,Paramètres!$A$1:$I$89,5,0)</f>
        <v>384.07715999999942</v>
      </c>
      <c r="P142" s="13">
        <f t="shared" si="141"/>
        <v>88.540961788845209</v>
      </c>
      <c r="Q142" s="20">
        <f t="shared" si="108"/>
        <v>823.14322878223766</v>
      </c>
      <c r="R142" s="59">
        <f t="shared" si="109"/>
        <v>1116.4765621155709</v>
      </c>
      <c r="S142" s="59">
        <f ca="1">AVERAGE(OFFSET($R$3,0,0,'Données projet'!$E$9+1,1))-AVERAGE(OFFSET($H$3,0,0,'Données projet'!$E$9+1,1))</f>
        <v>309.07357540707869</v>
      </c>
      <c r="T142" s="59">
        <f t="shared" si="142"/>
        <v>155.9593924683299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7.2230769230769223</v>
      </c>
      <c r="AI142" s="13">
        <f>IF('Données projet'!$A$62&gt;35,AI141+AH142-AQ141,IF(A142&lt;'Données projet'!$A$62,$AF$205^A142,IF(A142='Données projet'!$A$62,'Données projet'!$B$62,AI141+AH142-AQ141)))</f>
        <v>424.48846153846091</v>
      </c>
      <c r="AJ142" s="13">
        <f>AI142*VLOOKUP('Données projet'!$B$10,Paramètres!$A$1:$I$89,3,0)*VLOOKUP('Données projet'!$B$10,Paramètres!$A$1:$I$89,5,0)</f>
        <v>410.56523999999945</v>
      </c>
      <c r="AK142" s="13">
        <f t="shared" si="143"/>
        <v>93.915344729491125</v>
      </c>
      <c r="AL142" s="20">
        <f t="shared" si="112"/>
        <v>878.63701840386273</v>
      </c>
      <c r="AM142" s="59">
        <f t="shared" si="113"/>
        <v>1171.9703517371961</v>
      </c>
      <c r="AN142" s="59">
        <f ca="1">AVERAGE(OFFSET($AM$3,0,0,'Données projet'!$E$10+1,1))-AVERAGE(OFFSET($H$3,0,0,'Données projet'!$E$10+1,1))</f>
        <v>340.4659523898373</v>
      </c>
      <c r="AO142" s="59">
        <f t="shared" si="144"/>
        <v>170.54530785680572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1.3670842236024327E-14</v>
      </c>
      <c r="BF142" s="13">
        <f t="shared" si="145"/>
        <v>2.5890519619727347E-13</v>
      </c>
      <c r="BG142" s="20">
        <f t="shared" si="115"/>
        <v>4.7473660027132696E-13</v>
      </c>
      <c r="BH142" s="59">
        <f t="shared" si="116"/>
        <v>293.33333333333377</v>
      </c>
      <c r="BI142" s="59">
        <f ca="1">AVERAGE(OFFSET($BH$3,0,0,'Données projet'!$E$11+1,1))-AVERAGE(OFFSET($H$3,0,0,'Données projet'!$E$11+1,1))</f>
        <v>162.52375757962767</v>
      </c>
      <c r="BJ142" s="59">
        <f t="shared" si="146"/>
        <v>162.18047435246194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>
        <f>VLOOKUP(A143,'Données projet'!$A$35:$I$55,2,0)</f>
        <v>431.71153846153845</v>
      </c>
      <c r="L143" s="12">
        <f>VLOOKUP(A143,'Données projet'!$A$35:$I$55,9,0)</f>
        <v>7.2230769230769223</v>
      </c>
      <c r="M143" s="12">
        <f t="array" ref="M143">INDEX(L:L,MIN(IF(ISNUMBER(L143:L339),ROW(L143:L339),"")))</f>
        <v>7.2230769230769223</v>
      </c>
      <c r="N143" s="13">
        <f>IF('Données projet'!$A$36&gt;35,N142+M143-V142,IF(A143&lt;'Données projet'!$A$36,$K$205^A143,IF(A143='Données projet'!$A$36,'Données projet'!$B$36,N142+M143-V142)))</f>
        <v>431.71153846153783</v>
      </c>
      <c r="O143" s="13">
        <f>N143*VLOOKUP('Données projet'!$B$9,Paramètres!$A$1:$I$89,3,0)*VLOOKUP('Données projet'!$B$9,Paramètres!$A$1:$I$89,5,0)</f>
        <v>390.61259999999942</v>
      </c>
      <c r="P143" s="13">
        <f t="shared" si="141"/>
        <v>89.870891496098764</v>
      </c>
      <c r="Q143" s="20">
        <f t="shared" si="108"/>
        <v>836.84208102237096</v>
      </c>
      <c r="R143" s="59">
        <f t="shared" si="109"/>
        <v>1130.1754143557043</v>
      </c>
      <c r="S143" s="59">
        <f ca="1">AVERAGE(OFFSET($R$3,0,0,'Données projet'!$E$9+1,1))-AVERAGE(OFFSET($H$3,0,0,'Données projet'!$E$9+1,1))</f>
        <v>309.07357540707869</v>
      </c>
      <c r="T143" s="59">
        <f t="shared" si="142"/>
        <v>155.9593924683299</v>
      </c>
      <c r="U143" s="15">
        <f>IF(ISNA(VLOOKUP(A143,'Données projet'!$A$35:$I$55,3,0)),0,VLOOKUP(A143,'Données projet'!$A$35:$I$55,3,0))</f>
        <v>13</v>
      </c>
      <c r="V143" s="15">
        <f>IF(ISNA(VLOOKUP(A143,'Données projet'!$A$35:$I$55,4,0)),0,VLOOKUP(A143,'Données projet'!$A$35:$I$55,4,0))</f>
        <v>50.467948717948715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431.71153846153845</v>
      </c>
      <c r="AG143" s="12">
        <f>VLOOKUP(A143,'Données projet'!$A$61:$I$81,9,0)</f>
        <v>7.2230769230769223</v>
      </c>
      <c r="AH143" s="12">
        <f t="array" ref="AH143">INDEX(AG:AG,MIN(IF(ISNUMBER(AG143:AG339),ROW(AG143:AG339),"")))</f>
        <v>7.2230769230769223</v>
      </c>
      <c r="AI143" s="13">
        <f>IF('Données projet'!$A$62&gt;35,AI142+AH143-AQ142,IF(A143&lt;'Données projet'!$A$62,$AF$205^A143,IF(A143='Données projet'!$A$62,'Données projet'!$B$62,AI142+AH143-AQ142)))</f>
        <v>431.71153846153783</v>
      </c>
      <c r="AJ143" s="13">
        <f>AI143*VLOOKUP('Données projet'!$B$10,Paramètres!$A$1:$I$89,3,0)*VLOOKUP('Données projet'!$B$10,Paramètres!$A$1:$I$89,5,0)</f>
        <v>417.55139999999943</v>
      </c>
      <c r="AK143" s="13">
        <f t="shared" si="143"/>
        <v>95.326000367280358</v>
      </c>
      <c r="AL143" s="20">
        <f t="shared" si="112"/>
        <v>893.26147230634558</v>
      </c>
      <c r="AM143" s="59">
        <f t="shared" si="113"/>
        <v>1186.594805639679</v>
      </c>
      <c r="AN143" s="59">
        <f ca="1">AVERAGE(OFFSET($AM$3,0,0,'Données projet'!$E$10+1,1))-AVERAGE(OFFSET($H$3,0,0,'Données projet'!$E$10+1,1))</f>
        <v>340.4659523898373</v>
      </c>
      <c r="AO143" s="59">
        <f t="shared" si="144"/>
        <v>170.54530785680572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50.467948717948715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1.3670842236024327E-14</v>
      </c>
      <c r="BF143" s="13">
        <f t="shared" si="145"/>
        <v>2.5890519619727347E-13</v>
      </c>
      <c r="BG143" s="20">
        <f t="shared" si="115"/>
        <v>4.7473660027132696E-13</v>
      </c>
      <c r="BH143" s="59">
        <f t="shared" si="116"/>
        <v>293.33333333333377</v>
      </c>
      <c r="BI143" s="59">
        <f ca="1">AVERAGE(OFFSET($BH$3,0,0,'Données projet'!$E$11+1,1))-AVERAGE(OFFSET($H$3,0,0,'Données projet'!$E$11+1,1))</f>
        <v>162.52375757962767</v>
      </c>
      <c r="BJ143" s="59">
        <f t="shared" si="146"/>
        <v>162.18047435246194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7.2314102564102543</v>
      </c>
      <c r="N144" s="13">
        <f>IF('Données projet'!$A$36&gt;35,N143+M144-V143,IF(A144&lt;'Données projet'!$A$36,$K$205^A144,IF(A144='Données projet'!$A$36,'Données projet'!$B$36,N143+M144-V143)))</f>
        <v>388.47499999999934</v>
      </c>
      <c r="O144" s="13">
        <f>N144*VLOOKUP('Données projet'!$B$9,Paramètres!$A$1:$I$89,3,0)*VLOOKUP('Données projet'!$B$9,Paramètres!$A$1:$I$89,5,0)</f>
        <v>351.49217999999939</v>
      </c>
      <c r="P144" s="13">
        <f t="shared" si="141"/>
        <v>81.869690479070712</v>
      </c>
      <c r="Q144" s="20">
        <f t="shared" si="108"/>
        <v>754.77192441771376</v>
      </c>
      <c r="R144" s="59">
        <f t="shared" si="109"/>
        <v>1048.105257751047</v>
      </c>
      <c r="S144" s="59">
        <f ca="1">AVERAGE(OFFSET($R$3,0,0,'Données projet'!$E$9+1,1))-AVERAGE(OFFSET($H$3,0,0,'Données projet'!$E$9+1,1))</f>
        <v>309.07357540707869</v>
      </c>
      <c r="T144" s="59">
        <f t="shared" si="142"/>
        <v>155.9593924683299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7.2314102564102543</v>
      </c>
      <c r="AI144" s="13">
        <f>IF('Données projet'!$A$62&gt;35,AI143+AH144-AQ143,IF(A144&lt;'Données projet'!$A$62,$AF$205^A144,IF(A144='Données projet'!$A$62,'Données projet'!$B$62,AI143+AH144-AQ143)))</f>
        <v>388.47499999999934</v>
      </c>
      <c r="AJ144" s="13">
        <f>AI144*VLOOKUP('Données projet'!$B$10,Paramètres!$A$1:$I$89,3,0)*VLOOKUP('Données projet'!$B$10,Paramètres!$A$1:$I$89,5,0)</f>
        <v>375.73301999999933</v>
      </c>
      <c r="AK144" s="13">
        <f t="shared" si="143"/>
        <v>86.839131277737437</v>
      </c>
      <c r="AL144" s="20">
        <f t="shared" si="112"/>
        <v>805.64649680872481</v>
      </c>
      <c r="AM144" s="59">
        <f t="shared" si="113"/>
        <v>1098.9798301420581</v>
      </c>
      <c r="AN144" s="59">
        <f ca="1">AVERAGE(OFFSET($AM$3,0,0,'Données projet'!$E$10+1,1))-AVERAGE(OFFSET($H$3,0,0,'Données projet'!$E$10+1,1))</f>
        <v>340.4659523898373</v>
      </c>
      <c r="AO144" s="59">
        <f t="shared" si="144"/>
        <v>170.54530785680572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1.3670842236024327E-14</v>
      </c>
      <c r="BF144" s="13">
        <f t="shared" si="145"/>
        <v>2.5890519619727347E-13</v>
      </c>
      <c r="BG144" s="20">
        <f t="shared" si="115"/>
        <v>4.7473660027132696E-13</v>
      </c>
      <c r="BH144" s="59">
        <f t="shared" si="116"/>
        <v>293.33333333333377</v>
      </c>
      <c r="BI144" s="59">
        <f ca="1">AVERAGE(OFFSET($BH$3,0,0,'Données projet'!$E$11+1,1))-AVERAGE(OFFSET($H$3,0,0,'Données projet'!$E$11+1,1))</f>
        <v>162.52375757962767</v>
      </c>
      <c r="BJ144" s="59">
        <f t="shared" si="146"/>
        <v>162.18047435246194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7.2314102564102543</v>
      </c>
      <c r="N145" s="13">
        <f>IF('Données projet'!$A$36&gt;35,N144+M145-V144,IF(A145&lt;'Données projet'!$A$36,$K$205^A145,IF(A145='Données projet'!$A$36,'Données projet'!$B$36,N144+M145-V144)))</f>
        <v>395.70641025640958</v>
      </c>
      <c r="O145" s="13">
        <f>N145*VLOOKUP('Données projet'!$B$9,Paramètres!$A$1:$I$89,3,0)*VLOOKUP('Données projet'!$B$9,Paramètres!$A$1:$I$89,5,0)</f>
        <v>358.03515999999939</v>
      </c>
      <c r="P145" s="13">
        <f t="shared" si="141"/>
        <v>83.214842129951279</v>
      </c>
      <c r="Q145" s="20">
        <f t="shared" si="108"/>
        <v>768.51042037633067</v>
      </c>
      <c r="R145" s="59">
        <f t="shared" si="109"/>
        <v>1061.843753709664</v>
      </c>
      <c r="S145" s="59">
        <f ca="1">AVERAGE(OFFSET($R$3,0,0,'Données projet'!$E$9+1,1))-AVERAGE(OFFSET($H$3,0,0,'Données projet'!$E$9+1,1))</f>
        <v>309.07357540707869</v>
      </c>
      <c r="T145" s="59">
        <f t="shared" si="142"/>
        <v>155.9593924683299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7.2314102564102543</v>
      </c>
      <c r="AI145" s="13">
        <f>IF('Données projet'!$A$62&gt;35,AI144+AH145-AQ144,IF(A145&lt;'Données projet'!$A$62,$AF$205^A145,IF(A145='Données projet'!$A$62,'Données projet'!$B$62,AI144+AH145-AQ144)))</f>
        <v>395.70641025640958</v>
      </c>
      <c r="AJ145" s="13">
        <f>AI145*VLOOKUP('Données projet'!$B$10,Paramètres!$A$1:$I$89,3,0)*VLOOKUP('Données projet'!$B$10,Paramètres!$A$1:$I$89,5,0)</f>
        <v>382.72723999999937</v>
      </c>
      <c r="AK145" s="13">
        <f t="shared" si="143"/>
        <v>88.26593282194446</v>
      </c>
      <c r="AL145" s="20">
        <f t="shared" si="112"/>
        <v>820.31310933155225</v>
      </c>
      <c r="AM145" s="59">
        <f t="shared" si="113"/>
        <v>1113.6464426648856</v>
      </c>
      <c r="AN145" s="59">
        <f ca="1">AVERAGE(OFFSET($AM$3,0,0,'Données projet'!$E$10+1,1))-AVERAGE(OFFSET($H$3,0,0,'Données projet'!$E$10+1,1))</f>
        <v>340.4659523898373</v>
      </c>
      <c r="AO145" s="59">
        <f t="shared" si="144"/>
        <v>170.54530785680572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1.3670842236024327E-14</v>
      </c>
      <c r="BF145" s="13">
        <f t="shared" si="145"/>
        <v>2.5890519619727347E-13</v>
      </c>
      <c r="BG145" s="20">
        <f t="shared" si="115"/>
        <v>4.7473660027132696E-13</v>
      </c>
      <c r="BH145" s="59">
        <f t="shared" si="116"/>
        <v>293.33333333333377</v>
      </c>
      <c r="BI145" s="59">
        <f ca="1">AVERAGE(OFFSET($BH$3,0,0,'Données projet'!$E$11+1,1))-AVERAGE(OFFSET($H$3,0,0,'Données projet'!$E$11+1,1))</f>
        <v>162.52375757962767</v>
      </c>
      <c r="BJ145" s="59">
        <f t="shared" si="146"/>
        <v>162.18047435246194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7.2314102564102543</v>
      </c>
      <c r="N146" s="13">
        <f>IF('Données projet'!$A$36&gt;35,N145+M146-V145,IF(A146&lt;'Données projet'!$A$36,$K$205^A146,IF(A146='Données projet'!$A$36,'Données projet'!$B$36,N145+M146-V145)))</f>
        <v>402.93782051281983</v>
      </c>
      <c r="O146" s="13">
        <f>N146*VLOOKUP('Données projet'!$B$9,Paramètres!$A$1:$I$89,3,0)*VLOOKUP('Données projet'!$B$9,Paramètres!$A$1:$I$89,5,0)</f>
        <v>364.57813999999939</v>
      </c>
      <c r="P146" s="13">
        <f t="shared" si="141"/>
        <v>84.557135282967096</v>
      </c>
      <c r="Q146" s="20">
        <f t="shared" si="108"/>
        <v>782.24393778449996</v>
      </c>
      <c r="R146" s="59">
        <f t="shared" si="109"/>
        <v>1075.5772711178333</v>
      </c>
      <c r="S146" s="59">
        <f ca="1">AVERAGE(OFFSET($R$3,0,0,'Données projet'!$E$9+1,1))-AVERAGE(OFFSET($H$3,0,0,'Données projet'!$E$9+1,1))</f>
        <v>309.07357540707869</v>
      </c>
      <c r="T146" s="59">
        <f t="shared" si="142"/>
        <v>155.9593924683299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7.2314102564102543</v>
      </c>
      <c r="AI146" s="13">
        <f>IF('Données projet'!$A$62&gt;35,AI145+AH146-AQ145,IF(A146&lt;'Données projet'!$A$62,$AF$205^A146,IF(A146='Données projet'!$A$62,'Données projet'!$B$62,AI145+AH146-AQ145)))</f>
        <v>402.93782051281983</v>
      </c>
      <c r="AJ146" s="13">
        <f>AI146*VLOOKUP('Données projet'!$B$10,Paramètres!$A$1:$I$89,3,0)*VLOOKUP('Données projet'!$B$10,Paramètres!$A$1:$I$89,5,0)</f>
        <v>389.72145999999935</v>
      </c>
      <c r="AK146" s="13">
        <f t="shared" si="143"/>
        <v>89.689702359191557</v>
      </c>
      <c r="AL146" s="20">
        <f t="shared" si="112"/>
        <v>834.97444110892411</v>
      </c>
      <c r="AM146" s="59">
        <f t="shared" si="113"/>
        <v>1128.3077744422574</v>
      </c>
      <c r="AN146" s="59">
        <f ca="1">AVERAGE(OFFSET($AM$3,0,0,'Données projet'!$E$10+1,1))-AVERAGE(OFFSET($H$3,0,0,'Données projet'!$E$10+1,1))</f>
        <v>340.4659523898373</v>
      </c>
      <c r="AO146" s="59">
        <f t="shared" si="144"/>
        <v>170.54530785680572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1.3670842236024327E-14</v>
      </c>
      <c r="BF146" s="13">
        <f t="shared" si="145"/>
        <v>2.5890519619727347E-13</v>
      </c>
      <c r="BG146" s="20">
        <f t="shared" si="115"/>
        <v>4.7473660027132696E-13</v>
      </c>
      <c r="BH146" s="59">
        <f t="shared" si="116"/>
        <v>293.33333333333377</v>
      </c>
      <c r="BI146" s="59">
        <f ca="1">AVERAGE(OFFSET($BH$3,0,0,'Données projet'!$E$11+1,1))-AVERAGE(OFFSET($H$3,0,0,'Données projet'!$E$11+1,1))</f>
        <v>162.52375757962767</v>
      </c>
      <c r="BJ146" s="59">
        <f t="shared" si="146"/>
        <v>162.18047435246194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7.2314102564102543</v>
      </c>
      <c r="N147" s="13">
        <f>IF('Données projet'!$A$36&gt;35,N146+M147-V146,IF(A147&lt;'Données projet'!$A$36,$K$205^A147,IF(A147='Données projet'!$A$36,'Données projet'!$B$36,N146+M147-V146)))</f>
        <v>410.16923076923007</v>
      </c>
      <c r="O147" s="13">
        <f>N147*VLOOKUP('Données projet'!$B$9,Paramètres!$A$1:$I$89,3,0)*VLOOKUP('Données projet'!$B$9,Paramètres!$A$1:$I$89,5,0)</f>
        <v>371.12111999999939</v>
      </c>
      <c r="P147" s="13">
        <f t="shared" si="141"/>
        <v>85.896627156574425</v>
      </c>
      <c r="Q147" s="20">
        <f t="shared" si="108"/>
        <v>795.97257629769945</v>
      </c>
      <c r="R147" s="59">
        <f t="shared" si="109"/>
        <v>1089.3059096310328</v>
      </c>
      <c r="S147" s="59">
        <f ca="1">AVERAGE(OFFSET($R$3,0,0,'Données projet'!$E$9+1,1))-AVERAGE(OFFSET($H$3,0,0,'Données projet'!$E$9+1,1))</f>
        <v>309.07357540707869</v>
      </c>
      <c r="T147" s="59">
        <f t="shared" si="142"/>
        <v>155.9593924683299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7.2314102564102543</v>
      </c>
      <c r="AI147" s="13">
        <f>IF('Données projet'!$A$62&gt;35,AI146+AH147-AQ146,IF(A147&lt;'Données projet'!$A$62,$AF$205^A147,IF(A147='Données projet'!$A$62,'Données projet'!$B$62,AI146+AH147-AQ146)))</f>
        <v>410.16923076923007</v>
      </c>
      <c r="AJ147" s="13">
        <f>AI147*VLOOKUP('Données projet'!$B$10,Paramètres!$A$1:$I$89,3,0)*VLOOKUP('Données projet'!$B$10,Paramètres!$A$1:$I$89,5,0)</f>
        <v>396.71567999999934</v>
      </c>
      <c r="AK147" s="13">
        <f t="shared" si="143"/>
        <v>91.110500581060791</v>
      </c>
      <c r="AL147" s="20">
        <f t="shared" si="112"/>
        <v>849.63059784534641</v>
      </c>
      <c r="AM147" s="59">
        <f t="shared" si="113"/>
        <v>1142.9639311786798</v>
      </c>
      <c r="AN147" s="59">
        <f ca="1">AVERAGE(OFFSET($AM$3,0,0,'Données projet'!$E$10+1,1))-AVERAGE(OFFSET($H$3,0,0,'Données projet'!$E$10+1,1))</f>
        <v>340.4659523898373</v>
      </c>
      <c r="AO147" s="59">
        <f t="shared" si="144"/>
        <v>170.54530785680572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1.3670842236024327E-14</v>
      </c>
      <c r="BF147" s="13">
        <f t="shared" si="145"/>
        <v>2.5890519619727347E-13</v>
      </c>
      <c r="BG147" s="20">
        <f t="shared" si="115"/>
        <v>4.7473660027132696E-13</v>
      </c>
      <c r="BH147" s="59">
        <f t="shared" si="116"/>
        <v>293.33333333333377</v>
      </c>
      <c r="BI147" s="59">
        <f ca="1">AVERAGE(OFFSET($BH$3,0,0,'Données projet'!$E$11+1,1))-AVERAGE(OFFSET($H$3,0,0,'Données projet'!$E$11+1,1))</f>
        <v>162.52375757962767</v>
      </c>
      <c r="BJ147" s="59">
        <f t="shared" si="146"/>
        <v>162.18047435246194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7.2314102564102543</v>
      </c>
      <c r="N148" s="13">
        <f>IF('Données projet'!$A$36&gt;35,N147+M148-V147,IF(A148&lt;'Données projet'!$A$36,$K$205^A148,IF(A148='Données projet'!$A$36,'Données projet'!$B$36,N147+M148-V147)))</f>
        <v>417.40064102564031</v>
      </c>
      <c r="O148" s="13">
        <f>N148*VLOOKUP('Données projet'!$B$9,Paramètres!$A$1:$I$89,3,0)*VLOOKUP('Données projet'!$B$9,Paramètres!$A$1:$I$89,5,0)</f>
        <v>377.66409999999934</v>
      </c>
      <c r="P148" s="13">
        <f t="shared" si="141"/>
        <v>87.233372836107904</v>
      </c>
      <c r="Q148" s="20">
        <f t="shared" si="108"/>
        <v>809.69643185621999</v>
      </c>
      <c r="R148" s="59">
        <f t="shared" si="109"/>
        <v>1103.0297651895532</v>
      </c>
      <c r="S148" s="59">
        <f ca="1">AVERAGE(OFFSET($R$3,0,0,'Données projet'!$E$9+1,1))-AVERAGE(OFFSET($H$3,0,0,'Données projet'!$E$9+1,1))</f>
        <v>309.07357540707869</v>
      </c>
      <c r="T148" s="59">
        <f t="shared" si="142"/>
        <v>155.9593924683299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7.2314102564102543</v>
      </c>
      <c r="AI148" s="13">
        <f>IF('Données projet'!$A$62&gt;35,AI147+AH148-AQ147,IF(A148&lt;'Données projet'!$A$62,$AF$205^A148,IF(A148='Données projet'!$A$62,'Données projet'!$B$62,AI147+AH148-AQ147)))</f>
        <v>417.40064102564031</v>
      </c>
      <c r="AJ148" s="13">
        <f>AI148*VLOOKUP('Données projet'!$B$10,Paramètres!$A$1:$I$89,3,0)*VLOOKUP('Données projet'!$B$10,Paramètres!$A$1:$I$89,5,0)</f>
        <v>403.70989999999927</v>
      </c>
      <c r="AK148" s="13">
        <f t="shared" si="143"/>
        <v>92.528385916533409</v>
      </c>
      <c r="AL148" s="20">
        <f t="shared" si="112"/>
        <v>864.28168130462757</v>
      </c>
      <c r="AM148" s="59">
        <f t="shared" si="113"/>
        <v>1157.6150146379609</v>
      </c>
      <c r="AN148" s="59">
        <f ca="1">AVERAGE(OFFSET($AM$3,0,0,'Données projet'!$E$10+1,1))-AVERAGE(OFFSET($H$3,0,0,'Données projet'!$E$10+1,1))</f>
        <v>340.4659523898373</v>
      </c>
      <c r="AO148" s="59">
        <f t="shared" si="144"/>
        <v>170.54530785680572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1.3670842236024327E-14</v>
      </c>
      <c r="BF148" s="13">
        <f t="shared" si="145"/>
        <v>2.5890519619727347E-13</v>
      </c>
      <c r="BG148" s="20">
        <f t="shared" si="115"/>
        <v>4.7473660027132696E-13</v>
      </c>
      <c r="BH148" s="59">
        <f t="shared" si="116"/>
        <v>293.33333333333377</v>
      </c>
      <c r="BI148" s="59">
        <f ca="1">AVERAGE(OFFSET($BH$3,0,0,'Données projet'!$E$11+1,1))-AVERAGE(OFFSET($H$3,0,0,'Données projet'!$E$11+1,1))</f>
        <v>162.52375757962767</v>
      </c>
      <c r="BJ148" s="59">
        <f t="shared" si="146"/>
        <v>162.18047435246194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7.2314102564102543</v>
      </c>
      <c r="N149" s="13">
        <f>IF('Données projet'!$A$36&gt;35,N148+M149-V148,IF(A149&lt;'Données projet'!$A$36,$K$205^A149,IF(A149='Données projet'!$A$36,'Données projet'!$B$36,N148+M149-V148)))</f>
        <v>424.63205128205055</v>
      </c>
      <c r="O149" s="13">
        <f>N149*VLOOKUP('Données projet'!$B$9,Paramètres!$A$1:$I$89,3,0)*VLOOKUP('Données projet'!$B$9,Paramètres!$A$1:$I$89,5,0)</f>
        <v>384.20707999999934</v>
      </c>
      <c r="P149" s="13">
        <f t="shared" si="141"/>
        <v>88.567425388857529</v>
      </c>
      <c r="Q149" s="20">
        <f t="shared" si="108"/>
        <v>823.41559688559244</v>
      </c>
      <c r="R149" s="59">
        <f t="shared" si="109"/>
        <v>1116.7489302189258</v>
      </c>
      <c r="S149" s="59">
        <f ca="1">AVERAGE(OFFSET($R$3,0,0,'Données projet'!$E$9+1,1))-AVERAGE(OFFSET($H$3,0,0,'Données projet'!$E$9+1,1))</f>
        <v>309.07357540707869</v>
      </c>
      <c r="T149" s="59">
        <f t="shared" si="142"/>
        <v>155.9593924683299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7.2314102564102543</v>
      </c>
      <c r="AI149" s="13">
        <f>IF('Données projet'!$A$62&gt;35,AI148+AH149-AQ148,IF(A149&lt;'Données projet'!$A$62,$AF$205^A149,IF(A149='Données projet'!$A$62,'Données projet'!$B$62,AI148+AH149-AQ148)))</f>
        <v>424.63205128205055</v>
      </c>
      <c r="AJ149" s="13">
        <f>AI149*VLOOKUP('Données projet'!$B$10,Paramètres!$A$1:$I$89,3,0)*VLOOKUP('Données projet'!$B$10,Paramètres!$A$1:$I$89,5,0)</f>
        <v>410.70411999999931</v>
      </c>
      <c r="AK149" s="13">
        <f t="shared" si="143"/>
        <v>93.943414654051765</v>
      </c>
      <c r="AL149" s="20">
        <f t="shared" si="112"/>
        <v>878.92778952247227</v>
      </c>
      <c r="AM149" s="59">
        <f t="shared" si="113"/>
        <v>1172.2611228558055</v>
      </c>
      <c r="AN149" s="59">
        <f ca="1">AVERAGE(OFFSET($AM$3,0,0,'Données projet'!$E$10+1,1))-AVERAGE(OFFSET($H$3,0,0,'Données projet'!$E$10+1,1))</f>
        <v>340.4659523898373</v>
      </c>
      <c r="AO149" s="59">
        <f t="shared" si="144"/>
        <v>170.54530785680572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1.3670842236024327E-14</v>
      </c>
      <c r="BF149" s="13">
        <f t="shared" si="145"/>
        <v>2.5890519619727347E-13</v>
      </c>
      <c r="BG149" s="20">
        <f t="shared" si="115"/>
        <v>4.7473660027132696E-13</v>
      </c>
      <c r="BH149" s="59">
        <f t="shared" si="116"/>
        <v>293.33333333333377</v>
      </c>
      <c r="BI149" s="59">
        <f ca="1">AVERAGE(OFFSET($BH$3,0,0,'Données projet'!$E$11+1,1))-AVERAGE(OFFSET($H$3,0,0,'Données projet'!$E$11+1,1))</f>
        <v>162.52375757962767</v>
      </c>
      <c r="BJ149" s="59">
        <f t="shared" si="146"/>
        <v>162.18047435246194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7.2314102564102543</v>
      </c>
      <c r="N150" s="13">
        <f>IF('Données projet'!$A$36&gt;35,N149+M150-V149,IF(A150&lt;'Données projet'!$A$36,$K$205^A150,IF(A150='Données projet'!$A$36,'Données projet'!$B$36,N149+M150-V149)))</f>
        <v>431.8634615384608</v>
      </c>
      <c r="O150" s="13">
        <f>N150*VLOOKUP('Données projet'!$B$9,Paramètres!$A$1:$I$89,3,0)*VLOOKUP('Données projet'!$B$9,Paramètres!$A$1:$I$89,5,0)</f>
        <v>390.75005999999934</v>
      </c>
      <c r="P150" s="13">
        <f t="shared" si="141"/>
        <v>89.898835971083955</v>
      </c>
      <c r="Q150" s="20">
        <f t="shared" si="108"/>
        <v>837.13016048297004</v>
      </c>
      <c r="R150" s="59">
        <f t="shared" si="109"/>
        <v>1130.4634938163033</v>
      </c>
      <c r="S150" s="59">
        <f ca="1">AVERAGE(OFFSET($R$3,0,0,'Données projet'!$E$9+1,1))-AVERAGE(OFFSET($H$3,0,0,'Données projet'!$E$9+1,1))</f>
        <v>309.07357540707869</v>
      </c>
      <c r="T150" s="59">
        <f t="shared" si="142"/>
        <v>155.9593924683299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7.2314102564102543</v>
      </c>
      <c r="AI150" s="13">
        <f>IF('Données projet'!$A$62&gt;35,AI149+AH150-AQ149,IF(A150&lt;'Données projet'!$A$62,$AF$205^A150,IF(A150='Données projet'!$A$62,'Données projet'!$B$62,AI149+AH150-AQ149)))</f>
        <v>431.8634615384608</v>
      </c>
      <c r="AJ150" s="13">
        <f>AI150*VLOOKUP('Données projet'!$B$10,Paramètres!$A$1:$I$89,3,0)*VLOOKUP('Données projet'!$B$10,Paramètres!$A$1:$I$89,5,0)</f>
        <v>417.69833999999923</v>
      </c>
      <c r="AK150" s="13">
        <f t="shared" si="143"/>
        <v>95.355641055030858</v>
      </c>
      <c r="AL150" s="20">
        <f t="shared" si="112"/>
        <v>893.56901700417745</v>
      </c>
      <c r="AM150" s="59">
        <f t="shared" si="113"/>
        <v>1186.9023503375108</v>
      </c>
      <c r="AN150" s="59">
        <f ca="1">AVERAGE(OFFSET($AM$3,0,0,'Données projet'!$E$10+1,1))-AVERAGE(OFFSET($H$3,0,0,'Données projet'!$E$10+1,1))</f>
        <v>340.4659523898373</v>
      </c>
      <c r="AO150" s="59">
        <f t="shared" si="144"/>
        <v>170.54530785680572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1.3670842236024327E-14</v>
      </c>
      <c r="BF150" s="13">
        <f t="shared" si="145"/>
        <v>2.5890519619727347E-13</v>
      </c>
      <c r="BG150" s="20">
        <f t="shared" si="115"/>
        <v>4.7473660027132696E-13</v>
      </c>
      <c r="BH150" s="59">
        <f t="shared" si="116"/>
        <v>293.33333333333377</v>
      </c>
      <c r="BI150" s="59">
        <f ca="1">AVERAGE(OFFSET($BH$3,0,0,'Données projet'!$E$11+1,1))-AVERAGE(OFFSET($H$3,0,0,'Données projet'!$E$11+1,1))</f>
        <v>162.52375757962767</v>
      </c>
      <c r="BJ150" s="59">
        <f t="shared" si="146"/>
        <v>162.18047435246194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7.2314102564102543</v>
      </c>
      <c r="N151" s="13">
        <f>IF('Données projet'!$A$36&gt;35,N150+M151-V150,IF(A151&lt;'Données projet'!$A$36,$K$205^A151,IF(A151='Données projet'!$A$36,'Données projet'!$B$36,N150+M151-V150)))</f>
        <v>439.09487179487104</v>
      </c>
      <c r="O151" s="13">
        <f>N151*VLOOKUP('Données projet'!$B$9,Paramètres!$A$1:$I$89,3,0)*VLOOKUP('Données projet'!$B$9,Paramètres!$A$1:$I$89,5,0)</f>
        <v>397.29303999999928</v>
      </c>
      <c r="P151" s="13">
        <f t="shared" si="141"/>
        <v>91.227653927663823</v>
      </c>
      <c r="Q151" s="20">
        <f t="shared" si="108"/>
        <v>850.84020859067994</v>
      </c>
      <c r="R151" s="59">
        <f t="shared" si="109"/>
        <v>1144.1735419240133</v>
      </c>
      <c r="S151" s="59">
        <f ca="1">AVERAGE(OFFSET($R$3,0,0,'Données projet'!$E$9+1,1))-AVERAGE(OFFSET($H$3,0,0,'Données projet'!$E$9+1,1))</f>
        <v>309.07357540707869</v>
      </c>
      <c r="T151" s="59">
        <f t="shared" si="142"/>
        <v>155.9593924683299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7.2314102564102543</v>
      </c>
      <c r="AI151" s="13">
        <f>IF('Données projet'!$A$62&gt;35,AI150+AH151-AQ150,IF(A151&lt;'Données projet'!$A$62,$AF$205^A151,IF(A151='Données projet'!$A$62,'Données projet'!$B$62,AI150+AH151-AQ150)))</f>
        <v>439.09487179487104</v>
      </c>
      <c r="AJ151" s="13">
        <f>AI151*VLOOKUP('Données projet'!$B$10,Paramètres!$A$1:$I$89,3,0)*VLOOKUP('Données projet'!$B$10,Paramètres!$A$1:$I$89,5,0)</f>
        <v>424.69255999999928</v>
      </c>
      <c r="AK151" s="13">
        <f t="shared" si="143"/>
        <v>96.765117459551433</v>
      </c>
      <c r="AL151" s="20">
        <f t="shared" si="112"/>
        <v>908.20545490871746</v>
      </c>
      <c r="AM151" s="59">
        <f t="shared" si="113"/>
        <v>1201.5387882420507</v>
      </c>
      <c r="AN151" s="59">
        <f ca="1">AVERAGE(OFFSET($AM$3,0,0,'Données projet'!$E$10+1,1))-AVERAGE(OFFSET($H$3,0,0,'Données projet'!$E$10+1,1))</f>
        <v>340.4659523898373</v>
      </c>
      <c r="AO151" s="59">
        <f t="shared" si="144"/>
        <v>170.54530785680572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1.3670842236024327E-14</v>
      </c>
      <c r="BF151" s="13">
        <f t="shared" si="145"/>
        <v>2.5890519619727347E-13</v>
      </c>
      <c r="BG151" s="20">
        <f t="shared" si="115"/>
        <v>4.7473660027132696E-13</v>
      </c>
      <c r="BH151" s="59">
        <f t="shared" si="116"/>
        <v>293.33333333333377</v>
      </c>
      <c r="BI151" s="59">
        <f ca="1">AVERAGE(OFFSET($BH$3,0,0,'Données projet'!$E$11+1,1))-AVERAGE(OFFSET($H$3,0,0,'Données projet'!$E$11+1,1))</f>
        <v>162.52375757962767</v>
      </c>
      <c r="BJ151" s="59">
        <f t="shared" si="146"/>
        <v>162.18047435246194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7.2314102564102543</v>
      </c>
      <c r="N152" s="13">
        <f>IF('Données projet'!$A$36&gt;35,N151+M152-V151,IF(A152&lt;'Données projet'!$A$36,$K$205^A152,IF(A152='Données projet'!$A$36,'Données projet'!$B$36,N151+M152-V151)))</f>
        <v>446.32628205128128</v>
      </c>
      <c r="O152" s="13">
        <f>N152*VLOOKUP('Données projet'!$B$9,Paramètres!$A$1:$I$89,3,0)*VLOOKUP('Données projet'!$B$9,Paramètres!$A$1:$I$89,5,0)</f>
        <v>403.83601999999928</v>
      </c>
      <c r="P152" s="13">
        <f t="shared" si="141"/>
        <v>92.553926884983895</v>
      </c>
      <c r="Q152" s="20">
        <f t="shared" si="108"/>
        <v>864.54582415801235</v>
      </c>
      <c r="R152" s="59">
        <f t="shared" si="109"/>
        <v>1157.8791574913457</v>
      </c>
      <c r="S152" s="59">
        <f ca="1">AVERAGE(OFFSET($R$3,0,0,'Données projet'!$E$9+1,1))-AVERAGE(OFFSET($H$3,0,0,'Données projet'!$E$9+1,1))</f>
        <v>309.07357540707869</v>
      </c>
      <c r="T152" s="59">
        <f t="shared" si="142"/>
        <v>155.9593924683299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7.2314102564102543</v>
      </c>
      <c r="AI152" s="13">
        <f>IF('Données projet'!$A$62&gt;35,AI151+AH152-AQ151,IF(A152&lt;'Données projet'!$A$62,$AF$205^A152,IF(A152='Données projet'!$A$62,'Données projet'!$B$62,AI151+AH152-AQ151)))</f>
        <v>446.32628205128128</v>
      </c>
      <c r="AJ152" s="13">
        <f>AI152*VLOOKUP('Données projet'!$B$10,Paramètres!$A$1:$I$89,3,0)*VLOOKUP('Données projet'!$B$10,Paramètres!$A$1:$I$89,5,0)</f>
        <v>431.68677999999932</v>
      </c>
      <c r="AK152" s="13">
        <f t="shared" si="143"/>
        <v>98.171894384893221</v>
      </c>
      <c r="AL152" s="20">
        <f t="shared" si="112"/>
        <v>922.83719122035438</v>
      </c>
      <c r="AM152" s="59">
        <f t="shared" si="113"/>
        <v>1216.1705245536878</v>
      </c>
      <c r="AN152" s="59">
        <f ca="1">AVERAGE(OFFSET($AM$3,0,0,'Données projet'!$E$10+1,1))-AVERAGE(OFFSET($H$3,0,0,'Données projet'!$E$10+1,1))</f>
        <v>340.4659523898373</v>
      </c>
      <c r="AO152" s="59">
        <f t="shared" si="144"/>
        <v>170.54530785680572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1.3670842236024327E-14</v>
      </c>
      <c r="BF152" s="13">
        <f t="shared" si="145"/>
        <v>2.5890519619727347E-13</v>
      </c>
      <c r="BG152" s="20">
        <f t="shared" si="115"/>
        <v>4.7473660027132696E-13</v>
      </c>
      <c r="BH152" s="59">
        <f t="shared" si="116"/>
        <v>293.33333333333377</v>
      </c>
      <c r="BI152" s="59">
        <f ca="1">AVERAGE(OFFSET($BH$3,0,0,'Données projet'!$E$11+1,1))-AVERAGE(OFFSET($H$3,0,0,'Données projet'!$E$11+1,1))</f>
        <v>162.52375757962767</v>
      </c>
      <c r="BJ152" s="59">
        <f t="shared" si="146"/>
        <v>162.18047435246194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>
        <f>VLOOKUP(A153,'Données projet'!$A$35:$I$55,2,0)</f>
        <v>453.55769230769226</v>
      </c>
      <c r="L153" s="12">
        <f>VLOOKUP(A153,'Données projet'!$A$35:$I$55,9,0)</f>
        <v>7.2314102564102543</v>
      </c>
      <c r="M153" s="12">
        <f t="array" ref="M153">INDEX(L:L,MIN(IF(ISNUMBER(L153:L349),ROW(L153:L349),"")))</f>
        <v>7.2314102564102543</v>
      </c>
      <c r="N153" s="13">
        <f>IF('Données projet'!$A$36&gt;35,N152+M153-V152,IF(A153&lt;'Données projet'!$A$36,$K$205^A153,IF(A153='Données projet'!$A$36,'Données projet'!$B$36,N152+M153-V152)))</f>
        <v>453.55769230769153</v>
      </c>
      <c r="O153" s="13">
        <f>N153*VLOOKUP('Données projet'!$B$9,Paramètres!$A$1:$I$89,3,0)*VLOOKUP('Données projet'!$B$9,Paramètres!$A$1:$I$89,5,0)</f>
        <v>410.37899999999928</v>
      </c>
      <c r="P153" s="13">
        <f t="shared" si="141"/>
        <v>93.877700837644795</v>
      </c>
      <c r="Q153" s="20">
        <f t="shared" si="108"/>
        <v>878.24708729223005</v>
      </c>
      <c r="R153" s="59">
        <f t="shared" si="109"/>
        <v>1171.5804206255634</v>
      </c>
      <c r="S153" s="59">
        <f ca="1">AVERAGE(OFFSET($R$3,0,0,'Données projet'!$E$9+1,1))-AVERAGE(OFFSET($H$3,0,0,'Données projet'!$E$9+1,1))</f>
        <v>309.07357540707869</v>
      </c>
      <c r="T153" s="59">
        <f t="shared" si="142"/>
        <v>155.9593924683299</v>
      </c>
      <c r="U153" s="15">
        <f>IF(ISNA(VLOOKUP(A153,'Données projet'!$A$35:$I$55,3,0)),0,VLOOKUP(A153,'Données projet'!$A$35:$I$55,3,0))</f>
        <v>14</v>
      </c>
      <c r="V153" s="15">
        <f>IF(ISNA(VLOOKUP(A153,'Données projet'!$A$35:$I$55,4,0)),0,VLOOKUP(A153,'Données projet'!$A$35:$I$55,4,0))</f>
        <v>178.72435897435898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453.55769230769226</v>
      </c>
      <c r="AG153" s="12">
        <f>VLOOKUP(A153,'Données projet'!$A$61:$I$81,9,0)</f>
        <v>7.2314102564102543</v>
      </c>
      <c r="AH153" s="12">
        <f t="array" ref="AH153">INDEX(AG:AG,MIN(IF(ISNUMBER(AG153:AG349),ROW(AG153:AG349),"")))</f>
        <v>7.2314102564102543</v>
      </c>
      <c r="AI153" s="13">
        <f>IF('Données projet'!$A$62&gt;35,AI152+AH153-AQ152,IF(A153&lt;'Données projet'!$A$62,$AF$205^A153,IF(A153='Données projet'!$A$62,'Données projet'!$B$62,AI152+AH153-AQ152)))</f>
        <v>453.55769230769153</v>
      </c>
      <c r="AJ153" s="13">
        <f>AI153*VLOOKUP('Données projet'!$B$10,Paramètres!$A$1:$I$89,3,0)*VLOOKUP('Données projet'!$B$10,Paramètres!$A$1:$I$89,5,0)</f>
        <v>438.68099999999924</v>
      </c>
      <c r="AK153" s="13">
        <f t="shared" si="143"/>
        <v>99.576020617501342</v>
      </c>
      <c r="AL153" s="20">
        <f t="shared" si="112"/>
        <v>937.46431090881333</v>
      </c>
      <c r="AM153" s="59">
        <f t="shared" si="113"/>
        <v>1230.7976442421466</v>
      </c>
      <c r="AN153" s="59">
        <f ca="1">AVERAGE(OFFSET($AM$3,0,0,'Données projet'!$E$10+1,1))-AVERAGE(OFFSET($H$3,0,0,'Données projet'!$E$10+1,1))</f>
        <v>340.4659523898373</v>
      </c>
      <c r="AO153" s="59">
        <f t="shared" si="144"/>
        <v>170.54530785680572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178.72435897435898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1.3670842236024327E-14</v>
      </c>
      <c r="BF153" s="13">
        <f t="shared" si="145"/>
        <v>2.5890519619727347E-13</v>
      </c>
      <c r="BG153" s="20">
        <f t="shared" si="115"/>
        <v>4.7473660027132696E-13</v>
      </c>
      <c r="BH153" s="59">
        <f t="shared" si="116"/>
        <v>293.33333333333377</v>
      </c>
      <c r="BI153" s="59">
        <f ca="1">AVERAGE(OFFSET($BH$3,0,0,'Données projet'!$E$11+1,1))-AVERAGE(OFFSET($H$3,0,0,'Données projet'!$E$11+1,1))</f>
        <v>162.52375757962767</v>
      </c>
      <c r="BJ153" s="59">
        <f t="shared" si="146"/>
        <v>162.18047435246194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6.0235042735042912</v>
      </c>
      <c r="N154" s="13">
        <f>IF('Données projet'!$A$36&gt;35,N153+M154-V153,IF(A154&lt;'Données projet'!$A$36,$K$205^A154,IF(A154='Données projet'!$A$36,'Données projet'!$B$36,N153+M154-V153)))</f>
        <v>280.85683760683685</v>
      </c>
      <c r="O154" s="13">
        <f>N154*VLOOKUP('Données projet'!$B$9,Paramètres!$A$1:$I$89,3,0)*VLOOKUP('Données projet'!$B$9,Paramètres!$A$1:$I$89,5,0)</f>
        <v>254.11926666666599</v>
      </c>
      <c r="P154" s="13">
        <f t="shared" si="141"/>
        <v>61.467179070182553</v>
      </c>
      <c r="Q154" s="20">
        <f t="shared" ref="Q154:Q203" si="162">(O154+P154)*0.475*44/12</f>
        <v>549.64639299167777</v>
      </c>
      <c r="R154" s="59">
        <f t="shared" si="109"/>
        <v>842.97972632501114</v>
      </c>
      <c r="S154" s="59">
        <f ca="1">AVERAGE(OFFSET($R$3,0,0,'Données projet'!$E$9+1,1))-AVERAGE(OFFSET($H$3,0,0,'Données projet'!$E$9+1,1))</f>
        <v>309.07357540707869</v>
      </c>
      <c r="T154" s="59">
        <f t="shared" si="142"/>
        <v>155.9593924683299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6.0235042735042912</v>
      </c>
      <c r="AI154" s="13">
        <f>IF('Données projet'!$A$62&gt;35,AI153+AH154-AQ153,IF(A154&lt;'Données projet'!$A$62,$AF$205^A154,IF(A154='Données projet'!$A$62,'Données projet'!$B$62,AI153+AH154-AQ153)))</f>
        <v>280.85683760683685</v>
      </c>
      <c r="AJ154" s="13">
        <f>AI154*VLOOKUP('Données projet'!$B$10,Paramètres!$A$1:$I$89,3,0)*VLOOKUP('Données projet'!$B$10,Paramètres!$A$1:$I$89,5,0)</f>
        <v>271.64473333333257</v>
      </c>
      <c r="AK154" s="13">
        <f t="shared" ref="AK154:AK203" si="164">EXP(-1.0587+0.8836*LN(AJ154)+0.284)</f>
        <v>65.198199740505061</v>
      </c>
      <c r="AL154" s="20">
        <f t="shared" ref="AL154:AL203" si="165">(AJ154+AK154)*0.475*44/12</f>
        <v>586.66810843693384</v>
      </c>
      <c r="AM154" s="59">
        <f t="shared" si="113"/>
        <v>880.00144177026709</v>
      </c>
      <c r="AN154" s="59">
        <f ca="1">AVERAGE(OFFSET($AM$3,0,0,'Données projet'!$E$10+1,1))-AVERAGE(OFFSET($H$3,0,0,'Données projet'!$E$10+1,1))</f>
        <v>340.4659523898373</v>
      </c>
      <c r="AO154" s="59">
        <f t="shared" si="144"/>
        <v>170.54530785680572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1.3670842236024327E-14</v>
      </c>
      <c r="BF154" s="13">
        <f t="shared" ref="BF154:BF203" si="167">EXP(-1.0587+0.8836*LN(BE154)+0.284)</f>
        <v>2.5890519619727347E-13</v>
      </c>
      <c r="BG154" s="20">
        <f t="shared" ref="BG154:BG203" si="168">(BE154+BF154)*0.475*44/12</f>
        <v>4.7473660027132696E-13</v>
      </c>
      <c r="BH154" s="59">
        <f t="shared" si="116"/>
        <v>293.33333333333377</v>
      </c>
      <c r="BI154" s="59">
        <f ca="1">AVERAGE(OFFSET($BH$3,0,0,'Données projet'!$E$11+1,1))-AVERAGE(OFFSET($H$3,0,0,'Données projet'!$E$11+1,1))</f>
        <v>162.52375757962767</v>
      </c>
      <c r="BJ154" s="59">
        <f t="shared" si="146"/>
        <v>162.18047435246194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6.0235042735042912</v>
      </c>
      <c r="N155" s="13">
        <f>IF('Données projet'!$A$36&gt;35,N154+M155-V154,IF(A155&lt;'Données projet'!$A$36,$K$205^A155,IF(A155='Données projet'!$A$36,'Données projet'!$B$36,N154+M155-V154)))</f>
        <v>286.88034188034112</v>
      </c>
      <c r="O155" s="13">
        <f>N155*VLOOKUP('Données projet'!$B$9,Paramètres!$A$1:$I$89,3,0)*VLOOKUP('Données projet'!$B$9,Paramètres!$A$1:$I$89,5,0)</f>
        <v>259.56933333333262</v>
      </c>
      <c r="P155" s="13">
        <f t="shared" si="141"/>
        <v>62.63056837113065</v>
      </c>
      <c r="Q155" s="20">
        <f t="shared" si="162"/>
        <v>561.16482880194019</v>
      </c>
      <c r="R155" s="59">
        <f t="shared" si="109"/>
        <v>854.49816213527356</v>
      </c>
      <c r="S155" s="59">
        <f ca="1">AVERAGE(OFFSET($R$3,0,0,'Données projet'!$E$9+1,1))-AVERAGE(OFFSET($H$3,0,0,'Données projet'!$E$9+1,1))</f>
        <v>309.07357540707869</v>
      </c>
      <c r="T155" s="59">
        <f t="shared" si="142"/>
        <v>155.9593924683299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6.0235042735042912</v>
      </c>
      <c r="AI155" s="13">
        <f>IF('Données projet'!$A$62&gt;35,AI154+AH155-AQ154,IF(A155&lt;'Données projet'!$A$62,$AF$205^A155,IF(A155='Données projet'!$A$62,'Données projet'!$B$62,AI154+AH155-AQ154)))</f>
        <v>286.88034188034112</v>
      </c>
      <c r="AJ155" s="13">
        <f>AI155*VLOOKUP('Données projet'!$B$10,Paramètres!$A$1:$I$89,3,0)*VLOOKUP('Données projet'!$B$10,Paramètres!$A$1:$I$89,5,0)</f>
        <v>277.47066666666598</v>
      </c>
      <c r="AK155" s="13">
        <f t="shared" si="164"/>
        <v>66.432206069843431</v>
      </c>
      <c r="AL155" s="20">
        <f t="shared" si="165"/>
        <v>598.96417001608711</v>
      </c>
      <c r="AM155" s="59">
        <f t="shared" si="113"/>
        <v>892.29750334942037</v>
      </c>
      <c r="AN155" s="59">
        <f ca="1">AVERAGE(OFFSET($AM$3,0,0,'Données projet'!$E$10+1,1))-AVERAGE(OFFSET($H$3,0,0,'Données projet'!$E$10+1,1))</f>
        <v>340.4659523898373</v>
      </c>
      <c r="AO155" s="59">
        <f t="shared" si="144"/>
        <v>170.54530785680572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1.3670842236024327E-14</v>
      </c>
      <c r="BF155" s="13">
        <f t="shared" si="167"/>
        <v>2.5890519619727347E-13</v>
      </c>
      <c r="BG155" s="20">
        <f t="shared" si="168"/>
        <v>4.7473660027132696E-13</v>
      </c>
      <c r="BH155" s="59">
        <f t="shared" si="116"/>
        <v>293.33333333333377</v>
      </c>
      <c r="BI155" s="59">
        <f ca="1">AVERAGE(OFFSET($BH$3,0,0,'Données projet'!$E$11+1,1))-AVERAGE(OFFSET($H$3,0,0,'Données projet'!$E$11+1,1))</f>
        <v>162.52375757962767</v>
      </c>
      <c r="BJ155" s="59">
        <f t="shared" si="146"/>
        <v>162.18047435246194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292.90384615384613</v>
      </c>
      <c r="L156" s="12">
        <f>VLOOKUP(A156,'Données projet'!$A$35:$I$55,9,0)</f>
        <v>6.0235042735042912</v>
      </c>
      <c r="M156" s="12">
        <f t="array" ref="M156">INDEX(L:L,MIN(IF(ISNUMBER(L156:L352),ROW(L156:L352),"")))</f>
        <v>6.0235042735042912</v>
      </c>
      <c r="N156" s="13">
        <f>IF('Données projet'!$A$36&gt;35,N155+M156-V155,IF(A156&lt;'Données projet'!$A$36,$K$205^A156,IF(A156='Données projet'!$A$36,'Données projet'!$B$36,N155+M156-V155)))</f>
        <v>292.90384615384539</v>
      </c>
      <c r="O156" s="13">
        <f>N156*VLOOKUP('Données projet'!$B$9,Paramètres!$A$1:$I$89,3,0)*VLOOKUP('Données projet'!$B$9,Paramètres!$A$1:$I$89,5,0)</f>
        <v>265.01939999999934</v>
      </c>
      <c r="P156" s="13">
        <f t="shared" si="141"/>
        <v>63.791117598380389</v>
      </c>
      <c r="Q156" s="20">
        <f t="shared" si="162"/>
        <v>572.67831815051125</v>
      </c>
      <c r="R156" s="59">
        <f t="shared" si="109"/>
        <v>866.01165148384462</v>
      </c>
      <c r="S156" s="59">
        <f ca="1">AVERAGE(OFFSET($R$3,0,0,'Données projet'!$E$9+1,1))-AVERAGE(OFFSET($H$3,0,0,'Données projet'!$E$9+1,1))</f>
        <v>309.07357540707869</v>
      </c>
      <c r="T156" s="59">
        <f t="shared" si="142"/>
        <v>155.9593924683299</v>
      </c>
      <c r="U156" s="15">
        <f>IF(ISNA(VLOOKUP(A156,'Données projet'!$A$35:$I$55,3,0)),0,VLOOKUP(A156,'Données projet'!$A$35:$I$55,3,0))</f>
        <v>15</v>
      </c>
      <c r="V156" s="15">
        <f>IF(ISNA(VLOOKUP(A156,'Données projet'!$A$35:$I$55,4,0)),0,VLOOKUP(A156,'Données projet'!$A$35:$I$55,4,0))</f>
        <v>105.26282051282051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292.90384615384613</v>
      </c>
      <c r="AG156" s="12">
        <f>VLOOKUP(A156,'Données projet'!$A$61:$I$81,9,0)</f>
        <v>6.0235042735042912</v>
      </c>
      <c r="AH156" s="12">
        <f t="array" ref="AH156">INDEX(AG:AG,MIN(IF(ISNUMBER(AG156:AG352),ROW(AG156:AG352),"")))</f>
        <v>6.0235042735042912</v>
      </c>
      <c r="AI156" s="13">
        <f>IF('Données projet'!$A$62&gt;35,AI155+AH156-AQ155,IF(A156&lt;'Données projet'!$A$62,$AF$205^A156,IF(A156='Données projet'!$A$62,'Données projet'!$B$62,AI155+AH156-AQ155)))</f>
        <v>292.90384615384539</v>
      </c>
      <c r="AJ156" s="13">
        <f>AI156*VLOOKUP('Données projet'!$B$10,Paramètres!$A$1:$I$89,3,0)*VLOOKUP('Données projet'!$B$10,Paramètres!$A$1:$I$89,5,0)</f>
        <v>283.29659999999927</v>
      </c>
      <c r="AK156" s="13">
        <f t="shared" si="164"/>
        <v>67.663199934724119</v>
      </c>
      <c r="AL156" s="20">
        <f t="shared" si="165"/>
        <v>611.2549848863099</v>
      </c>
      <c r="AM156" s="59">
        <f t="shared" si="113"/>
        <v>904.58831821964327</v>
      </c>
      <c r="AN156" s="59">
        <f ca="1">AVERAGE(OFFSET($AM$3,0,0,'Données projet'!$E$10+1,1))-AVERAGE(OFFSET($H$3,0,0,'Données projet'!$E$10+1,1))</f>
        <v>340.4659523898373</v>
      </c>
      <c r="AO156" s="59">
        <f t="shared" si="144"/>
        <v>170.54530785680572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105.26282051282051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1.3670842236024327E-14</v>
      </c>
      <c r="BF156" s="13">
        <f t="shared" si="167"/>
        <v>2.5890519619727347E-13</v>
      </c>
      <c r="BG156" s="20">
        <f t="shared" si="168"/>
        <v>4.7473660027132696E-13</v>
      </c>
      <c r="BH156" s="59">
        <f t="shared" si="116"/>
        <v>293.33333333333377</v>
      </c>
      <c r="BI156" s="59">
        <f ca="1">AVERAGE(OFFSET($BH$3,0,0,'Données projet'!$E$11+1,1))-AVERAGE(OFFSET($H$3,0,0,'Données projet'!$E$11+1,1))</f>
        <v>162.52375757962767</v>
      </c>
      <c r="BJ156" s="59">
        <f t="shared" si="146"/>
        <v>162.18047435246194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2.724358974358978</v>
      </c>
      <c r="N157" s="13">
        <f>IF('Données projet'!$A$36&gt;35,N156+M157-V156,IF(A157&lt;'Données projet'!$A$36,$K$205^A157,IF(A157='Données projet'!$A$36,'Données projet'!$B$36,N156+M157-V156)))</f>
        <v>190.3653846153839</v>
      </c>
      <c r="O157" s="13">
        <f>N157*VLOOKUP('Données projet'!$B$9,Paramètres!$A$1:$I$89,3,0)*VLOOKUP('Données projet'!$B$9,Paramètres!$A$1:$I$89,5,0)</f>
        <v>172.24259999999936</v>
      </c>
      <c r="P157" s="13">
        <f t="shared" si="141"/>
        <v>43.591907642239391</v>
      </c>
      <c r="Q157" s="20">
        <f t="shared" si="162"/>
        <v>375.91176747689912</v>
      </c>
      <c r="R157" s="59">
        <f t="shared" si="109"/>
        <v>669.24510081023243</v>
      </c>
      <c r="S157" s="59">
        <f ca="1">AVERAGE(OFFSET($R$3,0,0,'Données projet'!$E$9+1,1))-AVERAGE(OFFSET($H$3,0,0,'Données projet'!$E$9+1,1))</f>
        <v>309.07357540707869</v>
      </c>
      <c r="T157" s="59">
        <f t="shared" si="142"/>
        <v>155.9593924683299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2.724358974358978</v>
      </c>
      <c r="AI157" s="13">
        <f>IF('Données projet'!$A$62&gt;35,AI156+AH157-AQ156,IF(A157&lt;'Données projet'!$A$62,$AF$205^A157,IF(A157='Données projet'!$A$62,'Données projet'!$B$62,AI156+AH157-AQ156)))</f>
        <v>190.3653846153839</v>
      </c>
      <c r="AJ157" s="13">
        <f>AI157*VLOOKUP('Données projet'!$B$10,Paramètres!$A$1:$I$89,3,0)*VLOOKUP('Données projet'!$B$10,Paramètres!$A$1:$I$89,5,0)</f>
        <v>184.12139999999931</v>
      </c>
      <c r="AK157" s="13">
        <f t="shared" si="164"/>
        <v>46.237910125715722</v>
      </c>
      <c r="AL157" s="20">
        <f t="shared" si="165"/>
        <v>401.209131802287</v>
      </c>
      <c r="AM157" s="59">
        <f t="shared" si="113"/>
        <v>694.54246513562032</v>
      </c>
      <c r="AN157" s="59">
        <f ca="1">AVERAGE(OFFSET($AM$3,0,0,'Données projet'!$E$10+1,1))-AVERAGE(OFFSET($H$3,0,0,'Données projet'!$E$10+1,1))</f>
        <v>340.4659523898373</v>
      </c>
      <c r="AO157" s="59">
        <f t="shared" si="144"/>
        <v>170.54530785680572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1.3670842236024327E-14</v>
      </c>
      <c r="BF157" s="13">
        <f t="shared" si="167"/>
        <v>2.5890519619727347E-13</v>
      </c>
      <c r="BG157" s="20">
        <f t="shared" si="168"/>
        <v>4.7473660027132696E-13</v>
      </c>
      <c r="BH157" s="59">
        <f t="shared" si="116"/>
        <v>293.33333333333377</v>
      </c>
      <c r="BI157" s="59">
        <f ca="1">AVERAGE(OFFSET($BH$3,0,0,'Données projet'!$E$11+1,1))-AVERAGE(OFFSET($H$3,0,0,'Données projet'!$E$11+1,1))</f>
        <v>162.52375757962767</v>
      </c>
      <c r="BJ157" s="59">
        <f t="shared" si="146"/>
        <v>162.18047435246194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2.724358974358978</v>
      </c>
      <c r="N158" s="13">
        <f>IF('Données projet'!$A$36&gt;35,N157+M158-V157,IF(A158&lt;'Données projet'!$A$36,$K$205^A158,IF(A158='Données projet'!$A$36,'Données projet'!$B$36,N157+M158-V157)))</f>
        <v>193.08974358974288</v>
      </c>
      <c r="O158" s="13">
        <f>N158*VLOOKUP('Données projet'!$B$9,Paramètres!$A$1:$I$89,3,0)*VLOOKUP('Données projet'!$B$9,Paramètres!$A$1:$I$89,5,0)</f>
        <v>174.70759999999936</v>
      </c>
      <c r="P158" s="13">
        <f t="shared" si="141"/>
        <v>44.142687394836166</v>
      </c>
      <c r="Q158" s="20">
        <f t="shared" si="162"/>
        <v>381.16425054600518</v>
      </c>
      <c r="R158" s="59">
        <f t="shared" si="109"/>
        <v>674.49758387933844</v>
      </c>
      <c r="S158" s="59">
        <f ca="1">AVERAGE(OFFSET($R$3,0,0,'Données projet'!$E$9+1,1))-AVERAGE(OFFSET($H$3,0,0,'Données projet'!$E$9+1,1))</f>
        <v>309.07357540707869</v>
      </c>
      <c r="T158" s="59">
        <f t="shared" si="142"/>
        <v>155.9593924683299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2.724358974358978</v>
      </c>
      <c r="AI158" s="13">
        <f>IF('Données projet'!$A$62&gt;35,AI157+AH158-AQ157,IF(A158&lt;'Données projet'!$A$62,$AF$205^A158,IF(A158='Données projet'!$A$62,'Données projet'!$B$62,AI157+AH158-AQ157)))</f>
        <v>193.08974358974288</v>
      </c>
      <c r="AJ158" s="13">
        <f>AI158*VLOOKUP('Données projet'!$B$10,Paramètres!$A$1:$I$89,3,0)*VLOOKUP('Données projet'!$B$10,Paramètres!$A$1:$I$89,5,0)</f>
        <v>186.7563999999993</v>
      </c>
      <c r="AK158" s="13">
        <f t="shared" si="164"/>
        <v>46.822121876865488</v>
      </c>
      <c r="AL158" s="20">
        <f t="shared" si="165"/>
        <v>406.81592560220616</v>
      </c>
      <c r="AM158" s="59">
        <f t="shared" si="113"/>
        <v>700.14925893553948</v>
      </c>
      <c r="AN158" s="59">
        <f ca="1">AVERAGE(OFFSET($AM$3,0,0,'Données projet'!$E$10+1,1))-AVERAGE(OFFSET($H$3,0,0,'Données projet'!$E$10+1,1))</f>
        <v>340.4659523898373</v>
      </c>
      <c r="AO158" s="59">
        <f t="shared" si="144"/>
        <v>170.54530785680572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1.3670842236024327E-14</v>
      </c>
      <c r="BF158" s="13">
        <f t="shared" si="167"/>
        <v>2.5890519619727347E-13</v>
      </c>
      <c r="BG158" s="20">
        <f t="shared" si="168"/>
        <v>4.7473660027132696E-13</v>
      </c>
      <c r="BH158" s="59">
        <f t="shared" si="116"/>
        <v>293.33333333333377</v>
      </c>
      <c r="BI158" s="59">
        <f ca="1">AVERAGE(OFFSET($BH$3,0,0,'Données projet'!$E$11+1,1))-AVERAGE(OFFSET($H$3,0,0,'Données projet'!$E$11+1,1))</f>
        <v>162.52375757962767</v>
      </c>
      <c r="BJ158" s="59">
        <f t="shared" si="146"/>
        <v>162.18047435246194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>
        <f>VLOOKUP(A159,'Données projet'!$A$35:$I$55,2,0)</f>
        <v>195.81410256410257</v>
      </c>
      <c r="L159" s="12">
        <f>VLOOKUP(A159,'Données projet'!$A$35:$I$55,9,0)</f>
        <v>2.724358974358978</v>
      </c>
      <c r="M159" s="12">
        <f t="array" ref="M159">INDEX(L:L,MIN(IF(ISNUMBER(L159:L355),ROW(L159:L355),"")))</f>
        <v>2.724358974358978</v>
      </c>
      <c r="N159" s="13">
        <f>IF('Données projet'!$A$36&gt;35,N158+M159-V158,IF(A159&lt;'Données projet'!$A$36,$K$205^A159,IF(A159='Données projet'!$A$36,'Données projet'!$B$36,N158+M159-V158)))</f>
        <v>195.81410256410186</v>
      </c>
      <c r="O159" s="13">
        <f>N159*VLOOKUP('Données projet'!$B$9,Paramètres!$A$1:$I$89,3,0)*VLOOKUP('Données projet'!$B$9,Paramètres!$A$1:$I$89,5,0)</f>
        <v>177.17259999999936</v>
      </c>
      <c r="P159" s="13">
        <f t="shared" si="141"/>
        <v>44.692563300824965</v>
      </c>
      <c r="Q159" s="20">
        <f t="shared" si="162"/>
        <v>386.41515941560237</v>
      </c>
      <c r="R159" s="59">
        <f t="shared" si="109"/>
        <v>679.74849274893563</v>
      </c>
      <c r="S159" s="59">
        <f ca="1">AVERAGE(OFFSET($R$3,0,0,'Données projet'!$E$9+1,1))-AVERAGE(OFFSET($H$3,0,0,'Données projet'!$E$9+1,1))</f>
        <v>309.07357540707869</v>
      </c>
      <c r="T159" s="59">
        <f t="shared" si="142"/>
        <v>155.9593924683299</v>
      </c>
      <c r="U159" s="15">
        <f>IF(ISNA(VLOOKUP(A159,'Données projet'!$A$35:$I$55,3,0)),0,VLOOKUP(A159,'Données projet'!$A$35:$I$55,3,0))</f>
        <v>16</v>
      </c>
      <c r="V159" s="15">
        <f>IF(ISNA(VLOOKUP(A159,'Données projet'!$A$35:$I$55,4,0)),0,VLOOKUP(A159,'Données projet'!$A$35:$I$55,4,0))</f>
        <v>65.070512820512818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195.81410256410257</v>
      </c>
      <c r="AG159" s="12">
        <f>VLOOKUP(A159,'Données projet'!$A$61:$I$81,9,0)</f>
        <v>2.724358974358978</v>
      </c>
      <c r="AH159" s="12">
        <f t="array" ref="AH159">INDEX(AG:AG,MIN(IF(ISNUMBER(AG159:AG355),ROW(AG159:AG355),"")))</f>
        <v>2.724358974358978</v>
      </c>
      <c r="AI159" s="13">
        <f>IF('Données projet'!$A$62&gt;35,AI158+AH159-AQ158,IF(A159&lt;'Données projet'!$A$62,$AF$205^A159,IF(A159='Données projet'!$A$62,'Données projet'!$B$62,AI158+AH159-AQ158)))</f>
        <v>195.81410256410186</v>
      </c>
      <c r="AJ159" s="13">
        <f>AI159*VLOOKUP('Données projet'!$B$10,Paramètres!$A$1:$I$89,3,0)*VLOOKUP('Données projet'!$B$10,Paramètres!$A$1:$I$89,5,0)</f>
        <v>189.39139999999932</v>
      </c>
      <c r="AK159" s="13">
        <f t="shared" si="164"/>
        <v>47.40537491846375</v>
      </c>
      <c r="AL159" s="20">
        <f t="shared" si="165"/>
        <v>412.42104964965648</v>
      </c>
      <c r="AM159" s="59">
        <f t="shared" si="113"/>
        <v>705.7543829829898</v>
      </c>
      <c r="AN159" s="59">
        <f ca="1">AVERAGE(OFFSET($AM$3,0,0,'Données projet'!$E$10+1,1))-AVERAGE(OFFSET($H$3,0,0,'Données projet'!$E$10+1,1))</f>
        <v>340.4659523898373</v>
      </c>
      <c r="AO159" s="59">
        <f t="shared" si="144"/>
        <v>170.54530785680572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65.070512820512818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1.3670842236024327E-14</v>
      </c>
      <c r="BF159" s="13">
        <f t="shared" si="167"/>
        <v>2.5890519619727347E-13</v>
      </c>
      <c r="BG159" s="20">
        <f t="shared" si="168"/>
        <v>4.7473660027132696E-13</v>
      </c>
      <c r="BH159" s="59">
        <f t="shared" si="116"/>
        <v>293.33333333333377</v>
      </c>
      <c r="BI159" s="59">
        <f ca="1">AVERAGE(OFFSET($BH$3,0,0,'Données projet'!$E$11+1,1))-AVERAGE(OFFSET($H$3,0,0,'Données projet'!$E$11+1,1))</f>
        <v>162.52375757962767</v>
      </c>
      <c r="BJ159" s="59">
        <f t="shared" si="146"/>
        <v>162.18047435246194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1.6025641025640975</v>
      </c>
      <c r="N160" s="13">
        <f>IF('Données projet'!$A$36&gt;35,N159+M160-V159,IF(A160&lt;'Données projet'!$A$36,$K$205^A160,IF(A160='Données projet'!$A$36,'Données projet'!$B$36,N159+M160-V159)))</f>
        <v>132.34615384615313</v>
      </c>
      <c r="O160" s="13">
        <f>N160*VLOOKUP('Données projet'!$B$9,Paramètres!$A$1:$I$89,3,0)*VLOOKUP('Données projet'!$B$9,Paramètres!$A$1:$I$89,5,0)</f>
        <v>119.74679999999935</v>
      </c>
      <c r="P160" s="13">
        <f t="shared" si="141"/>
        <v>31.615937294397835</v>
      </c>
      <c r="Q160" s="20">
        <f t="shared" si="162"/>
        <v>263.62343412107509</v>
      </c>
      <c r="R160" s="59">
        <f t="shared" si="109"/>
        <v>556.95676745440846</v>
      </c>
      <c r="S160" s="59">
        <f ca="1">AVERAGE(OFFSET($R$3,0,0,'Données projet'!$E$9+1,1))-AVERAGE(OFFSET($H$3,0,0,'Données projet'!$E$9+1,1))</f>
        <v>309.07357540707869</v>
      </c>
      <c r="T160" s="59">
        <f t="shared" si="142"/>
        <v>155.9593924683299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1.6025641025640975</v>
      </c>
      <c r="AI160" s="13">
        <f>IF('Données projet'!$A$62&gt;35,AI159+AH160-AQ159,IF(A160&lt;'Données projet'!$A$62,$AF$205^A160,IF(A160='Données projet'!$A$62,'Données projet'!$B$62,AI159+AH160-AQ159)))</f>
        <v>132.34615384615313</v>
      </c>
      <c r="AJ160" s="13">
        <f>AI160*VLOOKUP('Données projet'!$B$10,Paramètres!$A$1:$I$89,3,0)*VLOOKUP('Données projet'!$B$10,Paramètres!$A$1:$I$89,5,0)</f>
        <v>128.00519999999929</v>
      </c>
      <c r="AK160" s="13">
        <f t="shared" si="164"/>
        <v>33.535005605997647</v>
      </c>
      <c r="AL160" s="20">
        <f t="shared" si="165"/>
        <v>281.34919143044465</v>
      </c>
      <c r="AM160" s="59">
        <f t="shared" si="113"/>
        <v>574.68252476377802</v>
      </c>
      <c r="AN160" s="59">
        <f ca="1">AVERAGE(OFFSET($AM$3,0,0,'Données projet'!$E$10+1,1))-AVERAGE(OFFSET($H$3,0,0,'Données projet'!$E$10+1,1))</f>
        <v>340.4659523898373</v>
      </c>
      <c r="AO160" s="59">
        <f t="shared" si="144"/>
        <v>170.54530785680572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1.3670842236024327E-14</v>
      </c>
      <c r="BF160" s="13">
        <f t="shared" si="167"/>
        <v>2.5890519619727347E-13</v>
      </c>
      <c r="BG160" s="20">
        <f t="shared" si="168"/>
        <v>4.7473660027132696E-13</v>
      </c>
      <c r="BH160" s="59">
        <f t="shared" si="116"/>
        <v>293.33333333333377</v>
      </c>
      <c r="BI160" s="59">
        <f ca="1">AVERAGE(OFFSET($BH$3,0,0,'Données projet'!$E$11+1,1))-AVERAGE(OFFSET($H$3,0,0,'Données projet'!$E$11+1,1))</f>
        <v>162.52375757962767</v>
      </c>
      <c r="BJ160" s="59">
        <f t="shared" si="146"/>
        <v>162.18047435246194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1.6025641025640975</v>
      </c>
      <c r="N161" s="13">
        <f>IF('Données projet'!$A$36&gt;35,N160+M161-V160,IF(A161&lt;'Données projet'!$A$36,$K$205^A161,IF(A161='Données projet'!$A$36,'Données projet'!$B$36,N160+M161-V160)))</f>
        <v>133.94871794871722</v>
      </c>
      <c r="O161" s="13">
        <f>N161*VLOOKUP('Données projet'!$B$9,Paramètres!$A$1:$I$89,3,0)*VLOOKUP('Données projet'!$B$9,Paramètres!$A$1:$I$89,5,0)</f>
        <v>121.19679999999934</v>
      </c>
      <c r="P161" s="13">
        <f t="shared" si="141"/>
        <v>31.953971815874091</v>
      </c>
      <c r="Q161" s="20">
        <f t="shared" si="162"/>
        <v>266.73759424597955</v>
      </c>
      <c r="R161" s="59">
        <f t="shared" si="109"/>
        <v>560.07092757931287</v>
      </c>
      <c r="S161" s="59">
        <f ca="1">AVERAGE(OFFSET($R$3,0,0,'Données projet'!$E$9+1,1))-AVERAGE(OFFSET($H$3,0,0,'Données projet'!$E$9+1,1))</f>
        <v>309.07357540707869</v>
      </c>
      <c r="T161" s="59">
        <f t="shared" si="142"/>
        <v>155.9593924683299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1.6025641025640975</v>
      </c>
      <c r="AI161" s="13">
        <f>IF('Données projet'!$A$62&gt;35,AI160+AH161-AQ160,IF(A161&lt;'Données projet'!$A$62,$AF$205^A161,IF(A161='Données projet'!$A$62,'Données projet'!$B$62,AI160+AH161-AQ160)))</f>
        <v>133.94871794871722</v>
      </c>
      <c r="AJ161" s="13">
        <f>AI161*VLOOKUP('Données projet'!$B$10,Paramètres!$A$1:$I$89,3,0)*VLOOKUP('Données projet'!$B$10,Paramètres!$A$1:$I$89,5,0)</f>
        <v>129.5551999999993</v>
      </c>
      <c r="AK161" s="13">
        <f t="shared" si="164"/>
        <v>33.89355861890278</v>
      </c>
      <c r="AL161" s="20">
        <f t="shared" si="165"/>
        <v>284.67325459458777</v>
      </c>
      <c r="AM161" s="59">
        <f t="shared" si="113"/>
        <v>578.00658792792115</v>
      </c>
      <c r="AN161" s="59">
        <f ca="1">AVERAGE(OFFSET($AM$3,0,0,'Données projet'!$E$10+1,1))-AVERAGE(OFFSET($H$3,0,0,'Données projet'!$E$10+1,1))</f>
        <v>340.4659523898373</v>
      </c>
      <c r="AO161" s="59">
        <f t="shared" si="144"/>
        <v>170.54530785680572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1.3670842236024327E-14</v>
      </c>
      <c r="BF161" s="13">
        <f t="shared" si="167"/>
        <v>2.5890519619727347E-13</v>
      </c>
      <c r="BG161" s="20">
        <f t="shared" si="168"/>
        <v>4.7473660027132696E-13</v>
      </c>
      <c r="BH161" s="59">
        <f t="shared" si="116"/>
        <v>293.33333333333377</v>
      </c>
      <c r="BI161" s="59">
        <f ca="1">AVERAGE(OFFSET($BH$3,0,0,'Données projet'!$E$11+1,1))-AVERAGE(OFFSET($H$3,0,0,'Données projet'!$E$11+1,1))</f>
        <v>162.52375757962767</v>
      </c>
      <c r="BJ161" s="59">
        <f t="shared" si="146"/>
        <v>162.18047435246194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>
        <f>VLOOKUP(A162,'Données projet'!$A$35:$I$55,2,0)</f>
        <v>135.55128205128204</v>
      </c>
      <c r="L162" s="12">
        <f>VLOOKUP(A162,'Données projet'!$A$35:$I$55,9,0)</f>
        <v>1.6025641025640975</v>
      </c>
      <c r="M162" s="12">
        <f t="array" ref="M162">INDEX(L:L,MIN(IF(ISNUMBER(L162:L358),ROW(L162:L358),"")))</f>
        <v>1.6025641025640975</v>
      </c>
      <c r="N162" s="13">
        <f>IF('Données projet'!$A$36&gt;35,N161+M162-V161,IF(A162&lt;'Données projet'!$A$36,$K$205^A162,IF(A162='Données projet'!$A$36,'Données projet'!$B$36,N161+M162-V161)))</f>
        <v>135.55128205128131</v>
      </c>
      <c r="O162" s="13">
        <f>N162*VLOOKUP('Données projet'!$B$9,Paramètres!$A$1:$I$89,3,0)*VLOOKUP('Données projet'!$B$9,Paramètres!$A$1:$I$89,5,0)</f>
        <v>122.64679999999932</v>
      </c>
      <c r="P162" s="13">
        <f t="shared" si="141"/>
        <v>32.291535902514525</v>
      </c>
      <c r="Q162" s="20">
        <f t="shared" si="162"/>
        <v>269.85093503021159</v>
      </c>
      <c r="R162" s="59">
        <f t="shared" si="109"/>
        <v>563.1842683635449</v>
      </c>
      <c r="S162" s="59">
        <f ca="1">AVERAGE(OFFSET($R$3,0,0,'Données projet'!$E$9+1,1))-AVERAGE(OFFSET($H$3,0,0,'Données projet'!$E$9+1,1))</f>
        <v>309.07357540707869</v>
      </c>
      <c r="T162" s="59">
        <f t="shared" si="142"/>
        <v>155.9593924683299</v>
      </c>
      <c r="U162" s="15">
        <f>IF(ISNA(VLOOKUP(A162,'Données projet'!$A$35:$I$55,3,0)),0,VLOOKUP(A162,'Données projet'!$A$35:$I$55,3,0))</f>
        <v>17</v>
      </c>
      <c r="V162" s="15">
        <f>IF(ISNA(VLOOKUP(A162,'Données projet'!$A$35:$I$55,4,0)),0,VLOOKUP(A162,'Données projet'!$A$35:$I$55,4,0))</f>
        <v>135.55128205128204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135.55128205128204</v>
      </c>
      <c r="AG162" s="12">
        <f>VLOOKUP(A162,'Données projet'!$A$61:$I$81,9,0)</f>
        <v>1.6025641025640975</v>
      </c>
      <c r="AH162" s="12">
        <f t="array" ref="AH162">INDEX(AG:AG,MIN(IF(ISNUMBER(AG162:AG358),ROW(AG162:AG358),"")))</f>
        <v>1.6025641025640975</v>
      </c>
      <c r="AI162" s="13">
        <f>IF('Données projet'!$A$62&gt;35,AI161+AH162-AQ161,IF(A162&lt;'Données projet'!$A$62,$AF$205^A162,IF(A162='Données projet'!$A$62,'Données projet'!$B$62,AI161+AH162-AQ161)))</f>
        <v>135.55128205128131</v>
      </c>
      <c r="AJ162" s="13">
        <f>AI162*VLOOKUP('Données projet'!$B$10,Paramètres!$A$1:$I$89,3,0)*VLOOKUP('Données projet'!$B$10,Paramètres!$A$1:$I$89,5,0)</f>
        <v>131.10519999999929</v>
      </c>
      <c r="AK162" s="13">
        <f t="shared" si="164"/>
        <v>34.251612641861549</v>
      </c>
      <c r="AL162" s="20">
        <f t="shared" si="165"/>
        <v>287.99644868457426</v>
      </c>
      <c r="AM162" s="59">
        <f t="shared" si="113"/>
        <v>581.32978201790752</v>
      </c>
      <c r="AN162" s="59">
        <f ca="1">AVERAGE(OFFSET($AM$3,0,0,'Données projet'!$E$10+1,1))-AVERAGE(OFFSET($H$3,0,0,'Données projet'!$E$10+1,1))</f>
        <v>340.4659523898373</v>
      </c>
      <c r="AO162" s="59">
        <f t="shared" si="144"/>
        <v>170.54530785680572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135.55128205128204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1.3670842236024327E-14</v>
      </c>
      <c r="BF162" s="13">
        <f t="shared" si="167"/>
        <v>2.5890519619727347E-13</v>
      </c>
      <c r="BG162" s="20">
        <f t="shared" si="168"/>
        <v>4.7473660027132696E-13</v>
      </c>
      <c r="BH162" s="59">
        <f t="shared" si="116"/>
        <v>293.33333333333377</v>
      </c>
      <c r="BI162" s="59">
        <f ca="1">AVERAGE(OFFSET($BH$3,0,0,'Données projet'!$E$11+1,1))-AVERAGE(OFFSET($H$3,0,0,'Données projet'!$E$11+1,1))</f>
        <v>162.52375757962767</v>
      </c>
      <c r="BJ162" s="59">
        <f t="shared" si="146"/>
        <v>162.18047435246194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-7.3896444519050419E-13</v>
      </c>
      <c r="O163" s="13">
        <f>N163*VLOOKUP('Données projet'!$B$9,Paramètres!$A$1:$I$89,3,0)*VLOOKUP('Données projet'!$B$9,Paramètres!$A$1:$I$89,5,0)</f>
        <v>-6.6861503000836817E-13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309.07357540707869</v>
      </c>
      <c r="T163" s="59">
        <f t="shared" si="142"/>
        <v>155.9593924683299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-7.3896444519050419E-13</v>
      </c>
      <c r="AJ163" s="13">
        <f>AI163*VLOOKUP('Données projet'!$B$10,Paramètres!$A$1:$I$89,3,0)*VLOOKUP('Données projet'!$B$10,Paramètres!$A$1:$I$89,5,0)</f>
        <v>-7.147264113882557E-13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340.4659523898373</v>
      </c>
      <c r="AO163" s="59">
        <f t="shared" si="144"/>
        <v>170.54530785680572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1.3670842236024327E-14</v>
      </c>
      <c r="BF163" s="13">
        <f t="shared" si="167"/>
        <v>2.5890519619727347E-13</v>
      </c>
      <c r="BG163" s="20">
        <f t="shared" si="168"/>
        <v>4.7473660027132696E-13</v>
      </c>
      <c r="BH163" s="59">
        <f t="shared" si="116"/>
        <v>293.33333333333377</v>
      </c>
      <c r="BI163" s="59">
        <f ca="1">AVERAGE(OFFSET($BH$3,0,0,'Données projet'!$E$11+1,1))-AVERAGE(OFFSET($H$3,0,0,'Données projet'!$E$11+1,1))</f>
        <v>162.52375757962767</v>
      </c>
      <c r="BJ163" s="59">
        <f t="shared" si="146"/>
        <v>162.18047435246194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-7.3896444519050419E-13</v>
      </c>
      <c r="O164" s="13">
        <f>N164*VLOOKUP('Données projet'!$B$9,Paramètres!$A$1:$I$89,3,0)*VLOOKUP('Données projet'!$B$9,Paramètres!$A$1:$I$89,5,0)</f>
        <v>-6.6861503000836817E-13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309.07357540707869</v>
      </c>
      <c r="T164" s="59">
        <f t="shared" si="142"/>
        <v>155.9593924683299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-7.3896444519050419E-13</v>
      </c>
      <c r="AJ164" s="13">
        <f>AI164*VLOOKUP('Données projet'!$B$10,Paramètres!$A$1:$I$89,3,0)*VLOOKUP('Données projet'!$B$10,Paramètres!$A$1:$I$89,5,0)</f>
        <v>-7.147264113882557E-13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340.4659523898373</v>
      </c>
      <c r="AO164" s="59">
        <f t="shared" si="144"/>
        <v>170.54530785680572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1.3670842236024327E-14</v>
      </c>
      <c r="BF164" s="13">
        <f t="shared" si="167"/>
        <v>2.5890519619727347E-13</v>
      </c>
      <c r="BG164" s="20">
        <f t="shared" si="168"/>
        <v>4.7473660027132696E-13</v>
      </c>
      <c r="BH164" s="59">
        <f t="shared" si="116"/>
        <v>293.33333333333377</v>
      </c>
      <c r="BI164" s="59">
        <f ca="1">AVERAGE(OFFSET($BH$3,0,0,'Données projet'!$E$11+1,1))-AVERAGE(OFFSET($H$3,0,0,'Données projet'!$E$11+1,1))</f>
        <v>162.52375757962767</v>
      </c>
      <c r="BJ164" s="59">
        <f t="shared" si="146"/>
        <v>162.18047435246194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-7.3896444519050419E-13</v>
      </c>
      <c r="O165" s="13">
        <f>N165*VLOOKUP('Données projet'!$B$9,Paramètres!$A$1:$I$89,3,0)*VLOOKUP('Données projet'!$B$9,Paramètres!$A$1:$I$89,5,0)</f>
        <v>-6.6861503000836817E-13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309.07357540707869</v>
      </c>
      <c r="T165" s="59">
        <f t="shared" si="142"/>
        <v>155.9593924683299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-7.3896444519050419E-13</v>
      </c>
      <c r="AJ165" s="13">
        <f>AI165*VLOOKUP('Données projet'!$B$10,Paramètres!$A$1:$I$89,3,0)*VLOOKUP('Données projet'!$B$10,Paramètres!$A$1:$I$89,5,0)</f>
        <v>-7.147264113882557E-13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340.4659523898373</v>
      </c>
      <c r="AO165" s="59">
        <f t="shared" si="144"/>
        <v>170.54530785680572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1.3670842236024327E-14</v>
      </c>
      <c r="BF165" s="13">
        <f t="shared" si="167"/>
        <v>2.5890519619727347E-13</v>
      </c>
      <c r="BG165" s="20">
        <f t="shared" si="168"/>
        <v>4.7473660027132696E-13</v>
      </c>
      <c r="BH165" s="59">
        <f t="shared" si="116"/>
        <v>293.33333333333377</v>
      </c>
      <c r="BI165" s="59">
        <f ca="1">AVERAGE(OFFSET($BH$3,0,0,'Données projet'!$E$11+1,1))-AVERAGE(OFFSET($H$3,0,0,'Données projet'!$E$11+1,1))</f>
        <v>162.52375757962767</v>
      </c>
      <c r="BJ165" s="59">
        <f t="shared" si="146"/>
        <v>162.18047435246194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-7.3896444519050419E-13</v>
      </c>
      <c r="O166" s="13">
        <f>N166*VLOOKUP('Données projet'!$B$9,Paramètres!$A$1:$I$89,3,0)*VLOOKUP('Données projet'!$B$9,Paramètres!$A$1:$I$89,5,0)</f>
        <v>-6.6861503000836817E-13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309.07357540707869</v>
      </c>
      <c r="T166" s="59">
        <f t="shared" si="142"/>
        <v>155.9593924683299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-7.3896444519050419E-13</v>
      </c>
      <c r="AJ166" s="13">
        <f>AI166*VLOOKUP('Données projet'!$B$10,Paramètres!$A$1:$I$89,3,0)*VLOOKUP('Données projet'!$B$10,Paramètres!$A$1:$I$89,5,0)</f>
        <v>-7.147264113882557E-13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340.4659523898373</v>
      </c>
      <c r="AO166" s="59">
        <f t="shared" si="144"/>
        <v>170.54530785680572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1.3670842236024327E-14</v>
      </c>
      <c r="BF166" s="13">
        <f t="shared" si="167"/>
        <v>2.5890519619727347E-13</v>
      </c>
      <c r="BG166" s="20">
        <f t="shared" si="168"/>
        <v>4.7473660027132696E-13</v>
      </c>
      <c r="BH166" s="59">
        <f t="shared" si="116"/>
        <v>293.33333333333377</v>
      </c>
      <c r="BI166" s="59">
        <f ca="1">AVERAGE(OFFSET($BH$3,0,0,'Données projet'!$E$11+1,1))-AVERAGE(OFFSET($H$3,0,0,'Données projet'!$E$11+1,1))</f>
        <v>162.52375757962767</v>
      </c>
      <c r="BJ166" s="59">
        <f t="shared" si="146"/>
        <v>162.18047435246194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-7.3896444519050419E-13</v>
      </c>
      <c r="O167" s="13">
        <f>N167*VLOOKUP('Données projet'!$B$9,Paramètres!$A$1:$I$89,3,0)*VLOOKUP('Données projet'!$B$9,Paramètres!$A$1:$I$89,5,0)</f>
        <v>-6.6861503000836817E-13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309.07357540707869</v>
      </c>
      <c r="T167" s="59">
        <f t="shared" si="142"/>
        <v>155.9593924683299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-7.3896444519050419E-13</v>
      </c>
      <c r="AJ167" s="13">
        <f>AI167*VLOOKUP('Données projet'!$B$10,Paramètres!$A$1:$I$89,3,0)*VLOOKUP('Données projet'!$B$10,Paramètres!$A$1:$I$89,5,0)</f>
        <v>-7.147264113882557E-13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340.4659523898373</v>
      </c>
      <c r="AO167" s="59">
        <f t="shared" si="144"/>
        <v>170.54530785680572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1.3670842236024327E-14</v>
      </c>
      <c r="BF167" s="13">
        <f t="shared" si="167"/>
        <v>2.5890519619727347E-13</v>
      </c>
      <c r="BG167" s="20">
        <f t="shared" si="168"/>
        <v>4.7473660027132696E-13</v>
      </c>
      <c r="BH167" s="59">
        <f t="shared" si="116"/>
        <v>293.33333333333377</v>
      </c>
      <c r="BI167" s="59">
        <f ca="1">AVERAGE(OFFSET($BH$3,0,0,'Données projet'!$E$11+1,1))-AVERAGE(OFFSET($H$3,0,0,'Données projet'!$E$11+1,1))</f>
        <v>162.52375757962767</v>
      </c>
      <c r="BJ167" s="59">
        <f t="shared" si="146"/>
        <v>162.18047435246194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-7.3896444519050419E-13</v>
      </c>
      <c r="O168" s="13">
        <f>N168*VLOOKUP('Données projet'!$B$9,Paramètres!$A$1:$I$89,3,0)*VLOOKUP('Données projet'!$B$9,Paramètres!$A$1:$I$89,5,0)</f>
        <v>-6.6861503000836817E-13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309.07357540707869</v>
      </c>
      <c r="T168" s="59">
        <f t="shared" si="142"/>
        <v>155.9593924683299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-7.3896444519050419E-13</v>
      </c>
      <c r="AJ168" s="13">
        <f>AI168*VLOOKUP('Données projet'!$B$10,Paramètres!$A$1:$I$89,3,0)*VLOOKUP('Données projet'!$B$10,Paramètres!$A$1:$I$89,5,0)</f>
        <v>-7.147264113882557E-13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340.4659523898373</v>
      </c>
      <c r="AO168" s="59">
        <f t="shared" si="144"/>
        <v>170.54530785680572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1.3670842236024327E-14</v>
      </c>
      <c r="BF168" s="13">
        <f t="shared" si="167"/>
        <v>2.5890519619727347E-13</v>
      </c>
      <c r="BG168" s="20">
        <f t="shared" si="168"/>
        <v>4.7473660027132696E-13</v>
      </c>
      <c r="BH168" s="59">
        <f t="shared" si="116"/>
        <v>293.33333333333377</v>
      </c>
      <c r="BI168" s="59">
        <f ca="1">AVERAGE(OFFSET($BH$3,0,0,'Données projet'!$E$11+1,1))-AVERAGE(OFFSET($H$3,0,0,'Données projet'!$E$11+1,1))</f>
        <v>162.52375757962767</v>
      </c>
      <c r="BJ168" s="59">
        <f t="shared" si="146"/>
        <v>162.18047435246194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-7.3896444519050419E-13</v>
      </c>
      <c r="O169" s="13">
        <f>N169*VLOOKUP('Données projet'!$B$9,Paramètres!$A$1:$I$89,3,0)*VLOOKUP('Données projet'!$B$9,Paramètres!$A$1:$I$89,5,0)</f>
        <v>-6.6861503000836817E-13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309.07357540707869</v>
      </c>
      <c r="T169" s="59">
        <f t="shared" si="142"/>
        <v>155.9593924683299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-7.3896444519050419E-13</v>
      </c>
      <c r="AJ169" s="13">
        <f>AI169*VLOOKUP('Données projet'!$B$10,Paramètres!$A$1:$I$89,3,0)*VLOOKUP('Données projet'!$B$10,Paramètres!$A$1:$I$89,5,0)</f>
        <v>-7.147264113882557E-13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340.4659523898373</v>
      </c>
      <c r="AO169" s="59">
        <f t="shared" si="144"/>
        <v>170.54530785680572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1.3670842236024327E-14</v>
      </c>
      <c r="BF169" s="13">
        <f t="shared" si="167"/>
        <v>2.5890519619727347E-13</v>
      </c>
      <c r="BG169" s="20">
        <f t="shared" si="168"/>
        <v>4.7473660027132696E-13</v>
      </c>
      <c r="BH169" s="59">
        <f t="shared" si="116"/>
        <v>293.33333333333377</v>
      </c>
      <c r="BI169" s="59">
        <f ca="1">AVERAGE(OFFSET($BH$3,0,0,'Données projet'!$E$11+1,1))-AVERAGE(OFFSET($H$3,0,0,'Données projet'!$E$11+1,1))</f>
        <v>162.52375757962767</v>
      </c>
      <c r="BJ169" s="59">
        <f t="shared" si="146"/>
        <v>162.18047435246194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-7.3896444519050419E-13</v>
      </c>
      <c r="O170" s="13">
        <f>N170*VLOOKUP('Données projet'!$B$9,Paramètres!$A$1:$I$89,3,0)*VLOOKUP('Données projet'!$B$9,Paramètres!$A$1:$I$89,5,0)</f>
        <v>-6.6861503000836817E-13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309.07357540707869</v>
      </c>
      <c r="T170" s="59">
        <f t="shared" si="142"/>
        <v>155.9593924683299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-7.3896444519050419E-13</v>
      </c>
      <c r="AJ170" s="13">
        <f>AI170*VLOOKUP('Données projet'!$B$10,Paramètres!$A$1:$I$89,3,0)*VLOOKUP('Données projet'!$B$10,Paramètres!$A$1:$I$89,5,0)</f>
        <v>-7.147264113882557E-13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340.4659523898373</v>
      </c>
      <c r="AO170" s="59">
        <f t="shared" si="144"/>
        <v>170.54530785680572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1.3670842236024327E-14</v>
      </c>
      <c r="BF170" s="13">
        <f t="shared" si="167"/>
        <v>2.5890519619727347E-13</v>
      </c>
      <c r="BG170" s="20">
        <f t="shared" si="168"/>
        <v>4.7473660027132696E-13</v>
      </c>
      <c r="BH170" s="59">
        <f t="shared" si="116"/>
        <v>293.33333333333377</v>
      </c>
      <c r="BI170" s="59">
        <f ca="1">AVERAGE(OFFSET($BH$3,0,0,'Données projet'!$E$11+1,1))-AVERAGE(OFFSET($H$3,0,0,'Données projet'!$E$11+1,1))</f>
        <v>162.52375757962767</v>
      </c>
      <c r="BJ170" s="59">
        <f t="shared" si="146"/>
        <v>162.18047435246194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-7.3896444519050419E-13</v>
      </c>
      <c r="O171" s="13">
        <f>N171*VLOOKUP('Données projet'!$B$9,Paramètres!$A$1:$I$89,3,0)*VLOOKUP('Données projet'!$B$9,Paramètres!$A$1:$I$89,5,0)</f>
        <v>-6.6861503000836817E-13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309.07357540707869</v>
      </c>
      <c r="T171" s="59">
        <f t="shared" si="142"/>
        <v>155.9593924683299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-7.3896444519050419E-13</v>
      </c>
      <c r="AJ171" s="13">
        <f>AI171*VLOOKUP('Données projet'!$B$10,Paramètres!$A$1:$I$89,3,0)*VLOOKUP('Données projet'!$B$10,Paramètres!$A$1:$I$89,5,0)</f>
        <v>-7.147264113882557E-13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340.4659523898373</v>
      </c>
      <c r="AO171" s="59">
        <f t="shared" si="144"/>
        <v>170.54530785680572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1.3670842236024327E-14</v>
      </c>
      <c r="BF171" s="13">
        <f t="shared" si="167"/>
        <v>2.5890519619727347E-13</v>
      </c>
      <c r="BG171" s="20">
        <f t="shared" si="168"/>
        <v>4.7473660027132696E-13</v>
      </c>
      <c r="BH171" s="59">
        <f t="shared" si="116"/>
        <v>293.33333333333377</v>
      </c>
      <c r="BI171" s="59">
        <f ca="1">AVERAGE(OFFSET($BH$3,0,0,'Données projet'!$E$11+1,1))-AVERAGE(OFFSET($H$3,0,0,'Données projet'!$E$11+1,1))</f>
        <v>162.52375757962767</v>
      </c>
      <c r="BJ171" s="59">
        <f t="shared" si="146"/>
        <v>162.18047435246194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-7.3896444519050419E-13</v>
      </c>
      <c r="O172" s="13">
        <f>N172*VLOOKUP('Données projet'!$B$9,Paramètres!$A$1:$I$89,3,0)*VLOOKUP('Données projet'!$B$9,Paramètres!$A$1:$I$89,5,0)</f>
        <v>-6.6861503000836817E-13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309.07357540707869</v>
      </c>
      <c r="T172" s="59">
        <f t="shared" si="142"/>
        <v>155.9593924683299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-7.3896444519050419E-13</v>
      </c>
      <c r="AJ172" s="13">
        <f>AI172*VLOOKUP('Données projet'!$B$10,Paramètres!$A$1:$I$89,3,0)*VLOOKUP('Données projet'!$B$10,Paramètres!$A$1:$I$89,5,0)</f>
        <v>-7.147264113882557E-13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340.4659523898373</v>
      </c>
      <c r="AO172" s="59">
        <f t="shared" si="144"/>
        <v>170.54530785680572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1.3670842236024327E-14</v>
      </c>
      <c r="BF172" s="13">
        <f t="shared" si="167"/>
        <v>2.5890519619727347E-13</v>
      </c>
      <c r="BG172" s="20">
        <f t="shared" si="168"/>
        <v>4.7473660027132696E-13</v>
      </c>
      <c r="BH172" s="59">
        <f t="shared" si="116"/>
        <v>293.33333333333377</v>
      </c>
      <c r="BI172" s="59">
        <f ca="1">AVERAGE(OFFSET($BH$3,0,0,'Données projet'!$E$11+1,1))-AVERAGE(OFFSET($H$3,0,0,'Données projet'!$E$11+1,1))</f>
        <v>162.52375757962767</v>
      </c>
      <c r="BJ172" s="59">
        <f t="shared" si="146"/>
        <v>162.18047435246194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-7.3896444519050419E-13</v>
      </c>
      <c r="O173" s="13">
        <f>N173*VLOOKUP('Données projet'!$B$9,Paramètres!$A$1:$I$89,3,0)*VLOOKUP('Données projet'!$B$9,Paramètres!$A$1:$I$89,5,0)</f>
        <v>-6.6861503000836817E-13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309.07357540707869</v>
      </c>
      <c r="T173" s="59">
        <f t="shared" si="142"/>
        <v>155.9593924683299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-7.3896444519050419E-13</v>
      </c>
      <c r="AJ173" s="13">
        <f>AI173*VLOOKUP('Données projet'!$B$10,Paramètres!$A$1:$I$89,3,0)*VLOOKUP('Données projet'!$B$10,Paramètres!$A$1:$I$89,5,0)</f>
        <v>-7.147264113882557E-13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340.4659523898373</v>
      </c>
      <c r="AO173" s="59">
        <f t="shared" si="144"/>
        <v>170.54530785680572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1.3670842236024327E-14</v>
      </c>
      <c r="BF173" s="13">
        <f t="shared" si="167"/>
        <v>2.5890519619727347E-13</v>
      </c>
      <c r="BG173" s="20">
        <f t="shared" si="168"/>
        <v>4.7473660027132696E-13</v>
      </c>
      <c r="BH173" s="59">
        <f t="shared" si="116"/>
        <v>293.33333333333377</v>
      </c>
      <c r="BI173" s="59">
        <f ca="1">AVERAGE(OFFSET($BH$3,0,0,'Données projet'!$E$11+1,1))-AVERAGE(OFFSET($H$3,0,0,'Données projet'!$E$11+1,1))</f>
        <v>162.52375757962767</v>
      </c>
      <c r="BJ173" s="59">
        <f t="shared" si="146"/>
        <v>162.18047435246194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-7.3896444519050419E-13</v>
      </c>
      <c r="O174" s="13">
        <f>N174*VLOOKUP('Données projet'!$B$9,Paramètres!$A$1:$I$89,3,0)*VLOOKUP('Données projet'!$B$9,Paramètres!$A$1:$I$89,5,0)</f>
        <v>-6.6861503000836817E-13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309.07357540707869</v>
      </c>
      <c r="T174" s="59">
        <f t="shared" si="142"/>
        <v>155.9593924683299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-7.3896444519050419E-13</v>
      </c>
      <c r="AJ174" s="13">
        <f>AI174*VLOOKUP('Données projet'!$B$10,Paramètres!$A$1:$I$89,3,0)*VLOOKUP('Données projet'!$B$10,Paramètres!$A$1:$I$89,5,0)</f>
        <v>-7.147264113882557E-13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340.4659523898373</v>
      </c>
      <c r="AO174" s="59">
        <f t="shared" si="144"/>
        <v>170.54530785680572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1.3670842236024327E-14</v>
      </c>
      <c r="BF174" s="13">
        <f t="shared" si="167"/>
        <v>2.5890519619727347E-13</v>
      </c>
      <c r="BG174" s="20">
        <f t="shared" si="168"/>
        <v>4.7473660027132696E-13</v>
      </c>
      <c r="BH174" s="59">
        <f t="shared" si="116"/>
        <v>293.33333333333377</v>
      </c>
      <c r="BI174" s="59">
        <f ca="1">AVERAGE(OFFSET($BH$3,0,0,'Données projet'!$E$11+1,1))-AVERAGE(OFFSET($H$3,0,0,'Données projet'!$E$11+1,1))</f>
        <v>162.52375757962767</v>
      </c>
      <c r="BJ174" s="59">
        <f t="shared" si="146"/>
        <v>162.18047435246194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-7.3896444519050419E-13</v>
      </c>
      <c r="O175" s="13">
        <f>N175*VLOOKUP('Données projet'!$B$9,Paramètres!$A$1:$I$89,3,0)*VLOOKUP('Données projet'!$B$9,Paramètres!$A$1:$I$89,5,0)</f>
        <v>-6.6861503000836817E-13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309.07357540707869</v>
      </c>
      <c r="T175" s="59">
        <f t="shared" si="142"/>
        <v>155.9593924683299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-7.3896444519050419E-13</v>
      </c>
      <c r="AJ175" s="13">
        <f>AI175*VLOOKUP('Données projet'!$B$10,Paramètres!$A$1:$I$89,3,0)*VLOOKUP('Données projet'!$B$10,Paramètres!$A$1:$I$89,5,0)</f>
        <v>-7.147264113882557E-13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340.4659523898373</v>
      </c>
      <c r="AO175" s="59">
        <f t="shared" si="144"/>
        <v>170.54530785680572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1.3670842236024327E-14</v>
      </c>
      <c r="BF175" s="13">
        <f t="shared" si="167"/>
        <v>2.5890519619727347E-13</v>
      </c>
      <c r="BG175" s="20">
        <f t="shared" si="168"/>
        <v>4.7473660027132696E-13</v>
      </c>
      <c r="BH175" s="59">
        <f t="shared" si="116"/>
        <v>293.33333333333377</v>
      </c>
      <c r="BI175" s="59">
        <f ca="1">AVERAGE(OFFSET($BH$3,0,0,'Données projet'!$E$11+1,1))-AVERAGE(OFFSET($H$3,0,0,'Données projet'!$E$11+1,1))</f>
        <v>162.52375757962767</v>
      </c>
      <c r="BJ175" s="59">
        <f t="shared" si="146"/>
        <v>162.18047435246194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-7.3896444519050419E-13</v>
      </c>
      <c r="O176" s="13">
        <f>N176*VLOOKUP('Données projet'!$B$9,Paramètres!$A$1:$I$89,3,0)*VLOOKUP('Données projet'!$B$9,Paramètres!$A$1:$I$89,5,0)</f>
        <v>-6.6861503000836817E-13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309.07357540707869</v>
      </c>
      <c r="T176" s="59">
        <f t="shared" si="142"/>
        <v>155.9593924683299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-7.3896444519050419E-13</v>
      </c>
      <c r="AJ176" s="13">
        <f>AI176*VLOOKUP('Données projet'!$B$10,Paramètres!$A$1:$I$89,3,0)*VLOOKUP('Données projet'!$B$10,Paramètres!$A$1:$I$89,5,0)</f>
        <v>-7.147264113882557E-13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340.4659523898373</v>
      </c>
      <c r="AO176" s="59">
        <f t="shared" si="144"/>
        <v>170.54530785680572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1.3670842236024327E-14</v>
      </c>
      <c r="BF176" s="13">
        <f t="shared" si="167"/>
        <v>2.5890519619727347E-13</v>
      </c>
      <c r="BG176" s="20">
        <f t="shared" si="168"/>
        <v>4.7473660027132696E-13</v>
      </c>
      <c r="BH176" s="59">
        <f t="shared" si="116"/>
        <v>293.33333333333377</v>
      </c>
      <c r="BI176" s="59">
        <f ca="1">AVERAGE(OFFSET($BH$3,0,0,'Données projet'!$E$11+1,1))-AVERAGE(OFFSET($H$3,0,0,'Données projet'!$E$11+1,1))</f>
        <v>162.52375757962767</v>
      </c>
      <c r="BJ176" s="59">
        <f t="shared" si="146"/>
        <v>162.18047435246194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-7.3896444519050419E-13</v>
      </c>
      <c r="O177" s="13">
        <f>N177*VLOOKUP('Données projet'!$B$9,Paramètres!$A$1:$I$89,3,0)*VLOOKUP('Données projet'!$B$9,Paramètres!$A$1:$I$89,5,0)</f>
        <v>-6.6861503000836817E-13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309.07357540707869</v>
      </c>
      <c r="T177" s="59">
        <f t="shared" si="142"/>
        <v>155.9593924683299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-7.3896444519050419E-13</v>
      </c>
      <c r="AJ177" s="13">
        <f>AI177*VLOOKUP('Données projet'!$B$10,Paramètres!$A$1:$I$89,3,0)*VLOOKUP('Données projet'!$B$10,Paramètres!$A$1:$I$89,5,0)</f>
        <v>-7.147264113882557E-13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340.4659523898373</v>
      </c>
      <c r="AO177" s="59">
        <f t="shared" si="144"/>
        <v>170.54530785680572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1.3670842236024327E-14</v>
      </c>
      <c r="BF177" s="13">
        <f t="shared" si="167"/>
        <v>2.5890519619727347E-13</v>
      </c>
      <c r="BG177" s="20">
        <f t="shared" si="168"/>
        <v>4.7473660027132696E-13</v>
      </c>
      <c r="BH177" s="59">
        <f t="shared" si="116"/>
        <v>293.33333333333377</v>
      </c>
      <c r="BI177" s="59">
        <f ca="1">AVERAGE(OFFSET($BH$3,0,0,'Données projet'!$E$11+1,1))-AVERAGE(OFFSET($H$3,0,0,'Données projet'!$E$11+1,1))</f>
        <v>162.52375757962767</v>
      </c>
      <c r="BJ177" s="59">
        <f t="shared" si="146"/>
        <v>162.18047435246194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-7.3896444519050419E-13</v>
      </c>
      <c r="O178" s="13">
        <f>N178*VLOOKUP('Données projet'!$B$9,Paramètres!$A$1:$I$89,3,0)*VLOOKUP('Données projet'!$B$9,Paramètres!$A$1:$I$89,5,0)</f>
        <v>-6.6861503000836817E-13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309.07357540707869</v>
      </c>
      <c r="T178" s="59">
        <f t="shared" si="142"/>
        <v>155.9593924683299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-7.3896444519050419E-13</v>
      </c>
      <c r="AJ178" s="13">
        <f>AI178*VLOOKUP('Données projet'!$B$10,Paramètres!$A$1:$I$89,3,0)*VLOOKUP('Données projet'!$B$10,Paramètres!$A$1:$I$89,5,0)</f>
        <v>-7.147264113882557E-13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340.4659523898373</v>
      </c>
      <c r="AO178" s="59">
        <f t="shared" si="144"/>
        <v>170.54530785680572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1.3670842236024327E-14</v>
      </c>
      <c r="BF178" s="13">
        <f t="shared" si="167"/>
        <v>2.5890519619727347E-13</v>
      </c>
      <c r="BG178" s="20">
        <f t="shared" si="168"/>
        <v>4.7473660027132696E-13</v>
      </c>
      <c r="BH178" s="59">
        <f t="shared" si="116"/>
        <v>293.33333333333377</v>
      </c>
      <c r="BI178" s="59">
        <f ca="1">AVERAGE(OFFSET($BH$3,0,0,'Données projet'!$E$11+1,1))-AVERAGE(OFFSET($H$3,0,0,'Données projet'!$E$11+1,1))</f>
        <v>162.52375757962767</v>
      </c>
      <c r="BJ178" s="59">
        <f t="shared" si="146"/>
        <v>162.18047435246194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-7.3896444519050419E-13</v>
      </c>
      <c r="O179" s="13">
        <f>N179*VLOOKUP('Données projet'!$B$9,Paramètres!$A$1:$I$89,3,0)*VLOOKUP('Données projet'!$B$9,Paramètres!$A$1:$I$89,5,0)</f>
        <v>-6.6861503000836817E-13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309.07357540707869</v>
      </c>
      <c r="T179" s="59">
        <f t="shared" si="142"/>
        <v>155.9593924683299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-7.3896444519050419E-13</v>
      </c>
      <c r="AJ179" s="13">
        <f>AI179*VLOOKUP('Données projet'!$B$10,Paramètres!$A$1:$I$89,3,0)*VLOOKUP('Données projet'!$B$10,Paramètres!$A$1:$I$89,5,0)</f>
        <v>-7.147264113882557E-13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340.4659523898373</v>
      </c>
      <c r="AO179" s="59">
        <f t="shared" si="144"/>
        <v>170.54530785680572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1.3670842236024327E-14</v>
      </c>
      <c r="BF179" s="13">
        <f t="shared" si="167"/>
        <v>2.5890519619727347E-13</v>
      </c>
      <c r="BG179" s="20">
        <f t="shared" si="168"/>
        <v>4.7473660027132696E-13</v>
      </c>
      <c r="BH179" s="59">
        <f t="shared" si="116"/>
        <v>293.33333333333377</v>
      </c>
      <c r="BI179" s="59">
        <f ca="1">AVERAGE(OFFSET($BH$3,0,0,'Données projet'!$E$11+1,1))-AVERAGE(OFFSET($H$3,0,0,'Données projet'!$E$11+1,1))</f>
        <v>162.52375757962767</v>
      </c>
      <c r="BJ179" s="59">
        <f t="shared" si="146"/>
        <v>162.18047435246194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-7.3896444519050419E-13</v>
      </c>
      <c r="O180" s="13">
        <f>N180*VLOOKUP('Données projet'!$B$9,Paramètres!$A$1:$I$89,3,0)*VLOOKUP('Données projet'!$B$9,Paramètres!$A$1:$I$89,5,0)</f>
        <v>-6.6861503000836817E-13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309.07357540707869</v>
      </c>
      <c r="T180" s="59">
        <f t="shared" si="142"/>
        <v>155.9593924683299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-7.3896444519050419E-13</v>
      </c>
      <c r="AJ180" s="13">
        <f>AI180*VLOOKUP('Données projet'!$B$10,Paramètres!$A$1:$I$89,3,0)*VLOOKUP('Données projet'!$B$10,Paramètres!$A$1:$I$89,5,0)</f>
        <v>-7.147264113882557E-13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340.4659523898373</v>
      </c>
      <c r="AO180" s="59">
        <f t="shared" si="144"/>
        <v>170.54530785680572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1.3670842236024327E-14</v>
      </c>
      <c r="BF180" s="13">
        <f t="shared" si="167"/>
        <v>2.5890519619727347E-13</v>
      </c>
      <c r="BG180" s="20">
        <f t="shared" si="168"/>
        <v>4.7473660027132696E-13</v>
      </c>
      <c r="BH180" s="59">
        <f t="shared" si="116"/>
        <v>293.33333333333377</v>
      </c>
      <c r="BI180" s="59">
        <f ca="1">AVERAGE(OFFSET($BH$3,0,0,'Données projet'!$E$11+1,1))-AVERAGE(OFFSET($H$3,0,0,'Données projet'!$E$11+1,1))</f>
        <v>162.52375757962767</v>
      </c>
      <c r="BJ180" s="59">
        <f t="shared" si="146"/>
        <v>162.18047435246194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-7.3896444519050419E-13</v>
      </c>
      <c r="O181" s="13">
        <f>N181*VLOOKUP('Données projet'!$B$9,Paramètres!$A$1:$I$89,3,0)*VLOOKUP('Données projet'!$B$9,Paramètres!$A$1:$I$89,5,0)</f>
        <v>-6.6861503000836817E-13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309.07357540707869</v>
      </c>
      <c r="T181" s="59">
        <f t="shared" si="142"/>
        <v>155.9593924683299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-7.3896444519050419E-13</v>
      </c>
      <c r="AJ181" s="13">
        <f>AI181*VLOOKUP('Données projet'!$B$10,Paramètres!$A$1:$I$89,3,0)*VLOOKUP('Données projet'!$B$10,Paramètres!$A$1:$I$89,5,0)</f>
        <v>-7.147264113882557E-13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340.4659523898373</v>
      </c>
      <c r="AO181" s="59">
        <f t="shared" si="144"/>
        <v>170.54530785680572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1.3670842236024327E-14</v>
      </c>
      <c r="BF181" s="13">
        <f t="shared" si="167"/>
        <v>2.5890519619727347E-13</v>
      </c>
      <c r="BG181" s="20">
        <f t="shared" si="168"/>
        <v>4.7473660027132696E-13</v>
      </c>
      <c r="BH181" s="59">
        <f t="shared" si="116"/>
        <v>293.33333333333377</v>
      </c>
      <c r="BI181" s="59">
        <f ca="1">AVERAGE(OFFSET($BH$3,0,0,'Données projet'!$E$11+1,1))-AVERAGE(OFFSET($H$3,0,0,'Données projet'!$E$11+1,1))</f>
        <v>162.52375757962767</v>
      </c>
      <c r="BJ181" s="59">
        <f t="shared" si="146"/>
        <v>162.18047435246194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-7.3896444519050419E-13</v>
      </c>
      <c r="O182" s="13">
        <f>N182*VLOOKUP('Données projet'!$B$9,Paramètres!$A$1:$I$89,3,0)*VLOOKUP('Données projet'!$B$9,Paramètres!$A$1:$I$89,5,0)</f>
        <v>-6.6861503000836817E-13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309.07357540707869</v>
      </c>
      <c r="T182" s="59">
        <f t="shared" si="142"/>
        <v>155.9593924683299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-7.3896444519050419E-13</v>
      </c>
      <c r="AJ182" s="13">
        <f>AI182*VLOOKUP('Données projet'!$B$10,Paramètres!$A$1:$I$89,3,0)*VLOOKUP('Données projet'!$B$10,Paramètres!$A$1:$I$89,5,0)</f>
        <v>-7.147264113882557E-13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340.4659523898373</v>
      </c>
      <c r="AO182" s="59">
        <f t="shared" si="144"/>
        <v>170.54530785680572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1.3670842236024327E-14</v>
      </c>
      <c r="BF182" s="13">
        <f t="shared" si="167"/>
        <v>2.5890519619727347E-13</v>
      </c>
      <c r="BG182" s="20">
        <f t="shared" si="168"/>
        <v>4.7473660027132696E-13</v>
      </c>
      <c r="BH182" s="59">
        <f t="shared" si="116"/>
        <v>293.33333333333377</v>
      </c>
      <c r="BI182" s="59">
        <f ca="1">AVERAGE(OFFSET($BH$3,0,0,'Données projet'!$E$11+1,1))-AVERAGE(OFFSET($H$3,0,0,'Données projet'!$E$11+1,1))</f>
        <v>162.52375757962767</v>
      </c>
      <c r="BJ182" s="59">
        <f t="shared" si="146"/>
        <v>162.18047435246194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-7.3896444519050419E-13</v>
      </c>
      <c r="O183" s="13">
        <f>N183*VLOOKUP('Données projet'!$B$9,Paramètres!$A$1:$I$89,3,0)*VLOOKUP('Données projet'!$B$9,Paramètres!$A$1:$I$89,5,0)</f>
        <v>-6.6861503000836817E-13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309.07357540707869</v>
      </c>
      <c r="T183" s="59">
        <f t="shared" si="142"/>
        <v>155.9593924683299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-7.3896444519050419E-13</v>
      </c>
      <c r="AJ183" s="13">
        <f>AI183*VLOOKUP('Données projet'!$B$10,Paramètres!$A$1:$I$89,3,0)*VLOOKUP('Données projet'!$B$10,Paramètres!$A$1:$I$89,5,0)</f>
        <v>-7.147264113882557E-13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340.4659523898373</v>
      </c>
      <c r="AO183" s="59">
        <f t="shared" si="144"/>
        <v>170.54530785680572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1.3670842236024327E-14</v>
      </c>
      <c r="BF183" s="13">
        <f t="shared" si="167"/>
        <v>2.5890519619727347E-13</v>
      </c>
      <c r="BG183" s="20">
        <f t="shared" si="168"/>
        <v>4.7473660027132696E-13</v>
      </c>
      <c r="BH183" s="59">
        <f t="shared" si="116"/>
        <v>293.33333333333377</v>
      </c>
      <c r="BI183" s="59">
        <f ca="1">AVERAGE(OFFSET($BH$3,0,0,'Données projet'!$E$11+1,1))-AVERAGE(OFFSET($H$3,0,0,'Données projet'!$E$11+1,1))</f>
        <v>162.52375757962767</v>
      </c>
      <c r="BJ183" s="59">
        <f t="shared" si="146"/>
        <v>162.18047435246194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-7.3896444519050419E-13</v>
      </c>
      <c r="O184" s="13">
        <f>N184*VLOOKUP('Données projet'!$B$9,Paramètres!$A$1:$I$89,3,0)*VLOOKUP('Données projet'!$B$9,Paramètres!$A$1:$I$89,5,0)</f>
        <v>-6.6861503000836817E-13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309.07357540707869</v>
      </c>
      <c r="T184" s="59">
        <f t="shared" si="142"/>
        <v>155.9593924683299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-7.3896444519050419E-13</v>
      </c>
      <c r="AJ184" s="13">
        <f>AI184*VLOOKUP('Données projet'!$B$10,Paramètres!$A$1:$I$89,3,0)*VLOOKUP('Données projet'!$B$10,Paramètres!$A$1:$I$89,5,0)</f>
        <v>-7.147264113882557E-13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340.4659523898373</v>
      </c>
      <c r="AO184" s="59">
        <f t="shared" si="144"/>
        <v>170.54530785680572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1.3670842236024327E-14</v>
      </c>
      <c r="BF184" s="13">
        <f t="shared" si="167"/>
        <v>2.5890519619727347E-13</v>
      </c>
      <c r="BG184" s="20">
        <f t="shared" si="168"/>
        <v>4.7473660027132696E-13</v>
      </c>
      <c r="BH184" s="59">
        <f t="shared" si="116"/>
        <v>293.33333333333377</v>
      </c>
      <c r="BI184" s="59">
        <f ca="1">AVERAGE(OFFSET($BH$3,0,0,'Données projet'!$E$11+1,1))-AVERAGE(OFFSET($H$3,0,0,'Données projet'!$E$11+1,1))</f>
        <v>162.52375757962767</v>
      </c>
      <c r="BJ184" s="59">
        <f t="shared" si="146"/>
        <v>162.18047435246194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-7.3896444519050419E-13</v>
      </c>
      <c r="O185" s="13">
        <f>N185*VLOOKUP('Données projet'!$B$9,Paramètres!$A$1:$I$89,3,0)*VLOOKUP('Données projet'!$B$9,Paramètres!$A$1:$I$89,5,0)</f>
        <v>-6.6861503000836817E-13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309.07357540707869</v>
      </c>
      <c r="T185" s="59">
        <f t="shared" si="142"/>
        <v>155.9593924683299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-7.3896444519050419E-13</v>
      </c>
      <c r="AJ185" s="13">
        <f>AI185*VLOOKUP('Données projet'!$B$10,Paramètres!$A$1:$I$89,3,0)*VLOOKUP('Données projet'!$B$10,Paramètres!$A$1:$I$89,5,0)</f>
        <v>-7.147264113882557E-13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340.4659523898373</v>
      </c>
      <c r="AO185" s="59">
        <f t="shared" si="144"/>
        <v>170.54530785680572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1.3670842236024327E-14</v>
      </c>
      <c r="BF185" s="13">
        <f t="shared" si="167"/>
        <v>2.5890519619727347E-13</v>
      </c>
      <c r="BG185" s="20">
        <f t="shared" si="168"/>
        <v>4.7473660027132696E-13</v>
      </c>
      <c r="BH185" s="59">
        <f t="shared" si="116"/>
        <v>293.33333333333377</v>
      </c>
      <c r="BI185" s="59">
        <f ca="1">AVERAGE(OFFSET($BH$3,0,0,'Données projet'!$E$11+1,1))-AVERAGE(OFFSET($H$3,0,0,'Données projet'!$E$11+1,1))</f>
        <v>162.52375757962767</v>
      </c>
      <c r="BJ185" s="59">
        <f t="shared" si="146"/>
        <v>162.18047435246194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-7.3896444519050419E-13</v>
      </c>
      <c r="O186" s="13">
        <f>N186*VLOOKUP('Données projet'!$B$9,Paramètres!$A$1:$I$89,3,0)*VLOOKUP('Données projet'!$B$9,Paramètres!$A$1:$I$89,5,0)</f>
        <v>-6.6861503000836817E-13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309.07357540707869</v>
      </c>
      <c r="T186" s="59">
        <f t="shared" si="142"/>
        <v>155.9593924683299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-7.3896444519050419E-13</v>
      </c>
      <c r="AJ186" s="13">
        <f>AI186*VLOOKUP('Données projet'!$B$10,Paramètres!$A$1:$I$89,3,0)*VLOOKUP('Données projet'!$B$10,Paramètres!$A$1:$I$89,5,0)</f>
        <v>-7.147264113882557E-13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340.4659523898373</v>
      </c>
      <c r="AO186" s="59">
        <f t="shared" si="144"/>
        <v>170.54530785680572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1.3670842236024327E-14</v>
      </c>
      <c r="BF186" s="13">
        <f t="shared" si="167"/>
        <v>2.5890519619727347E-13</v>
      </c>
      <c r="BG186" s="20">
        <f t="shared" si="168"/>
        <v>4.7473660027132696E-13</v>
      </c>
      <c r="BH186" s="59">
        <f t="shared" si="116"/>
        <v>293.33333333333377</v>
      </c>
      <c r="BI186" s="59">
        <f ca="1">AVERAGE(OFFSET($BH$3,0,0,'Données projet'!$E$11+1,1))-AVERAGE(OFFSET($H$3,0,0,'Données projet'!$E$11+1,1))</f>
        <v>162.52375757962767</v>
      </c>
      <c r="BJ186" s="59">
        <f t="shared" si="146"/>
        <v>162.18047435246194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-7.3896444519050419E-13</v>
      </c>
      <c r="O187" s="13">
        <f>N187*VLOOKUP('Données projet'!$B$9,Paramètres!$A$1:$I$89,3,0)*VLOOKUP('Données projet'!$B$9,Paramètres!$A$1:$I$89,5,0)</f>
        <v>-6.6861503000836817E-13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309.07357540707869</v>
      </c>
      <c r="T187" s="59">
        <f t="shared" si="142"/>
        <v>155.9593924683299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-7.3896444519050419E-13</v>
      </c>
      <c r="AJ187" s="13">
        <f>AI187*VLOOKUP('Données projet'!$B$10,Paramètres!$A$1:$I$89,3,0)*VLOOKUP('Données projet'!$B$10,Paramètres!$A$1:$I$89,5,0)</f>
        <v>-7.147264113882557E-13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340.4659523898373</v>
      </c>
      <c r="AO187" s="59">
        <f t="shared" si="144"/>
        <v>170.54530785680572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1.3670842236024327E-14</v>
      </c>
      <c r="BF187" s="13">
        <f t="shared" si="167"/>
        <v>2.5890519619727347E-13</v>
      </c>
      <c r="BG187" s="20">
        <f t="shared" si="168"/>
        <v>4.7473660027132696E-13</v>
      </c>
      <c r="BH187" s="59">
        <f t="shared" si="116"/>
        <v>293.33333333333377</v>
      </c>
      <c r="BI187" s="59">
        <f ca="1">AVERAGE(OFFSET($BH$3,0,0,'Données projet'!$E$11+1,1))-AVERAGE(OFFSET($H$3,0,0,'Données projet'!$E$11+1,1))</f>
        <v>162.52375757962767</v>
      </c>
      <c r="BJ187" s="59">
        <f t="shared" si="146"/>
        <v>162.18047435246194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-7.3896444519050419E-13</v>
      </c>
      <c r="O188" s="13">
        <f>N188*VLOOKUP('Données projet'!$B$9,Paramètres!$A$1:$I$89,3,0)*VLOOKUP('Données projet'!$B$9,Paramètres!$A$1:$I$89,5,0)</f>
        <v>-6.6861503000836817E-13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309.07357540707869</v>
      </c>
      <c r="T188" s="59">
        <f t="shared" si="142"/>
        <v>155.9593924683299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-7.3896444519050419E-13</v>
      </c>
      <c r="AJ188" s="13">
        <f>AI188*VLOOKUP('Données projet'!$B$10,Paramètres!$A$1:$I$89,3,0)*VLOOKUP('Données projet'!$B$10,Paramètres!$A$1:$I$89,5,0)</f>
        <v>-7.147264113882557E-13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340.4659523898373</v>
      </c>
      <c r="AO188" s="59">
        <f t="shared" si="144"/>
        <v>170.54530785680572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1.3670842236024327E-14</v>
      </c>
      <c r="BF188" s="13">
        <f t="shared" si="167"/>
        <v>2.5890519619727347E-13</v>
      </c>
      <c r="BG188" s="20">
        <f t="shared" si="168"/>
        <v>4.7473660027132696E-13</v>
      </c>
      <c r="BH188" s="59">
        <f t="shared" si="116"/>
        <v>293.33333333333377</v>
      </c>
      <c r="BI188" s="59">
        <f ca="1">AVERAGE(OFFSET($BH$3,0,0,'Données projet'!$E$11+1,1))-AVERAGE(OFFSET($H$3,0,0,'Données projet'!$E$11+1,1))</f>
        <v>162.52375757962767</v>
      </c>
      <c r="BJ188" s="59">
        <f t="shared" si="146"/>
        <v>162.18047435246194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-7.3896444519050419E-13</v>
      </c>
      <c r="O189" s="13">
        <f>N189*VLOOKUP('Données projet'!$B$9,Paramètres!$A$1:$I$89,3,0)*VLOOKUP('Données projet'!$B$9,Paramètres!$A$1:$I$89,5,0)</f>
        <v>-6.6861503000836817E-13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309.07357540707869</v>
      </c>
      <c r="T189" s="59">
        <f t="shared" si="142"/>
        <v>155.9593924683299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-7.3896444519050419E-13</v>
      </c>
      <c r="AJ189" s="13">
        <f>AI189*VLOOKUP('Données projet'!$B$10,Paramètres!$A$1:$I$89,3,0)*VLOOKUP('Données projet'!$B$10,Paramètres!$A$1:$I$89,5,0)</f>
        <v>-7.147264113882557E-13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340.4659523898373</v>
      </c>
      <c r="AO189" s="59">
        <f t="shared" si="144"/>
        <v>170.54530785680572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1.3670842236024327E-14</v>
      </c>
      <c r="BF189" s="13">
        <f t="shared" si="167"/>
        <v>2.5890519619727347E-13</v>
      </c>
      <c r="BG189" s="20">
        <f t="shared" si="168"/>
        <v>4.7473660027132696E-13</v>
      </c>
      <c r="BH189" s="59">
        <f t="shared" si="116"/>
        <v>293.33333333333377</v>
      </c>
      <c r="BI189" s="59">
        <f ca="1">AVERAGE(OFFSET($BH$3,0,0,'Données projet'!$E$11+1,1))-AVERAGE(OFFSET($H$3,0,0,'Données projet'!$E$11+1,1))</f>
        <v>162.52375757962767</v>
      </c>
      <c r="BJ189" s="59">
        <f t="shared" si="146"/>
        <v>162.18047435246194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-7.3896444519050419E-13</v>
      </c>
      <c r="O190" s="13">
        <f>N190*VLOOKUP('Données projet'!$B$9,Paramètres!$A$1:$I$89,3,0)*VLOOKUP('Données projet'!$B$9,Paramètres!$A$1:$I$89,5,0)</f>
        <v>-6.6861503000836817E-13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309.07357540707869</v>
      </c>
      <c r="T190" s="59">
        <f t="shared" si="142"/>
        <v>155.9593924683299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-7.3896444519050419E-13</v>
      </c>
      <c r="AJ190" s="13">
        <f>AI190*VLOOKUP('Données projet'!$B$10,Paramètres!$A$1:$I$89,3,0)*VLOOKUP('Données projet'!$B$10,Paramètres!$A$1:$I$89,5,0)</f>
        <v>-7.147264113882557E-13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340.4659523898373</v>
      </c>
      <c r="AO190" s="59">
        <f t="shared" si="144"/>
        <v>170.54530785680572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1.3670842236024327E-14</v>
      </c>
      <c r="BF190" s="13">
        <f t="shared" si="167"/>
        <v>2.5890519619727347E-13</v>
      </c>
      <c r="BG190" s="20">
        <f t="shared" si="168"/>
        <v>4.7473660027132696E-13</v>
      </c>
      <c r="BH190" s="59">
        <f t="shared" si="116"/>
        <v>293.33333333333377</v>
      </c>
      <c r="BI190" s="59">
        <f ca="1">AVERAGE(OFFSET($BH$3,0,0,'Données projet'!$E$11+1,1))-AVERAGE(OFFSET($H$3,0,0,'Données projet'!$E$11+1,1))</f>
        <v>162.52375757962767</v>
      </c>
      <c r="BJ190" s="59">
        <f t="shared" si="146"/>
        <v>162.18047435246194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-7.3896444519050419E-13</v>
      </c>
      <c r="O191" s="13">
        <f>N191*VLOOKUP('Données projet'!$B$9,Paramètres!$A$1:$I$89,3,0)*VLOOKUP('Données projet'!$B$9,Paramètres!$A$1:$I$89,5,0)</f>
        <v>-6.6861503000836817E-13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309.07357540707869</v>
      </c>
      <c r="T191" s="59">
        <f t="shared" si="142"/>
        <v>155.9593924683299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-7.3896444519050419E-13</v>
      </c>
      <c r="AJ191" s="13">
        <f>AI191*VLOOKUP('Données projet'!$B$10,Paramètres!$A$1:$I$89,3,0)*VLOOKUP('Données projet'!$B$10,Paramètres!$A$1:$I$89,5,0)</f>
        <v>-7.147264113882557E-13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340.4659523898373</v>
      </c>
      <c r="AO191" s="59">
        <f t="shared" si="144"/>
        <v>170.54530785680572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1.3670842236024327E-14</v>
      </c>
      <c r="BF191" s="13">
        <f t="shared" si="167"/>
        <v>2.5890519619727347E-13</v>
      </c>
      <c r="BG191" s="20">
        <f t="shared" si="168"/>
        <v>4.7473660027132696E-13</v>
      </c>
      <c r="BH191" s="59">
        <f t="shared" si="116"/>
        <v>293.33333333333377</v>
      </c>
      <c r="BI191" s="59">
        <f ca="1">AVERAGE(OFFSET($BH$3,0,0,'Données projet'!$E$11+1,1))-AVERAGE(OFFSET($H$3,0,0,'Données projet'!$E$11+1,1))</f>
        <v>162.52375757962767</v>
      </c>
      <c r="BJ191" s="59">
        <f t="shared" si="146"/>
        <v>162.18047435246194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-7.3896444519050419E-13</v>
      </c>
      <c r="O192" s="13">
        <f>N192*VLOOKUP('Données projet'!$B$9,Paramètres!$A$1:$I$89,3,0)*VLOOKUP('Données projet'!$B$9,Paramètres!$A$1:$I$89,5,0)</f>
        <v>-6.6861503000836817E-13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309.07357540707869</v>
      </c>
      <c r="T192" s="59">
        <f t="shared" si="142"/>
        <v>155.9593924683299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-7.3896444519050419E-13</v>
      </c>
      <c r="AJ192" s="13">
        <f>AI192*VLOOKUP('Données projet'!$B$10,Paramètres!$A$1:$I$89,3,0)*VLOOKUP('Données projet'!$B$10,Paramètres!$A$1:$I$89,5,0)</f>
        <v>-7.147264113882557E-13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340.4659523898373</v>
      </c>
      <c r="AO192" s="59">
        <f t="shared" si="144"/>
        <v>170.54530785680572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1.3670842236024327E-14</v>
      </c>
      <c r="BF192" s="13">
        <f t="shared" si="167"/>
        <v>2.5890519619727347E-13</v>
      </c>
      <c r="BG192" s="20">
        <f t="shared" si="168"/>
        <v>4.7473660027132696E-13</v>
      </c>
      <c r="BH192" s="59">
        <f t="shared" si="116"/>
        <v>293.33333333333377</v>
      </c>
      <c r="BI192" s="59">
        <f ca="1">AVERAGE(OFFSET($BH$3,0,0,'Données projet'!$E$11+1,1))-AVERAGE(OFFSET($H$3,0,0,'Données projet'!$E$11+1,1))</f>
        <v>162.52375757962767</v>
      </c>
      <c r="BJ192" s="59">
        <f t="shared" si="146"/>
        <v>162.18047435246194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-7.3896444519050419E-13</v>
      </c>
      <c r="O193" s="13">
        <f>N193*VLOOKUP('Données projet'!$B$9,Paramètres!$A$1:$I$89,3,0)*VLOOKUP('Données projet'!$B$9,Paramètres!$A$1:$I$89,5,0)</f>
        <v>-6.6861503000836817E-13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309.07357540707869</v>
      </c>
      <c r="T193" s="59">
        <f t="shared" si="142"/>
        <v>155.9593924683299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-7.3896444519050419E-13</v>
      </c>
      <c r="AJ193" s="13">
        <f>AI193*VLOOKUP('Données projet'!$B$10,Paramètres!$A$1:$I$89,3,0)*VLOOKUP('Données projet'!$B$10,Paramètres!$A$1:$I$89,5,0)</f>
        <v>-7.147264113882557E-13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340.4659523898373</v>
      </c>
      <c r="AO193" s="59">
        <f t="shared" si="144"/>
        <v>170.54530785680572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1.3670842236024327E-14</v>
      </c>
      <c r="BF193" s="13">
        <f t="shared" si="167"/>
        <v>2.5890519619727347E-13</v>
      </c>
      <c r="BG193" s="20">
        <f t="shared" si="168"/>
        <v>4.7473660027132696E-13</v>
      </c>
      <c r="BH193" s="59">
        <f t="shared" si="116"/>
        <v>293.33333333333377</v>
      </c>
      <c r="BI193" s="59">
        <f ca="1">AVERAGE(OFFSET($BH$3,0,0,'Données projet'!$E$11+1,1))-AVERAGE(OFFSET($H$3,0,0,'Données projet'!$E$11+1,1))</f>
        <v>162.52375757962767</v>
      </c>
      <c r="BJ193" s="59">
        <f t="shared" si="146"/>
        <v>162.18047435246194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-7.3896444519050419E-13</v>
      </c>
      <c r="O194" s="13">
        <f>N194*VLOOKUP('Données projet'!$B$9,Paramètres!$A$1:$I$89,3,0)*VLOOKUP('Données projet'!$B$9,Paramètres!$A$1:$I$89,5,0)</f>
        <v>-6.6861503000836817E-13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309.07357540707869</v>
      </c>
      <c r="T194" s="59">
        <f t="shared" si="142"/>
        <v>155.9593924683299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-7.3896444519050419E-13</v>
      </c>
      <c r="AJ194" s="13">
        <f>AI194*VLOOKUP('Données projet'!$B$10,Paramètres!$A$1:$I$89,3,0)*VLOOKUP('Données projet'!$B$10,Paramètres!$A$1:$I$89,5,0)</f>
        <v>-7.147264113882557E-13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340.4659523898373</v>
      </c>
      <c r="AO194" s="59">
        <f t="shared" si="144"/>
        <v>170.54530785680572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1.3670842236024327E-14</v>
      </c>
      <c r="BF194" s="13">
        <f t="shared" si="167"/>
        <v>2.5890519619727347E-13</v>
      </c>
      <c r="BG194" s="20">
        <f t="shared" si="168"/>
        <v>4.7473660027132696E-13</v>
      </c>
      <c r="BH194" s="59">
        <f t="shared" si="116"/>
        <v>293.33333333333377</v>
      </c>
      <c r="BI194" s="59">
        <f ca="1">AVERAGE(OFFSET($BH$3,0,0,'Données projet'!$E$11+1,1))-AVERAGE(OFFSET($H$3,0,0,'Données projet'!$E$11+1,1))</f>
        <v>162.52375757962767</v>
      </c>
      <c r="BJ194" s="59">
        <f t="shared" si="146"/>
        <v>162.18047435246194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-7.3896444519050419E-13</v>
      </c>
      <c r="O195" s="13">
        <f>N195*VLOOKUP('Données projet'!$B$9,Paramètres!$A$1:$I$89,3,0)*VLOOKUP('Données projet'!$B$9,Paramètres!$A$1:$I$89,5,0)</f>
        <v>-6.6861503000836817E-13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309.07357540707869</v>
      </c>
      <c r="T195" s="59">
        <f t="shared" si="142"/>
        <v>155.9593924683299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-7.3896444519050419E-13</v>
      </c>
      <c r="AJ195" s="13">
        <f>AI195*VLOOKUP('Données projet'!$B$10,Paramètres!$A$1:$I$89,3,0)*VLOOKUP('Données projet'!$B$10,Paramètres!$A$1:$I$89,5,0)</f>
        <v>-7.147264113882557E-13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340.4659523898373</v>
      </c>
      <c r="AO195" s="59">
        <f t="shared" si="144"/>
        <v>170.54530785680572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1.3670842236024327E-14</v>
      </c>
      <c r="BF195" s="13">
        <f t="shared" si="167"/>
        <v>2.5890519619727347E-13</v>
      </c>
      <c r="BG195" s="20">
        <f t="shared" si="168"/>
        <v>4.7473660027132696E-13</v>
      </c>
      <c r="BH195" s="59">
        <f t="shared" si="116"/>
        <v>293.33333333333377</v>
      </c>
      <c r="BI195" s="59">
        <f ca="1">AVERAGE(OFFSET($BH$3,0,0,'Données projet'!$E$11+1,1))-AVERAGE(OFFSET($H$3,0,0,'Données projet'!$E$11+1,1))</f>
        <v>162.52375757962767</v>
      </c>
      <c r="BJ195" s="59">
        <f t="shared" si="146"/>
        <v>162.18047435246194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-7.3896444519050419E-13</v>
      </c>
      <c r="O196" s="13">
        <f>N196*VLOOKUP('Données projet'!$B$9,Paramètres!$A$1:$I$89,3,0)*VLOOKUP('Données projet'!$B$9,Paramètres!$A$1:$I$89,5,0)</f>
        <v>-6.6861503000836817E-13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309.07357540707869</v>
      </c>
      <c r="T196" s="59">
        <f t="shared" si="142"/>
        <v>155.9593924683299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-7.3896444519050419E-13</v>
      </c>
      <c r="AJ196" s="13">
        <f>AI196*VLOOKUP('Données projet'!$B$10,Paramètres!$A$1:$I$89,3,0)*VLOOKUP('Données projet'!$B$10,Paramètres!$A$1:$I$89,5,0)</f>
        <v>-7.147264113882557E-13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340.4659523898373</v>
      </c>
      <c r="AO196" s="59">
        <f t="shared" si="144"/>
        <v>170.54530785680572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1.3670842236024327E-14</v>
      </c>
      <c r="BF196" s="13">
        <f t="shared" si="167"/>
        <v>2.5890519619727347E-13</v>
      </c>
      <c r="BG196" s="20">
        <f t="shared" si="168"/>
        <v>4.7473660027132696E-13</v>
      </c>
      <c r="BH196" s="59">
        <f t="shared" ref="BH196:BH203" si="194">BG196+(AY196+AZ196)*44/12</f>
        <v>293.33333333333377</v>
      </c>
      <c r="BI196" s="59">
        <f ca="1">AVERAGE(OFFSET($BH$3,0,0,'Données projet'!$E$11+1,1))-AVERAGE(OFFSET($H$3,0,0,'Données projet'!$E$11+1,1))</f>
        <v>162.52375757962767</v>
      </c>
      <c r="BJ196" s="59">
        <f t="shared" si="146"/>
        <v>162.18047435246194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-7.3896444519050419E-13</v>
      </c>
      <c r="O197" s="13">
        <f>N197*VLOOKUP('Données projet'!$B$9,Paramètres!$A$1:$I$89,3,0)*VLOOKUP('Données projet'!$B$9,Paramètres!$A$1:$I$89,5,0)</f>
        <v>-6.6861503000836817E-13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309.07357540707869</v>
      </c>
      <c r="T197" s="59">
        <f t="shared" ref="T197:T203" si="204">$T$3</f>
        <v>155.9593924683299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-7.3896444519050419E-13</v>
      </c>
      <c r="AJ197" s="13">
        <f>AI197*VLOOKUP('Données projet'!$B$10,Paramètres!$A$1:$I$89,3,0)*VLOOKUP('Données projet'!$B$10,Paramètres!$A$1:$I$89,5,0)</f>
        <v>-7.147264113882557E-13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340.4659523898373</v>
      </c>
      <c r="AO197" s="59">
        <f t="shared" ref="AO197:AO203" si="205">$AO$3</f>
        <v>170.54530785680572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1.3670842236024327E-14</v>
      </c>
      <c r="BF197" s="13">
        <f t="shared" si="167"/>
        <v>2.5890519619727347E-13</v>
      </c>
      <c r="BG197" s="20">
        <f t="shared" si="168"/>
        <v>4.7473660027132696E-13</v>
      </c>
      <c r="BH197" s="59">
        <f t="shared" si="194"/>
        <v>293.33333333333377</v>
      </c>
      <c r="BI197" s="59">
        <f ca="1">AVERAGE(OFFSET($BH$3,0,0,'Données projet'!$E$11+1,1))-AVERAGE(OFFSET($H$3,0,0,'Données projet'!$E$11+1,1))</f>
        <v>162.52375757962767</v>
      </c>
      <c r="BJ197" s="59">
        <f t="shared" ref="BJ197:BJ203" si="206">$BJ$3</f>
        <v>162.18047435246194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-7.3896444519050419E-13</v>
      </c>
      <c r="O198" s="13">
        <f>N198*VLOOKUP('Données projet'!$B$9,Paramètres!$A$1:$I$89,3,0)*VLOOKUP('Données projet'!$B$9,Paramètres!$A$1:$I$89,5,0)</f>
        <v>-6.6861503000836817E-13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309.07357540707869</v>
      </c>
      <c r="T198" s="59">
        <f t="shared" si="204"/>
        <v>155.9593924683299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-7.3896444519050419E-13</v>
      </c>
      <c r="AJ198" s="13">
        <f>AI198*VLOOKUP('Données projet'!$B$10,Paramètres!$A$1:$I$89,3,0)*VLOOKUP('Données projet'!$B$10,Paramètres!$A$1:$I$89,5,0)</f>
        <v>-7.147264113882557E-13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340.4659523898373</v>
      </c>
      <c r="AO198" s="59">
        <f t="shared" si="205"/>
        <v>170.54530785680572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1.3670842236024327E-14</v>
      </c>
      <c r="BF198" s="13">
        <f t="shared" si="167"/>
        <v>2.5890519619727347E-13</v>
      </c>
      <c r="BG198" s="20">
        <f t="shared" si="168"/>
        <v>4.7473660027132696E-13</v>
      </c>
      <c r="BH198" s="59">
        <f t="shared" si="194"/>
        <v>293.33333333333377</v>
      </c>
      <c r="BI198" s="59">
        <f ca="1">AVERAGE(OFFSET($BH$3,0,0,'Données projet'!$E$11+1,1))-AVERAGE(OFFSET($H$3,0,0,'Données projet'!$E$11+1,1))</f>
        <v>162.52375757962767</v>
      </c>
      <c r="BJ198" s="59">
        <f t="shared" si="206"/>
        <v>162.18047435246194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-7.3896444519050419E-13</v>
      </c>
      <c r="O199" s="13">
        <f>N199*VLOOKUP('Données projet'!$B$9,Paramètres!$A$1:$I$89,3,0)*VLOOKUP('Données projet'!$B$9,Paramètres!$A$1:$I$89,5,0)</f>
        <v>-6.6861503000836817E-13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309.07357540707869</v>
      </c>
      <c r="T199" s="59">
        <f t="shared" si="204"/>
        <v>155.9593924683299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-7.3896444519050419E-13</v>
      </c>
      <c r="AJ199" s="13">
        <f>AI199*VLOOKUP('Données projet'!$B$10,Paramètres!$A$1:$I$89,3,0)*VLOOKUP('Données projet'!$B$10,Paramètres!$A$1:$I$89,5,0)</f>
        <v>-7.147264113882557E-13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340.4659523898373</v>
      </c>
      <c r="AO199" s="59">
        <f t="shared" si="205"/>
        <v>170.54530785680572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1.3670842236024327E-14</v>
      </c>
      <c r="BF199" s="13">
        <f t="shared" si="167"/>
        <v>2.5890519619727347E-13</v>
      </c>
      <c r="BG199" s="20">
        <f t="shared" si="168"/>
        <v>4.7473660027132696E-13</v>
      </c>
      <c r="BH199" s="59">
        <f t="shared" si="194"/>
        <v>293.33333333333377</v>
      </c>
      <c r="BI199" s="59">
        <f ca="1">AVERAGE(OFFSET($BH$3,0,0,'Données projet'!$E$11+1,1))-AVERAGE(OFFSET($H$3,0,0,'Données projet'!$E$11+1,1))</f>
        <v>162.52375757962767</v>
      </c>
      <c r="BJ199" s="59">
        <f t="shared" si="206"/>
        <v>162.18047435246194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-7.3896444519050419E-13</v>
      </c>
      <c r="O200" s="13">
        <f>N200*VLOOKUP('Données projet'!$B$9,Paramètres!$A$1:$I$89,3,0)*VLOOKUP('Données projet'!$B$9,Paramètres!$A$1:$I$89,5,0)</f>
        <v>-6.6861503000836817E-13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309.07357540707869</v>
      </c>
      <c r="T200" s="59">
        <f t="shared" si="204"/>
        <v>155.9593924683299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-7.3896444519050419E-13</v>
      </c>
      <c r="AJ200" s="13">
        <f>AI200*VLOOKUP('Données projet'!$B$10,Paramètres!$A$1:$I$89,3,0)*VLOOKUP('Données projet'!$B$10,Paramètres!$A$1:$I$89,5,0)</f>
        <v>-7.147264113882557E-13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340.4659523898373</v>
      </c>
      <c r="AO200" s="59">
        <f t="shared" si="205"/>
        <v>170.54530785680572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1.3670842236024327E-14</v>
      </c>
      <c r="BF200" s="13">
        <f t="shared" si="167"/>
        <v>2.5890519619727347E-13</v>
      </c>
      <c r="BG200" s="20">
        <f t="shared" si="168"/>
        <v>4.7473660027132696E-13</v>
      </c>
      <c r="BH200" s="59">
        <f t="shared" si="194"/>
        <v>293.33333333333377</v>
      </c>
      <c r="BI200" s="59">
        <f ca="1">AVERAGE(OFFSET($BH$3,0,0,'Données projet'!$E$11+1,1))-AVERAGE(OFFSET($H$3,0,0,'Données projet'!$E$11+1,1))</f>
        <v>162.52375757962767</v>
      </c>
      <c r="BJ200" s="59">
        <f t="shared" si="206"/>
        <v>162.18047435246194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-7.3896444519050419E-13</v>
      </c>
      <c r="O201" s="13">
        <f>N201*VLOOKUP('Données projet'!$B$9,Paramètres!$A$1:$I$89,3,0)*VLOOKUP('Données projet'!$B$9,Paramètres!$A$1:$I$89,5,0)</f>
        <v>-6.6861503000836817E-13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309.07357540707869</v>
      </c>
      <c r="T201" s="59">
        <f t="shared" si="204"/>
        <v>155.9593924683299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-7.3896444519050419E-13</v>
      </c>
      <c r="AJ201" s="13">
        <f>AI201*VLOOKUP('Données projet'!$B$10,Paramètres!$A$1:$I$89,3,0)*VLOOKUP('Données projet'!$B$10,Paramètres!$A$1:$I$89,5,0)</f>
        <v>-7.147264113882557E-13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340.4659523898373</v>
      </c>
      <c r="AO201" s="59">
        <f t="shared" si="205"/>
        <v>170.54530785680572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1.3670842236024327E-14</v>
      </c>
      <c r="BF201" s="13">
        <f t="shared" si="167"/>
        <v>2.5890519619727347E-13</v>
      </c>
      <c r="BG201" s="20">
        <f t="shared" si="168"/>
        <v>4.7473660027132696E-13</v>
      </c>
      <c r="BH201" s="59">
        <f t="shared" si="194"/>
        <v>293.33333333333377</v>
      </c>
      <c r="BI201" s="59">
        <f ca="1">AVERAGE(OFFSET($BH$3,0,0,'Données projet'!$E$11+1,1))-AVERAGE(OFFSET($H$3,0,0,'Données projet'!$E$11+1,1))</f>
        <v>162.52375757962767</v>
      </c>
      <c r="BJ201" s="59">
        <f t="shared" si="206"/>
        <v>162.18047435246194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-7.3896444519050419E-13</v>
      </c>
      <c r="O202" s="13">
        <f>N202*VLOOKUP('Données projet'!$B$9,Paramètres!$A$1:$I$89,3,0)*VLOOKUP('Données projet'!$B$9,Paramètres!$A$1:$I$89,5,0)</f>
        <v>-6.6861503000836817E-13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309.07357540707869</v>
      </c>
      <c r="T202" s="59">
        <f t="shared" si="204"/>
        <v>155.9593924683299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-7.3896444519050419E-13</v>
      </c>
      <c r="AJ202" s="13">
        <f>AI202*VLOOKUP('Données projet'!$B$10,Paramètres!$A$1:$I$89,3,0)*VLOOKUP('Données projet'!$B$10,Paramètres!$A$1:$I$89,5,0)</f>
        <v>-7.147264113882557E-13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340.4659523898373</v>
      </c>
      <c r="AO202" s="59">
        <f t="shared" si="205"/>
        <v>170.54530785680572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1.3670842236024327E-14</v>
      </c>
      <c r="BF202" s="13">
        <f t="shared" si="167"/>
        <v>2.5890519619727347E-13</v>
      </c>
      <c r="BG202" s="20">
        <f t="shared" si="168"/>
        <v>4.7473660027132696E-13</v>
      </c>
      <c r="BH202" s="59">
        <f t="shared" si="194"/>
        <v>293.33333333333377</v>
      </c>
      <c r="BI202" s="59">
        <f ca="1">AVERAGE(OFFSET($BH$3,0,0,'Données projet'!$E$11+1,1))-AVERAGE(OFFSET($H$3,0,0,'Données projet'!$E$11+1,1))</f>
        <v>162.52375757962767</v>
      </c>
      <c r="BJ202" s="59">
        <f t="shared" si="206"/>
        <v>162.18047435246194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-7.3896444519050419E-13</v>
      </c>
      <c r="O203" s="13">
        <f>N203*VLOOKUP('Données projet'!$B$9,Paramètres!$A$1:$I$89,3,0)*VLOOKUP('Données projet'!$B$9,Paramètres!$A$1:$I$89,5,0)</f>
        <v>-6.6861503000836817E-13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309.07357540707869</v>
      </c>
      <c r="T203" s="59">
        <f t="shared" si="204"/>
        <v>155.9593924683299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-7.3896444519050419E-13</v>
      </c>
      <c r="AJ203" s="13">
        <f>AI203*VLOOKUP('Données projet'!$B$10,Paramètres!$A$1:$I$89,3,0)*VLOOKUP('Données projet'!$B$10,Paramètres!$A$1:$I$89,5,0)</f>
        <v>-7.147264113882557E-13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340.4659523898373</v>
      </c>
      <c r="AO203" s="59">
        <f t="shared" si="205"/>
        <v>170.54530785680572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1.3670842236024327E-14</v>
      </c>
      <c r="BF203" s="13">
        <f t="shared" si="167"/>
        <v>2.5890519619727347E-13</v>
      </c>
      <c r="BG203" s="20">
        <f t="shared" si="168"/>
        <v>4.7473660027132696E-13</v>
      </c>
      <c r="BH203" s="59">
        <f t="shared" si="194"/>
        <v>293.33333333333377</v>
      </c>
      <c r="BI203" s="59">
        <f ca="1">AVERAGE(OFFSET($BH$3,0,0,'Données projet'!$E$11+1,1))-AVERAGE(OFFSET($H$3,0,0,'Données projet'!$E$11+1,1))</f>
        <v>162.52375757962767</v>
      </c>
      <c r="BJ203" s="59">
        <f t="shared" si="206"/>
        <v>162.18047435246194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1.1690615875970631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1.1690615875970631</v>
      </c>
      <c r="BA205" s="82">
        <f>EXP(LN('Données projet'!B88)/'Données projet'!A88)</f>
        <v>1.1242923632931683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19" sqref="I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2.4156</v>
      </c>
      <c r="C6" s="147">
        <f ca="1">IF(OR('Données projet'!B9="",'Données projet'!C9="",'Données projet'!C9=0%),0,Calculateur!S3)</f>
        <v>309.07357540707869</v>
      </c>
      <c r="D6" s="147">
        <f>IF(OR('Données projet'!B9="",'Données projet'!C9="",'Données projet'!C9=0%),0,Calculateur!T3)</f>
        <v>155.9593924683299</v>
      </c>
      <c r="E6" s="147">
        <f ca="1">MIN(C6,D6)</f>
        <v>155.9593924683299</v>
      </c>
      <c r="F6" s="147">
        <f ca="1">E6*B6</f>
        <v>376.7355084464977</v>
      </c>
      <c r="G6" s="147">
        <f ca="1">F6*(100%-'Données projet'!$C$24)*(100%-'Données projet'!$C$25)*(100%-'Données projet'!$C$26)*(100%-'Données projet'!$C$27)</f>
        <v>339.06195760184795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339.06195760184795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Alisier torminal</v>
      </c>
      <c r="B7" s="154">
        <f>'Données projet'!D10</f>
        <v>1.2078</v>
      </c>
      <c r="C7" s="147">
        <f ca="1">IF(OR('Données projet'!B10="",'Données projet'!C10="",'Données projet'!C10=0%),0,Calculateur!AN3)</f>
        <v>340.4659523898373</v>
      </c>
      <c r="D7" s="147">
        <f>IF(OR('Données projet'!B10="",'Données projet'!C10="",'Données projet'!C10=0%),0,Calculateur!AO3)</f>
        <v>170.54530785680572</v>
      </c>
      <c r="E7" s="147">
        <f t="shared" ref="E7:E15" ca="1" si="0">MIN(C7,D7)</f>
        <v>170.54530785680572</v>
      </c>
      <c r="F7" s="147">
        <f t="shared" ref="F7:F15" ca="1" si="1">E7*B7</f>
        <v>205.98462282944996</v>
      </c>
      <c r="G7" s="147">
        <f ca="1">F7*(100%-'Données projet'!$C$24)*(100%-'Données projet'!$C$25)*(100%-'Données projet'!$C$26)*(100%-'Données projet'!$C$27)</f>
        <v>185.38616054650498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185.38616054650498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Sapin de Nordmann</v>
      </c>
      <c r="B8" s="154">
        <f>'Données projet'!D11</f>
        <v>1.8666000000000003</v>
      </c>
      <c r="C8" s="147">
        <f ca="1">IF(OR('Données projet'!B11="",'Données projet'!C11="",'Données projet'!C11=0%),0,Calculateur!BI3)</f>
        <v>162.52375757962767</v>
      </c>
      <c r="D8" s="147">
        <f>IF(OR('Données projet'!B11="",'Données projet'!C11="",'Données projet'!C11=0%),0,Calculateur!BJ3)</f>
        <v>162.18047435246194</v>
      </c>
      <c r="E8" s="147">
        <f t="shared" ca="1" si="0"/>
        <v>162.18047435246194</v>
      </c>
      <c r="F8" s="147">
        <f t="shared" ca="1" si="1"/>
        <v>302.7260734263055</v>
      </c>
      <c r="G8" s="147">
        <f ca="1">F8*(100%-'Données projet'!$C$24)*(100%-'Données projet'!$C$25)*(100%-'Données projet'!$C$26)*(100%-'Données projet'!$C$27)</f>
        <v>272.45346608367498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272.45346608367498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885.44620470225323</v>
      </c>
      <c r="G16" s="166">
        <f t="shared" ca="1" si="3"/>
        <v>796.90158423202797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796.90158423202797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Alisier torminal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Sapin de Nordmann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6" zoomScale="80" zoomScaleNormal="80" workbookViewId="0">
      <selection activeCell="P19" sqref="P1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-1314.3581426148635</v>
      </c>
      <c r="U10" s="178">
        <f>'Données projet'!D9</f>
        <v>2.4156</v>
      </c>
      <c r="V10" s="177">
        <f>U10*T10</f>
        <v>-3174.963529300464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Alisier torminal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-2304.3007993899614</v>
      </c>
      <c r="U11" s="178">
        <f>'Données projet'!D10</f>
        <v>1.2078</v>
      </c>
      <c r="V11" s="177">
        <f t="shared" ref="V11" si="0">U11*T11</f>
        <v>-2783.1345055031952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de Nordmann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-2009.3782374109508</v>
      </c>
      <c r="U12" s="178">
        <f>'Données projet'!D11</f>
        <v>1.8666000000000003</v>
      </c>
      <c r="V12" s="177">
        <f t="shared" ref="V12:V19" si="1">U12*T12</f>
        <v>-3750.7054179512811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2717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800+860+537</f>
        <v>2197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650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-30574.541264742002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34</v>
      </c>
      <c r="B24" s="181">
        <f>'Données projet'!D37</f>
        <v>31.615384615384613</v>
      </c>
      <c r="C24" s="193">
        <v>12</v>
      </c>
      <c r="D24" s="182">
        <f t="shared" ref="D24:D42" si="2">B24*C24</f>
        <v>379.38461538461536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389.47568552219093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42</v>
      </c>
      <c r="B25" s="181">
        <f>'Données projet'!D38</f>
        <v>45.198717948717949</v>
      </c>
      <c r="C25" s="193">
        <v>35</v>
      </c>
      <c r="D25" s="182">
        <f t="shared" si="2"/>
        <v>1581.9551282051282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-30964.016950264191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52.282051282051285</v>
      </c>
      <c r="C26" s="193">
        <v>45</v>
      </c>
      <c r="D26" s="182">
        <f t="shared" si="2"/>
        <v>2352.6923076923076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58</v>
      </c>
      <c r="B27" s="181">
        <f>'Données projet'!D40</f>
        <v>47.467948717948715</v>
      </c>
      <c r="C27" s="193">
        <v>50</v>
      </c>
      <c r="D27" s="182">
        <f t="shared" si="2"/>
        <v>2373.3974358974356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66</v>
      </c>
      <c r="B28" s="181">
        <f>'Données projet'!D41</f>
        <v>54.141025641025635</v>
      </c>
      <c r="C28" s="193">
        <v>55</v>
      </c>
      <c r="D28" s="182">
        <f t="shared" si="2"/>
        <v>2977.7564102564102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74</v>
      </c>
      <c r="B29" s="181">
        <f>'Données projet'!D42</f>
        <v>52.737179487179482</v>
      </c>
      <c r="C29" s="193">
        <v>60</v>
      </c>
      <c r="D29" s="182">
        <f t="shared" si="2"/>
        <v>3164.2307692307691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82</v>
      </c>
      <c r="B30" s="181">
        <f>'Données projet'!D43</f>
        <v>40.371794871794869</v>
      </c>
      <c r="C30" s="193">
        <v>80</v>
      </c>
      <c r="D30" s="182">
        <f t="shared" si="2"/>
        <v>3229.7435897435894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90</v>
      </c>
      <c r="B31" s="181">
        <f>'Données projet'!D44</f>
        <v>47.307692307692307</v>
      </c>
      <c r="C31" s="193">
        <v>80</v>
      </c>
      <c r="D31" s="182">
        <f t="shared" si="2"/>
        <v>3784.6153846153848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100</v>
      </c>
      <c r="B32" s="181">
        <f>'Données projet'!D45</f>
        <v>63.801282051282051</v>
      </c>
      <c r="C32" s="193">
        <v>80</v>
      </c>
      <c r="D32" s="182">
        <f t="shared" si="2"/>
        <v>5104.1025641025644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110</v>
      </c>
      <c r="B33" s="181">
        <f>'Données projet'!D46</f>
        <v>50.051282051282051</v>
      </c>
      <c r="C33" s="193">
        <v>80</v>
      </c>
      <c r="D33" s="182">
        <f t="shared" si="2"/>
        <v>4004.102564102564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120</v>
      </c>
      <c r="B34" s="181">
        <f>'Données projet'!D47</f>
        <v>44.929487179487182</v>
      </c>
      <c r="C34" s="193">
        <v>80</v>
      </c>
      <c r="D34" s="182">
        <f t="shared" si="2"/>
        <v>3594.3589743589746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130</v>
      </c>
      <c r="B35" s="181">
        <f>'Données projet'!D48</f>
        <v>51.378205128205131</v>
      </c>
      <c r="C35" s="193">
        <v>80</v>
      </c>
      <c r="D35" s="182">
        <f t="shared" si="2"/>
        <v>4110.2564102564102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140</v>
      </c>
      <c r="B36" s="181">
        <f>'Données projet'!D49</f>
        <v>50.467948717948715</v>
      </c>
      <c r="C36" s="193">
        <v>80</v>
      </c>
      <c r="D36" s="182">
        <f t="shared" si="2"/>
        <v>4037.4358974358975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150</v>
      </c>
      <c r="B37" s="181">
        <f>'Données projet'!D50</f>
        <v>178.72435897435898</v>
      </c>
      <c r="C37" s="193">
        <v>80</v>
      </c>
      <c r="D37" s="182">
        <f t="shared" si="2"/>
        <v>14297.948717948719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153</v>
      </c>
      <c r="B38" s="181">
        <f>'Données projet'!D51</f>
        <v>105.26282051282051</v>
      </c>
      <c r="C38" s="193">
        <v>80</v>
      </c>
      <c r="D38" s="182">
        <f t="shared" si="2"/>
        <v>8421.0256410256407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156</v>
      </c>
      <c r="B39" s="181">
        <f>'Données projet'!D52</f>
        <v>65.070512820512818</v>
      </c>
      <c r="C39" s="193">
        <v>80</v>
      </c>
      <c r="D39" s="182">
        <f t="shared" si="2"/>
        <v>5205.6410256410254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159</v>
      </c>
      <c r="B40" s="181">
        <f>'Données projet'!D53</f>
        <v>135.55128205128204</v>
      </c>
      <c r="C40" s="193">
        <v>80</v>
      </c>
      <c r="D40" s="182">
        <f t="shared" si="2"/>
        <v>10844.102564102563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Alisier torminal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3622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34</v>
      </c>
      <c r="B55" s="181">
        <f>'Données projet'!D63</f>
        <v>31.615384615384613</v>
      </c>
      <c r="C55" s="191">
        <v>12</v>
      </c>
      <c r="D55" s="179">
        <f t="shared" ref="D55:D73" si="4">B55*C55</f>
        <v>379.38461538461536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42</v>
      </c>
      <c r="B56" s="181">
        <f>'Données projet'!D64</f>
        <v>45.198717948717949</v>
      </c>
      <c r="C56" s="191">
        <v>35</v>
      </c>
      <c r="D56" s="179">
        <f t="shared" si="4"/>
        <v>1581.9551282051282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52.282051282051285</v>
      </c>
      <c r="C57" s="191">
        <v>45</v>
      </c>
      <c r="D57" s="179">
        <f t="shared" si="4"/>
        <v>2352.6923076923076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58</v>
      </c>
      <c r="B58" s="181">
        <f>'Données projet'!D66</f>
        <v>47.467948717948715</v>
      </c>
      <c r="C58" s="191">
        <v>50</v>
      </c>
      <c r="D58" s="179">
        <f t="shared" si="4"/>
        <v>2373.3974358974356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66</v>
      </c>
      <c r="B59" s="181">
        <f>'Données projet'!D67</f>
        <v>54.141025641025635</v>
      </c>
      <c r="C59" s="191">
        <v>55</v>
      </c>
      <c r="D59" s="179">
        <f t="shared" si="4"/>
        <v>2977.7564102564102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74</v>
      </c>
      <c r="B60" s="181">
        <f>'Données projet'!D68</f>
        <v>52.737179487179482</v>
      </c>
      <c r="C60" s="191">
        <v>60</v>
      </c>
      <c r="D60" s="179">
        <f t="shared" si="4"/>
        <v>3164.2307692307691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82</v>
      </c>
      <c r="B61" s="181">
        <f>'Données projet'!D69</f>
        <v>40.371794871794869</v>
      </c>
      <c r="C61" s="191">
        <v>80</v>
      </c>
      <c r="D61" s="179">
        <f t="shared" si="4"/>
        <v>3229.7435897435894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90</v>
      </c>
      <c r="B62" s="181">
        <f>'Données projet'!D70</f>
        <v>47.307692307692307</v>
      </c>
      <c r="C62" s="191">
        <v>80</v>
      </c>
      <c r="D62" s="179">
        <f t="shared" si="4"/>
        <v>3784.6153846153848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100</v>
      </c>
      <c r="B63" s="181">
        <f>'Données projet'!D71</f>
        <v>63.801282051282051</v>
      </c>
      <c r="C63" s="191">
        <v>80</v>
      </c>
      <c r="D63" s="179">
        <f t="shared" si="4"/>
        <v>5104.1025641025644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110</v>
      </c>
      <c r="B64" s="181">
        <f>'Données projet'!D72</f>
        <v>50.051282051282051</v>
      </c>
      <c r="C64" s="191">
        <v>80</v>
      </c>
      <c r="D64" s="179">
        <f t="shared" si="4"/>
        <v>4004.102564102564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120</v>
      </c>
      <c r="B65" s="181">
        <f>'Données projet'!D73</f>
        <v>44.929487179487182</v>
      </c>
      <c r="C65" s="191">
        <v>80</v>
      </c>
      <c r="D65" s="179">
        <f t="shared" si="4"/>
        <v>3594.3589743589746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130</v>
      </c>
      <c r="B66" s="181">
        <f>'Données projet'!D74</f>
        <v>51.378205128205131</v>
      </c>
      <c r="C66" s="191">
        <v>80</v>
      </c>
      <c r="D66" s="179">
        <f t="shared" si="4"/>
        <v>4110.2564102564102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140</v>
      </c>
      <c r="B67" s="181">
        <f>'Données projet'!D75</f>
        <v>50.467948717948715</v>
      </c>
      <c r="C67" s="191">
        <v>80</v>
      </c>
      <c r="D67" s="179">
        <f t="shared" si="4"/>
        <v>4037.4358974358975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150</v>
      </c>
      <c r="B68" s="181">
        <f>'Données projet'!D76</f>
        <v>178.72435897435898</v>
      </c>
      <c r="C68" s="191">
        <v>80</v>
      </c>
      <c r="D68" s="179">
        <f t="shared" si="4"/>
        <v>14297.948717948719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153</v>
      </c>
      <c r="B69" s="181">
        <f>'Données projet'!D77</f>
        <v>105.26282051282051</v>
      </c>
      <c r="C69" s="191">
        <v>80</v>
      </c>
      <c r="D69" s="179">
        <f t="shared" si="4"/>
        <v>8421.0256410256407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156</v>
      </c>
      <c r="B70" s="181">
        <f>'Données projet'!D78</f>
        <v>65.070512820512818</v>
      </c>
      <c r="C70" s="191">
        <v>80</v>
      </c>
      <c r="D70" s="179">
        <f t="shared" si="4"/>
        <v>5205.6410256410254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159</v>
      </c>
      <c r="B71" s="181">
        <f>'Données projet'!D79</f>
        <v>135.55128205128204</v>
      </c>
      <c r="C71" s="191">
        <v>80</v>
      </c>
      <c r="D71" s="179">
        <f t="shared" si="4"/>
        <v>10844.102564102563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Sapin de Nordmann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2504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50</v>
      </c>
      <c r="B85" s="181">
        <f>'Données projet'!D88</f>
        <v>104.55384615384614</v>
      </c>
      <c r="C85" s="191">
        <v>8</v>
      </c>
      <c r="D85" s="179">
        <f>B85*C85</f>
        <v>836.4307692307691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60</v>
      </c>
      <c r="B86" s="181">
        <f>'Données projet'!D89</f>
        <v>133.13846153846154</v>
      </c>
      <c r="C86" s="191">
        <v>8</v>
      </c>
      <c r="D86" s="179">
        <f t="shared" ref="D86:D104" si="6">B86*C86</f>
        <v>1065.1076923076923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70</v>
      </c>
      <c r="B87" s="181">
        <f>'Données projet'!D90</f>
        <v>105.74615384615385</v>
      </c>
      <c r="C87" s="191">
        <v>15</v>
      </c>
      <c r="D87" s="179">
        <f t="shared" si="6"/>
        <v>1586.1923076923076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80</v>
      </c>
      <c r="B88" s="181">
        <f>'Données projet'!D91</f>
        <v>80.684615384615384</v>
      </c>
      <c r="C88" s="191">
        <v>25</v>
      </c>
      <c r="D88" s="179">
        <f t="shared" si="6"/>
        <v>2017.1153846153845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90</v>
      </c>
      <c r="B89" s="181">
        <f>'Données projet'!D92</f>
        <v>58.792307692307695</v>
      </c>
      <c r="C89" s="191">
        <v>30</v>
      </c>
      <c r="D89" s="179">
        <f t="shared" si="6"/>
        <v>1763.7692307692309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100</v>
      </c>
      <c r="B90" s="181">
        <f>'Données projet'!D93</f>
        <v>178.02307692307693</v>
      </c>
      <c r="C90" s="191">
        <v>35</v>
      </c>
      <c r="D90" s="179">
        <f t="shared" si="6"/>
        <v>6230.8076923076924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110</v>
      </c>
      <c r="B91" s="181">
        <f>'Données projet'!D94</f>
        <v>129.43076923076922</v>
      </c>
      <c r="C91" s="191">
        <v>40</v>
      </c>
      <c r="D91" s="179">
        <f t="shared" si="6"/>
        <v>5177.2307692307686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120</v>
      </c>
      <c r="B92" s="181">
        <f>'Données projet'!D95</f>
        <v>168.63076923076923</v>
      </c>
      <c r="C92" s="191">
        <v>50</v>
      </c>
      <c r="D92" s="179">
        <f t="shared" si="6"/>
        <v>8431.538461538461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Kevin BRICE</cp:lastModifiedBy>
  <dcterms:created xsi:type="dcterms:W3CDTF">2021-02-01T08:22:39Z</dcterms:created>
  <dcterms:modified xsi:type="dcterms:W3CDTF">2025-05-06T07:19:30Z</dcterms:modified>
</cp:coreProperties>
</file>