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neosylvafrance.sharepoint.com/sites/Partage/Documents partages/DOSSIER STAGIAIRE/LBC/SUD-OUEST (CI)/2HERR-124/Dossier octobre 2024/"/>
    </mc:Choice>
  </mc:AlternateContent>
  <xr:revisionPtr revIDLastSave="12" documentId="8_{167521DD-0588-45BE-B7C7-E94073180D6F}" xr6:coauthVersionLast="47" xr6:coauthVersionMax="47" xr10:uidLastSave="{FA75380D-F544-479A-92B3-D4661A16E4A7}"/>
  <bookViews>
    <workbookView xWindow="1990" yWindow="1250" windowWidth="19180" windowHeight="11230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U31" i="6" l="1"/>
  <c r="U30" i="6"/>
  <c r="U33" i="6" s="1"/>
  <c r="E17" i="6"/>
  <c r="E18" i="6"/>
  <c r="E19" i="6"/>
  <c r="E20" i="6"/>
  <c r="I22" i="6"/>
  <c r="I20" i="6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V10" i="6" l="1"/>
  <c r="I24" i="6"/>
  <c r="P67" i="6"/>
  <c r="H19" i="2"/>
  <c r="D20" i="2"/>
  <c r="G20" i="2" s="1"/>
  <c r="P40" i="6"/>
  <c r="T23" i="6" l="1"/>
  <c r="P68" i="6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HH6" i="2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B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HH10" i="2" s="1"/>
  <c r="GI10" i="2"/>
  <c r="GJ10" i="2"/>
  <c r="ET10" i="2"/>
  <c r="FN10" i="2"/>
  <c r="FO10" i="2"/>
  <c r="BN10" i="2"/>
  <c r="ES10" i="2"/>
  <c r="DX10" i="2"/>
  <c r="EA10" i="2" s="1"/>
  <c r="CH10" i="2"/>
  <c r="AS10" i="2"/>
  <c r="DC10" i="2"/>
  <c r="BM10" i="2"/>
  <c r="W10" i="2"/>
  <c r="X10" i="2"/>
  <c r="DY10" i="2"/>
  <c r="EB10" i="2" s="1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G10" i="2" l="1"/>
  <c r="FS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HG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EW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EC13" i="2" s="1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A18" i="2" l="1"/>
  <c r="EV18" i="2"/>
  <c r="EW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HG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V21" i="2" l="1"/>
  <c r="HH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HH22" i="2"/>
  <c r="EW22" i="2"/>
  <c r="HG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FR24" i="2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C27" i="2" l="1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V28" i="2"/>
  <c r="EC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V33" i="2"/>
  <c r="EB33" i="2"/>
  <c r="HG33" i="2"/>
  <c r="EW33" i="2"/>
  <c r="HH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FQ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I38" i="2" s="1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FS38" i="2"/>
  <c r="HH38" i="2"/>
  <c r="EW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HG42" i="2" l="1"/>
  <c r="EA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A43" i="2" l="1"/>
  <c r="HG43" i="2"/>
  <c r="D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C44" i="2" l="1"/>
  <c r="EW44" i="2"/>
  <c r="HG44" i="2"/>
  <c r="HH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EC48" i="2" s="1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G57" i="2" l="1"/>
  <c r="EB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EV60" i="2"/>
  <c r="HH60" i="2"/>
  <c r="HG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EX61" i="2"/>
  <c r="EW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C63" i="2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EV64" i="2"/>
  <c r="HH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HH66" i="2" s="1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W66" i="2" l="1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HI69" i="2" l="1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S74" i="2" s="1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HH75" i="2"/>
  <c r="FS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A77" i="2" l="1"/>
  <c r="EW77" i="2"/>
  <c r="HI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G82" i="2" l="1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HH85" i="2"/>
  <c r="EV85" i="2"/>
  <c r="EW85" i="2"/>
  <c r="HG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EC93" i="2" s="1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FS93" i="2" l="1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W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EX104" i="2" s="1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EC107" i="2" s="1"/>
  <c r="DB107" i="2"/>
  <c r="DZ107" i="2"/>
  <c r="DL107" i="2"/>
  <c r="DE107" i="2"/>
  <c r="EQ107" i="2"/>
  <c r="EH107" i="2"/>
  <c r="CJ107" i="2"/>
  <c r="CR107" i="2"/>
  <c r="FP107" i="2"/>
  <c r="FB107" i="2"/>
  <c r="ER107" i="2"/>
  <c r="EX107" i="2" s="1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HG107" i="2" l="1"/>
  <c r="EB107" i="2"/>
  <c r="EA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HI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X113" i="2" l="1"/>
  <c r="EW113" i="2"/>
  <c r="EB113" i="2"/>
  <c r="HG113" i="2"/>
  <c r="EC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V116" i="2" l="1"/>
  <c r="HG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X118" i="2" l="1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EX120" i="2"/>
  <c r="FR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HG124" i="2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EC125" i="2" s="1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EX128" i="2" s="1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B128" i="2" l="1"/>
  <c r="EV128" i="2"/>
  <c r="HG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X130" i="2" l="1"/>
  <c r="EB130" i="2"/>
  <c r="HH130" i="2"/>
  <c r="EW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W134" i="2" l="1"/>
  <c r="HG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W139" i="2" l="1"/>
  <c r="FS139" i="2"/>
  <c r="HH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EC140" i="2" s="1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A141" i="2" l="1"/>
  <c r="HH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HG144" i="2" l="1"/>
  <c r="EA144" i="2"/>
  <c r="FR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HG145" i="2" l="1"/>
  <c r="EB145" i="2"/>
  <c r="HH145" i="2"/>
  <c r="EX145" i="2"/>
  <c r="FR145" i="2"/>
  <c r="EA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I146" i="2" s="1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H146" i="2" l="1"/>
  <c r="FR146" i="2"/>
  <c r="HG146" i="2"/>
  <c r="EA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H150" i="2"/>
  <c r="HI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EB153" i="2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X155" i="2"/>
  <c r="EW155" i="2"/>
  <c r="HG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HI156" i="2" l="1"/>
  <c r="AB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CN156" i="2" l="1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W158" i="2" l="1"/>
  <c r="HH158" i="2"/>
  <c r="HG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EB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HG162" i="2" l="1"/>
  <c r="EB162" i="2"/>
  <c r="HH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A164" i="2" l="1"/>
  <c r="EV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G165" i="2" l="1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A167" i="2" l="1"/>
  <c r="EB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HI168" i="2" l="1"/>
  <c r="DG168" i="2"/>
  <c r="EV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FS169" i="2" l="1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A172" i="2" l="1"/>
  <c r="HI172" i="2"/>
  <c r="HG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HH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AX172" i="2"/>
  <c r="EW175" i="2" l="1"/>
  <c r="FS175" i="2"/>
  <c r="EA175" i="2"/>
  <c r="HI175" i="2"/>
  <c r="EB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W177" i="2" l="1"/>
  <c r="EC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B178" i="2" s="1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H178" i="2" l="1"/>
  <c r="EW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EV179" i="2" l="1"/>
  <c r="DF179" i="2"/>
  <c r="HG179" i="2"/>
  <c r="HI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X180" i="2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W181" i="2" l="1"/>
  <c r="FS181" i="2"/>
  <c r="HG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C182" i="2" l="1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I185" i="2" l="1"/>
  <c r="EW185" i="2"/>
  <c r="HG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EA186" i="2"/>
  <c r="FS186" i="2"/>
  <c r="ED185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I191" i="2" l="1"/>
  <c r="HH191" i="2"/>
  <c r="EW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V192" i="2" l="1"/>
  <c r="HH192" i="2"/>
  <c r="EB192" i="2"/>
  <c r="EW192" i="2"/>
  <c r="HG192" i="2"/>
  <c r="EA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CN193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EC197" i="2" s="1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HG197" i="2"/>
  <c r="EW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W198" i="2" l="1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FS199" i="2" l="1"/>
  <c r="EA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T4" i="2" s="1" a="1"/>
  <c r="GT4" i="2" s="1"/>
  <c r="GU4" i="2" s="1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D200" i="2"/>
  <c r="DI200" i="2"/>
  <c r="HG201" i="2" l="1"/>
  <c r="FS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EW202" i="2" l="1"/>
  <c r="FR202" i="2"/>
  <c r="HG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50" i="2" a="1"/>
  <c r="FY50" i="2" s="1"/>
  <c r="FY22" i="2" a="1"/>
  <c r="FY22" i="2" s="1"/>
  <c r="FY35" i="2" a="1"/>
  <c r="FY35" i="2" s="1"/>
  <c r="FY18" i="2" a="1"/>
  <c r="FY18" i="2" s="1"/>
  <c r="FY69" i="2" a="1"/>
  <c r="FY69" i="2" s="1"/>
  <c r="FY191" i="2" a="1"/>
  <c r="FY191" i="2" s="1"/>
  <c r="FY186" i="2" a="1"/>
  <c r="FY186" i="2" s="1"/>
  <c r="FY92" i="2" a="1"/>
  <c r="FY92" i="2" s="1"/>
  <c r="FY78" i="2" a="1"/>
  <c r="FY78" i="2" s="1"/>
  <c r="FY55" i="2" a="1"/>
  <c r="FY55" i="2" s="1"/>
  <c r="FY190" i="2" a="1"/>
  <c r="FY190" i="2" s="1"/>
  <c r="FY24" i="2" a="1"/>
  <c r="FY24" i="2" s="1"/>
  <c r="FY104" i="2" a="1"/>
  <c r="FY10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AH151" i="2" a="1"/>
  <c r="AH151" i="2" s="1"/>
  <c r="DN103" i="2" a="1"/>
  <c r="DN103" i="2" s="1"/>
  <c r="DN114" i="2" a="1"/>
  <c r="DN114" i="2" s="1"/>
  <c r="AH90" i="2" a="1"/>
  <c r="AH90" i="2" s="1"/>
  <c r="AH62" i="2" a="1"/>
  <c r="AH62" i="2" s="1"/>
  <c r="CS38" i="2" a="1"/>
  <c r="CS38" i="2" s="1"/>
  <c r="FY182" i="2" a="1"/>
  <c r="FY182" i="2" s="1"/>
  <c r="FY30" i="2" a="1"/>
  <c r="FY30" i="2" s="1"/>
  <c r="FY121" i="2" a="1"/>
  <c r="FY121" i="2" s="1"/>
  <c r="FD48" i="2" a="1"/>
  <c r="FD48" i="2" s="1"/>
  <c r="FD43" i="2" a="1"/>
  <c r="FD43" i="2" s="1"/>
  <c r="FD159" i="2" a="1"/>
  <c r="FD159" i="2" s="1"/>
  <c r="FD194" i="2" a="1"/>
  <c r="FD194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DN80" i="2" a="1"/>
  <c r="DN80" i="2" s="1"/>
  <c r="CS56" i="2" a="1"/>
  <c r="CS56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DN45" i="2" a="1"/>
  <c r="DN45" i="2" s="1"/>
  <c r="CS72" i="2" a="1"/>
  <c r="CS72" i="2" s="1"/>
  <c r="BX107" i="2" a="1"/>
  <c r="BX107" i="2" s="1"/>
  <c r="DN187" i="2" a="1"/>
  <c r="DN187" i="2" s="1"/>
  <c r="HJ202" i="2"/>
  <c r="EY202" i="2"/>
  <c r="AX200" i="2"/>
  <c r="FD19" i="2" l="1" a="1"/>
  <c r="FD19" i="2" s="1"/>
  <c r="FD107" i="2" a="1"/>
  <c r="FD107" i="2" s="1"/>
  <c r="FD64" i="2" a="1"/>
  <c r="FD64" i="2" s="1"/>
  <c r="FD44" i="2" a="1"/>
  <c r="FD44" i="2" s="1"/>
  <c r="FY167" i="2" a="1"/>
  <c r="FY167" i="2" s="1"/>
  <c r="FY42" i="2" a="1"/>
  <c r="FY42" i="2" s="1"/>
  <c r="FY115" i="2" a="1"/>
  <c r="FY115" i="2" s="1"/>
  <c r="CS105" i="2" a="1"/>
  <c r="CS105" i="2" s="1"/>
  <c r="AH199" i="2" a="1"/>
  <c r="AH199" i="2" s="1"/>
  <c r="CS77" i="2" a="1"/>
  <c r="CS77" i="2" s="1"/>
  <c r="CS137" i="2" a="1"/>
  <c r="CS137" i="2" s="1"/>
  <c r="CS129" i="2" a="1"/>
  <c r="CS129" i="2" s="1"/>
  <c r="FD144" i="2" a="1"/>
  <c r="FD144" i="2" s="1"/>
  <c r="FY34" i="2" a="1"/>
  <c r="FY34" i="2" s="1"/>
  <c r="FY124" i="2" a="1"/>
  <c r="FY124" i="2" s="1"/>
  <c r="FY72" i="2" a="1"/>
  <c r="FY72" i="2" s="1"/>
  <c r="FY126" i="2" a="1"/>
  <c r="FY126" i="2" s="1"/>
  <c r="FY174" i="2" a="1"/>
  <c r="FY174" i="2" s="1"/>
  <c r="FY111" i="2" a="1"/>
  <c r="FY111" i="2" s="1"/>
  <c r="FY173" i="2" a="1"/>
  <c r="FY173" i="2" s="1"/>
  <c r="FY110" i="2" a="1"/>
  <c r="FY110" i="2" s="1"/>
  <c r="FY66" i="2" a="1"/>
  <c r="FY66" i="2" s="1"/>
  <c r="FY133" i="2" a="1"/>
  <c r="FY133" i="2" s="1"/>
  <c r="FY165" i="2" a="1"/>
  <c r="FY165" i="2" s="1"/>
  <c r="FY90" i="2" a="1"/>
  <c r="FY90" i="2" s="1"/>
  <c r="FY109" i="2" a="1"/>
  <c r="FY109" i="2" s="1"/>
  <c r="HG203" i="2"/>
  <c r="FD82" i="2" a="1"/>
  <c r="FD82" i="2" s="1"/>
  <c r="CS134" i="2" a="1"/>
  <c r="CS134" i="2" s="1"/>
  <c r="CS185" i="2" a="1"/>
  <c r="CS185" i="2" s="1"/>
  <c r="FD160" i="2" a="1"/>
  <c r="FD160" i="2" s="1"/>
  <c r="FD167" i="2" a="1"/>
  <c r="FD167" i="2" s="1"/>
  <c r="FD189" i="2" a="1"/>
  <c r="FD189" i="2" s="1"/>
  <c r="FD188" i="2" a="1"/>
  <c r="FD188" i="2" s="1"/>
  <c r="FY142" i="2" a="1"/>
  <c r="FY142" i="2" s="1"/>
  <c r="FY196" i="2" a="1"/>
  <c r="FY196" i="2" s="1"/>
  <c r="FY86" i="2" a="1"/>
  <c r="FY86" i="2" s="1"/>
  <c r="CS161" i="2" a="1"/>
  <c r="CS161" i="2" s="1"/>
  <c r="AH166" i="2" a="1"/>
  <c r="AH166" i="2" s="1"/>
  <c r="CS52" i="2" a="1"/>
  <c r="CS52" i="2" s="1"/>
  <c r="FD21" i="2" a="1"/>
  <c r="FD21" i="2" s="1"/>
  <c r="FY164" i="2" a="1"/>
  <c r="FY164" i="2" s="1"/>
  <c r="FY169" i="2" a="1"/>
  <c r="FY169" i="2" s="1"/>
  <c r="AH92" i="2" a="1"/>
  <c r="AH92" i="2" s="1"/>
  <c r="FY188" i="2" a="1"/>
  <c r="FY188" i="2" s="1"/>
  <c r="FY99" i="2" a="1"/>
  <c r="FY99" i="2" s="1"/>
  <c r="FY73" i="2" a="1"/>
  <c r="FY73" i="2" s="1"/>
  <c r="FY159" i="2" a="1"/>
  <c r="FY159" i="2" s="1"/>
  <c r="FY153" i="2" a="1"/>
  <c r="FY153" i="2" s="1"/>
  <c r="FY120" i="2" a="1"/>
  <c r="FY120" i="2" s="1"/>
  <c r="FY140" i="2" a="1"/>
  <c r="FY140" i="2" s="1"/>
  <c r="FY146" i="2" a="1"/>
  <c r="FY146" i="2" s="1"/>
  <c r="FY57" i="2" a="1"/>
  <c r="FY57" i="2" s="1"/>
  <c r="FY79" i="2" a="1"/>
  <c r="FY79" i="2" s="1"/>
  <c r="CS114" i="2" a="1"/>
  <c r="CS114" i="2" s="1"/>
  <c r="CS120" i="2" a="1"/>
  <c r="CS120" i="2" s="1"/>
  <c r="FD187" i="2" a="1"/>
  <c r="FD187" i="2" s="1"/>
  <c r="FD137" i="2" a="1"/>
  <c r="FD137" i="2" s="1"/>
  <c r="FD131" i="2" a="1"/>
  <c r="FD131" i="2" s="1"/>
  <c r="FD14" i="2" a="1"/>
  <c r="FD14" i="2" s="1"/>
  <c r="FD60" i="2" a="1"/>
  <c r="FD60" i="2" s="1"/>
  <c r="FY80" i="2" a="1"/>
  <c r="FY80" i="2" s="1"/>
  <c r="FY82" i="2" a="1"/>
  <c r="FY82" i="2" s="1"/>
  <c r="FY58" i="2" a="1"/>
  <c r="FY58" i="2" s="1"/>
  <c r="AH163" i="2" a="1"/>
  <c r="AH163" i="2" s="1"/>
  <c r="AH19" i="2" a="1"/>
  <c r="AH19" i="2" s="1"/>
  <c r="FY172" i="2" a="1"/>
  <c r="FY172" i="2" s="1"/>
  <c r="FY149" i="2" a="1"/>
  <c r="FY149" i="2" s="1"/>
  <c r="FY62" i="2" a="1"/>
  <c r="FY62" i="2" s="1"/>
  <c r="FY178" i="2" a="1"/>
  <c r="FY178" i="2" s="1"/>
  <c r="FY28" i="2" a="1"/>
  <c r="FY28" i="2" s="1"/>
  <c r="FY116" i="2" a="1"/>
  <c r="FY116" i="2" s="1"/>
  <c r="FY152" i="2" a="1"/>
  <c r="FY152" i="2" s="1"/>
  <c r="FY143" i="2" a="1"/>
  <c r="FY143" i="2" s="1"/>
  <c r="FY102" i="2" a="1"/>
  <c r="FY102" i="2" s="1"/>
  <c r="FY71" i="2" a="1"/>
  <c r="FY71" i="2" s="1"/>
  <c r="FY29" i="2" a="1"/>
  <c r="FY29" i="2" s="1"/>
  <c r="FY32" i="2" a="1"/>
  <c r="FY32" i="2" s="1"/>
  <c r="FY54" i="2" a="1"/>
  <c r="FY54" i="2" s="1"/>
  <c r="FY47" i="2" a="1"/>
  <c r="FY47" i="2" s="1"/>
  <c r="BP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CN203" i="2" l="1"/>
  <c r="FZ9" i="2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tc={E3E51501-5542-451B-A280-7119D553B862}</author>
    <author>tc={B35BE5CD-F471-4164-A396-0E8AD3EACE1D}</author>
    <author>tc={4C91F93A-4850-4663-A3C2-6971670EE070}</author>
    <author>tc={A5FF619C-2127-44FB-957D-29D1CE20524D}</author>
    <author>tc={21E90E90-8F37-4036-8CF3-2FC2FE4B471C}</author>
    <author>tc={CB823BE7-DD1F-4081-B48B-60B6F5E5ECBE}</author>
    <author>tc={6B940231-2296-481D-B696-1C215BAA35A1}</author>
  </authors>
  <commentList>
    <comment ref="E18" authorId="0" shapeId="0" xr:uid="{E3E51501-5542-451B-A280-7119D553B862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19" authorId="1" shapeId="0" xr:uid="{B35BE5CD-F471-4164-A396-0E8AD3EACE1D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
Correspond aux frais fixes entretien manuel + répulsif gibier + regarnis
</t>
      </text>
    </comment>
    <comment ref="I19" authorId="2" shapeId="0" xr:uid="{4C91F93A-4850-4663-A3C2-6971670EE070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Toutes les ans pendant la durée du contrat : frais de gardiennage 20€/ha/an</t>
      </text>
    </comment>
    <comment ref="E20" authorId="3" shapeId="0" xr:uid="{A5FF619C-2127-44FB-957D-29D1CE20524D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I20" authorId="4" shapeId="0" xr:uid="{21E90E90-8F37-4036-8CF3-2FC2FE4B471C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Année 1 : demande cas par cas + diagnostic gestionnaire</t>
      </text>
    </comment>
    <comment ref="I22" authorId="5" shapeId="0" xr:uid="{CB823BE7-DD1F-4081-B48B-60B6F5E5ECBE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Année 3 : rédaction DGD</t>
      </text>
    </comment>
    <comment ref="I24" authorId="6" shapeId="0" xr:uid="{6B940231-2296-481D-B696-1C215BAA35A1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Année 5 : facturation maitrise d'œuvre</t>
      </text>
    </comment>
  </commentList>
</comments>
</file>

<file path=xl/sharedStrings.xml><?xml version="1.0" encoding="utf-8"?>
<sst xmlns="http://schemas.openxmlformats.org/spreadsheetml/2006/main" count="1176" uniqueCount="329">
  <si>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</si>
  <si>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</si>
  <si>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</si>
  <si>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</si>
  <si>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</si>
  <si>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</si>
  <si>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</si>
  <si>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</si>
  <si>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</si>
  <si>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</si>
  <si>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</si>
  <si>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</si>
  <si>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</si>
  <si>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</si>
  <si>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</si>
  <si>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</si>
  <si>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</si>
  <si>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</si>
  <si>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</si>
  <si>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</si>
  <si>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</si>
  <si>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</si>
  <si>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</si>
  <si>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</si>
  <si>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</si>
  <si>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</si>
  <si>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</si>
  <si>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</si>
  <si>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</si>
  <si>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</si>
  <si>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</si>
  <si>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</si>
  <si>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</si>
  <si>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</si>
  <si>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</si>
  <si>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</si>
  <si>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</si>
  <si>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</si>
  <si>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</si>
  <si>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</si>
  <si>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</si>
  <si>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</si>
  <si>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</si>
  <si>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</si>
  <si>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</si>
  <si>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</si>
  <si>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</si>
  <si>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</si>
  <si>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</si>
  <si>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</si>
  <si>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</si>
  <si>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</si>
  <si>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</si>
  <si>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</si>
  <si>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</si>
  <si>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</si>
  <si>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</si>
  <si>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</si>
  <si>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</si>
  <si>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</si>
  <si>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</si>
  <si>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</si>
  <si>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</si>
  <si>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</si>
  <si>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</si>
  <si>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</si>
  <si>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</si>
  <si>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</si>
  <si>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</si>
  <si>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</si>
  <si>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</si>
  <si>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</si>
  <si>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</si>
  <si>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</si>
  <si>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</si>
  <si>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</si>
  <si>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</si>
  <si>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</si>
  <si>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</si>
  <si>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</si>
  <si>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</si>
  <si>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</si>
  <si>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</si>
  <si>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</si>
  <si>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</si>
  <si>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</si>
  <si>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</si>
  <si>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</si>
  <si>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</si>
  <si>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</si>
  <si>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</si>
  <si>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</si>
  <si>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</si>
  <si>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</si>
  <si>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</si>
  <si>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</si>
  <si>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</si>
  <si>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</si>
  <si>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</si>
  <si>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</si>
  <si>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</si>
  <si>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</si>
  <si>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</si>
  <si>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</si>
  <si>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</si>
  <si>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</si>
  <si>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</si>
  <si>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</si>
  <si>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</si>
  <si>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</si>
  <si>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</si>
  <si>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</si>
  <si>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</si>
  <si>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</si>
  <si>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</si>
  <si>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</si>
  <si>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</si>
  <si>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</si>
  <si>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</si>
  <si>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</si>
  <si>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</si>
  <si>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</si>
  <si>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</si>
  <si>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</si>
  <si>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</si>
  <si>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</si>
  <si>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</si>
  <si>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</si>
  <si>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</si>
  <si>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</si>
  <si>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</si>
  <si>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</si>
  <si>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</si>
  <si>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</si>
  <si>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</si>
  <si>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</si>
  <si>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</si>
  <si>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</si>
  <si>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</si>
  <si>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</si>
  <si>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</si>
  <si>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</si>
  <si>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</si>
  <si>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</si>
  <si>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</si>
  <si>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</si>
  <si>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</si>
  <si>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</si>
  <si>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</si>
  <si>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</si>
  <si>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</si>
  <si>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</si>
  <si>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</si>
  <si>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</si>
  <si>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</si>
  <si>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</si>
  <si>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</si>
  <si>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</si>
  <si>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</si>
  <si>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</si>
  <si>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</si>
  <si>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</si>
  <si>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</si>
  <si>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</si>
  <si>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</si>
  <si>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</si>
  <si>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</si>
  <si>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</si>
  <si>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</si>
  <si>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</si>
  <si>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</si>
  <si>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</si>
  <si>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</si>
  <si>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</si>
  <si>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</si>
  <si>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</si>
  <si>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</si>
  <si>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</si>
  <si>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</si>
  <si>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</si>
  <si>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</si>
  <si>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</si>
  <si>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</si>
  <si>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</si>
  <si>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</si>
  <si>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</si>
  <si>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</si>
  <si>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</si>
  <si>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</si>
  <si>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</si>
  <si>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</si>
  <si>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</si>
  <si>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</si>
  <si>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</si>
  <si>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</si>
  <si>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</si>
  <si>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</si>
  <si>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</si>
  <si>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</si>
  <si>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</si>
  <si>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</si>
  <si>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</si>
  <si>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</si>
  <si>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</si>
  <si>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</si>
  <si>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</si>
  <si>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</si>
  <si>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</si>
  <si>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</si>
  <si>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</si>
  <si>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</si>
  <si>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</si>
  <si>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</si>
  <si>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</si>
  <si>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</si>
  <si>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</si>
  <si>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</si>
  <si>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</si>
  <si>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</si>
  <si>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</si>
  <si>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</si>
  <si>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</si>
  <si>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</si>
  <si>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</si>
  <si>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</si>
  <si>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</si>
  <si>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</si>
  <si>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</si>
  <si>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</si>
  <si>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</si>
  <si>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</si>
  <si>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</si>
  <si>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</si>
  <si>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</si>
  <si>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</si>
  <si>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</si>
  <si>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</si>
  <si>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</si>
  <si>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</si>
  <si>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</si>
  <si>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</si>
  <si>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</si>
  <si>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</si>
  <si>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</si>
  <si>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</si>
  <si>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</si>
  <si>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</si>
  <si>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</si>
  <si>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</si>
  <si>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</si>
  <si>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</si>
  <si>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</si>
  <si>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</si>
  <si>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</si>
  <si>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</si>
  <si>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</si>
  <si>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</si>
  <si>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</si>
  <si>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</si>
  <si>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</si>
  <si>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</si>
  <si>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</si>
  <si>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</si>
  <si>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</si>
  <si>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</si>
  <si>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</si>
  <si>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</si>
  <si>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</si>
  <si>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</si>
  <si>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</si>
  <si>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</si>
  <si>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</si>
  <si>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</si>
  <si>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</si>
  <si>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</si>
  <si>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</si>
  <si>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</si>
  <si>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</si>
  <si>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</si>
  <si>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</si>
  <si>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</si>
  <si>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</si>
  <si>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</si>
  <si>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</si>
  <si>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</si>
  <si>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</si>
  <si>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</si>
  <si>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</si>
  <si>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</si>
  <si>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</si>
  <si>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</si>
  <si>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</si>
  <si>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</si>
  <si>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</si>
  <si>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</si>
  <si>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</si>
  <si>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</si>
  <si>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</si>
  <si>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</si>
  <si>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</si>
  <si>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</si>
  <si>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</si>
  <si>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</si>
  <si>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</si>
  <si>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</si>
  <si>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</si>
  <si>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</si>
  <si>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</si>
  <si>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</si>
  <si>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</si>
  <si>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</si>
  <si>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</si>
  <si>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</si>
  <si>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</si>
  <si>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</si>
  <si>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</si>
  <si>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</si>
  <si>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</si>
  <si>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</si>
  <si>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</si>
  <si>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</si>
  <si>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</si>
  <si>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</si>
  <si>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</si>
  <si>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NOM DU PROJET NEOSYLVA</t>
  </si>
  <si>
    <t>Coût total du projet Néosylva sur les 5 premières années</t>
  </si>
  <si>
    <t>Cout plantation + entretien</t>
  </si>
  <si>
    <t>Cout gestionnaire</t>
  </si>
  <si>
    <t>Frais notariés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</si>
</sst>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000000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1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21" borderId="1" xfId="0" applyFont="1" applyFill="1" applyBorder="1" applyAlignment="1" applyProtection="1">
      <alignment horizontal="center"/>
      <protection locked="0" hidden="1"/>
    </xf>
    <xf numFmtId="0" fontId="9" fillId="21" borderId="6" xfId="0" applyFont="1" applyFill="1" applyBorder="1" applyAlignment="1" applyProtection="1">
      <alignment horizontal="center"/>
      <protection locked="0" hidden="1"/>
    </xf>
    <xf numFmtId="0" fontId="9" fillId="21" borderId="6" xfId="0" applyFont="1" applyFill="1" applyBorder="1" applyAlignment="1" applyProtection="1">
      <alignment horizontal="center"/>
      <protection locked="0"/>
    </xf>
    <xf numFmtId="9" fontId="9" fillId="21" borderId="6" xfId="1" applyFont="1" applyFill="1" applyBorder="1" applyAlignment="1" applyProtection="1">
      <alignment horizontal="center"/>
      <protection locked="0" hidden="1"/>
    </xf>
    <xf numFmtId="0" fontId="9" fillId="21" borderId="10" xfId="0" applyFont="1" applyFill="1" applyBorder="1" applyAlignment="1" applyProtection="1">
      <alignment horizontal="center"/>
      <protection locked="0" hidden="1"/>
    </xf>
    <xf numFmtId="0" fontId="9" fillId="21" borderId="31" xfId="0" applyFont="1" applyFill="1" applyBorder="1" applyAlignment="1" applyProtection="1">
      <alignment horizontal="center"/>
      <protection locked="0"/>
    </xf>
    <xf numFmtId="9" fontId="9" fillId="21" borderId="31" xfId="1" applyFont="1" applyFill="1" applyBorder="1" applyAlignment="1" applyProtection="1">
      <alignment horizont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2.1401809042543243</c:v>
                </c:pt>
                <c:pt idx="2">
                  <c:v>2.9539701571329178</c:v>
                </c:pt>
                <c:pt idx="3">
                  <c:v>4.0785236834754839</c:v>
                </c:pt>
                <c:pt idx="4">
                  <c:v>5.632990739716111</c:v>
                </c:pt>
                <c:pt idx="5">
                  <c:v>7.7823738660110378</c:v>
                </c:pt>
                <c:pt idx="6">
                  <c:v>10.755235827707105</c:v>
                </c:pt>
                <c:pt idx="7">
                  <c:v>14.868265954570242</c:v>
                </c:pt>
                <c:pt idx="8">
                  <c:v>20.560370745051507</c:v>
                </c:pt>
                <c:pt idx="9">
                  <c:v>28.439991596203328</c:v>
                </c:pt>
                <c:pt idx="10">
                  <c:v>39.350795770602367</c:v>
                </c:pt>
                <c:pt idx="11">
                  <c:v>54.462893774670114</c:v>
                </c:pt>
                <c:pt idx="12">
                  <c:v>75.39952790323126</c:v>
                </c:pt>
                <c:pt idx="13">
                  <c:v>104.41306006066355</c:v>
                </c:pt>
                <c:pt idx="14">
                  <c:v>144.62948990738442</c:v>
                </c:pt>
                <c:pt idx="15">
                  <c:v>128.60946872101411</c:v>
                </c:pt>
                <c:pt idx="16">
                  <c:v>157.23320596601718</c:v>
                </c:pt>
                <c:pt idx="17">
                  <c:v>185.73291888589367</c:v>
                </c:pt>
                <c:pt idx="18">
                  <c:v>214.13035769575148</c:v>
                </c:pt>
                <c:pt idx="19">
                  <c:v>242.44100517915163</c:v>
                </c:pt>
                <c:pt idx="20">
                  <c:v>193.29052168884596</c:v>
                </c:pt>
                <c:pt idx="21">
                  <c:v>220.93536617179186</c:v>
                </c:pt>
                <c:pt idx="22">
                  <c:v>248.50075413542206</c:v>
                </c:pt>
                <c:pt idx="23">
                  <c:v>275.99673833280997</c:v>
                </c:pt>
                <c:pt idx="24">
                  <c:v>303.43120230449443</c:v>
                </c:pt>
                <c:pt idx="25">
                  <c:v>330.81048669188147</c:v>
                </c:pt>
                <c:pt idx="26">
                  <c:v>279.10466657355261</c:v>
                </c:pt>
                <c:pt idx="27">
                  <c:v>305.47306451243452</c:v>
                </c:pt>
                <c:pt idx="28">
                  <c:v>331.79086499515682</c:v>
                </c:pt>
                <c:pt idx="29">
                  <c:v>358.06264251869788</c:v>
                </c:pt>
                <c:pt idx="30">
                  <c:v>384.29224564173211</c:v>
                </c:pt>
                <c:pt idx="31">
                  <c:v>410.48295490619279</c:v>
                </c:pt>
                <c:pt idx="32">
                  <c:v>436.63759831329838</c:v>
                </c:pt>
                <c:pt idx="33">
                  <c:v>363.31633763749659</c:v>
                </c:pt>
                <c:pt idx="34">
                  <c:v>387.29119605868004</c:v>
                </c:pt>
                <c:pt idx="35">
                  <c:v>411.23383740124814</c:v>
                </c:pt>
                <c:pt idx="36">
                  <c:v>435.14639951550294</c:v>
                </c:pt>
                <c:pt idx="37">
                  <c:v>459.03076628022262</c:v>
                </c:pt>
                <c:pt idx="38">
                  <c:v>482.88860968718888</c:v>
                </c:pt>
                <c:pt idx="39">
                  <c:v>506.72142317591027</c:v>
                </c:pt>
                <c:pt idx="40">
                  <c:v>530.53054837171476</c:v>
                </c:pt>
                <c:pt idx="41">
                  <c:v>554.31719677583226</c:v>
                </c:pt>
                <c:pt idx="42">
                  <c:v>578.08246754042477</c:v>
                </c:pt>
                <c:pt idx="43">
                  <c:v>601.82736217023478</c:v>
                </c:pt>
                <c:pt idx="44">
                  <c:v>625.55279678488239</c:v>
                </c:pt>
                <c:pt idx="45">
                  <c:v>649.25961242550738</c:v>
                </c:pt>
                <c:pt idx="46">
                  <c:v>3.669434796176543E-12</c:v>
                </c:pt>
                <c:pt idx="47">
                  <c:v>3.669434796176543E-12</c:v>
                </c:pt>
                <c:pt idx="48">
                  <c:v>3.669434796176543E-12</c:v>
                </c:pt>
                <c:pt idx="49">
                  <c:v>3.669434796176543E-12</c:v>
                </c:pt>
                <c:pt idx="50">
                  <c:v>3.669434796176543E-12</c:v>
                </c:pt>
                <c:pt idx="51">
                  <c:v>3.669434796176543E-12</c:v>
                </c:pt>
                <c:pt idx="52">
                  <c:v>3.669434796176543E-12</c:v>
                </c:pt>
                <c:pt idx="53">
                  <c:v>3.669434796176543E-12</c:v>
                </c:pt>
                <c:pt idx="54">
                  <c:v>3.669434796176543E-12</c:v>
                </c:pt>
                <c:pt idx="55">
                  <c:v>3.669434796176543E-12</c:v>
                </c:pt>
                <c:pt idx="56">
                  <c:v>3.669434796176543E-12</c:v>
                </c:pt>
                <c:pt idx="57">
                  <c:v>3.669434796176543E-12</c:v>
                </c:pt>
                <c:pt idx="58">
                  <c:v>3.669434796176543E-12</c:v>
                </c:pt>
                <c:pt idx="59">
                  <c:v>3.669434796176543E-12</c:v>
                </c:pt>
                <c:pt idx="60">
                  <c:v>3.669434796176543E-12</c:v>
                </c:pt>
                <c:pt idx="61">
                  <c:v>3.669434796176543E-12</c:v>
                </c:pt>
                <c:pt idx="62">
                  <c:v>3.669434796176543E-12</c:v>
                </c:pt>
                <c:pt idx="63">
                  <c:v>3.669434796176543E-12</c:v>
                </c:pt>
                <c:pt idx="64">
                  <c:v>3.669434796176543E-12</c:v>
                </c:pt>
                <c:pt idx="65">
                  <c:v>3.669434796176543E-12</c:v>
                </c:pt>
                <c:pt idx="66">
                  <c:v>3.669434796176543E-12</c:v>
                </c:pt>
                <c:pt idx="67">
                  <c:v>3.669434796176543E-12</c:v>
                </c:pt>
                <c:pt idx="68">
                  <c:v>3.669434796176543E-12</c:v>
                </c:pt>
                <c:pt idx="69">
                  <c:v>3.669434796176543E-12</c:v>
                </c:pt>
                <c:pt idx="70">
                  <c:v>3.669434796176543E-12</c:v>
                </c:pt>
                <c:pt idx="71">
                  <c:v>3.669434796176543E-12</c:v>
                </c:pt>
                <c:pt idx="72">
                  <c:v>3.669434796176543E-12</c:v>
                </c:pt>
                <c:pt idx="73">
                  <c:v>3.669434796176543E-12</c:v>
                </c:pt>
                <c:pt idx="74">
                  <c:v>3.669434796176543E-12</c:v>
                </c:pt>
                <c:pt idx="75">
                  <c:v>3.669434796176543E-12</c:v>
                </c:pt>
                <c:pt idx="76">
                  <c:v>3.669434796176543E-12</c:v>
                </c:pt>
                <c:pt idx="77">
                  <c:v>3.669434796176543E-12</c:v>
                </c:pt>
                <c:pt idx="78">
                  <c:v>3.669434796176543E-12</c:v>
                </c:pt>
                <c:pt idx="79">
                  <c:v>3.669434796176543E-12</c:v>
                </c:pt>
                <c:pt idx="80">
                  <c:v>3.669434796176543E-12</c:v>
                </c:pt>
                <c:pt idx="81">
                  <c:v>3.669434796176543E-12</c:v>
                </c:pt>
                <c:pt idx="82">
                  <c:v>3.669434796176543E-12</c:v>
                </c:pt>
                <c:pt idx="83">
                  <c:v>3.669434796176543E-12</c:v>
                </c:pt>
                <c:pt idx="84">
                  <c:v>3.669434796176543E-12</c:v>
                </c:pt>
                <c:pt idx="85">
                  <c:v>3.669434796176543E-12</c:v>
                </c:pt>
                <c:pt idx="86">
                  <c:v>3.669434796176543E-12</c:v>
                </c:pt>
                <c:pt idx="87">
                  <c:v>3.669434796176543E-12</c:v>
                </c:pt>
                <c:pt idx="88">
                  <c:v>3.669434796176543E-12</c:v>
                </c:pt>
                <c:pt idx="89">
                  <c:v>3.669434796176543E-12</c:v>
                </c:pt>
                <c:pt idx="90">
                  <c:v>3.669434796176543E-12</c:v>
                </c:pt>
                <c:pt idx="91">
                  <c:v>3.669434796176543E-12</c:v>
                </c:pt>
                <c:pt idx="92">
                  <c:v>3.669434796176543E-12</c:v>
                </c:pt>
                <c:pt idx="93">
                  <c:v>3.669434796176543E-12</c:v>
                </c:pt>
                <c:pt idx="94">
                  <c:v>3.669434796176543E-12</c:v>
                </c:pt>
                <c:pt idx="95">
                  <c:v>3.669434796176543E-12</c:v>
                </c:pt>
                <c:pt idx="96">
                  <c:v>3.669434796176543E-12</c:v>
                </c:pt>
                <c:pt idx="97">
                  <c:v>3.669434796176543E-12</c:v>
                </c:pt>
                <c:pt idx="98">
                  <c:v>3.669434796176543E-12</c:v>
                </c:pt>
                <c:pt idx="99">
                  <c:v>3.669434796176543E-12</c:v>
                </c:pt>
                <c:pt idx="100">
                  <c:v>3.669434796176543E-12</c:v>
                </c:pt>
                <c:pt idx="101">
                  <c:v>3.669434796176543E-12</c:v>
                </c:pt>
                <c:pt idx="102">
                  <c:v>3.669434796176543E-12</c:v>
                </c:pt>
                <c:pt idx="103">
                  <c:v>3.669434796176543E-12</c:v>
                </c:pt>
                <c:pt idx="104">
                  <c:v>3.669434796176543E-12</c:v>
                </c:pt>
                <c:pt idx="105">
                  <c:v>3.669434796176543E-12</c:v>
                </c:pt>
                <c:pt idx="106">
                  <c:v>3.669434796176543E-12</c:v>
                </c:pt>
                <c:pt idx="107">
                  <c:v>3.669434796176543E-12</c:v>
                </c:pt>
                <c:pt idx="108">
                  <c:v>3.669434796176543E-12</c:v>
                </c:pt>
                <c:pt idx="109">
                  <c:v>3.669434796176543E-12</c:v>
                </c:pt>
                <c:pt idx="110">
                  <c:v>3.669434796176543E-12</c:v>
                </c:pt>
                <c:pt idx="111">
                  <c:v>3.669434796176543E-12</c:v>
                </c:pt>
                <c:pt idx="112">
                  <c:v>3.669434796176543E-12</c:v>
                </c:pt>
                <c:pt idx="113">
                  <c:v>3.669434796176543E-12</c:v>
                </c:pt>
                <c:pt idx="114">
                  <c:v>3.669434796176543E-12</c:v>
                </c:pt>
                <c:pt idx="115">
                  <c:v>3.669434796176543E-12</c:v>
                </c:pt>
                <c:pt idx="116">
                  <c:v>3.669434796176543E-12</c:v>
                </c:pt>
                <c:pt idx="117">
                  <c:v>3.669434796176543E-12</c:v>
                </c:pt>
                <c:pt idx="118">
                  <c:v>3.669434796176543E-12</c:v>
                </c:pt>
                <c:pt idx="119">
                  <c:v>3.669434796176543E-12</c:v>
                </c:pt>
                <c:pt idx="120">
                  <c:v>3.669434796176543E-12</c:v>
                </c:pt>
                <c:pt idx="121">
                  <c:v>3.669434796176543E-12</c:v>
                </c:pt>
                <c:pt idx="122">
                  <c:v>3.669434796176543E-12</c:v>
                </c:pt>
                <c:pt idx="123">
                  <c:v>3.669434796176543E-12</c:v>
                </c:pt>
                <c:pt idx="124">
                  <c:v>3.669434796176543E-12</c:v>
                </c:pt>
                <c:pt idx="125">
                  <c:v>3.669434796176543E-12</c:v>
                </c:pt>
                <c:pt idx="126">
                  <c:v>3.669434796176543E-12</c:v>
                </c:pt>
                <c:pt idx="127">
                  <c:v>3.669434796176543E-12</c:v>
                </c:pt>
                <c:pt idx="128">
                  <c:v>3.669434796176543E-12</c:v>
                </c:pt>
                <c:pt idx="129">
                  <c:v>3.669434796176543E-12</c:v>
                </c:pt>
                <c:pt idx="130">
                  <c:v>3.669434796176543E-12</c:v>
                </c:pt>
                <c:pt idx="131">
                  <c:v>3.669434796176543E-12</c:v>
                </c:pt>
                <c:pt idx="132">
                  <c:v>3.669434796176543E-12</c:v>
                </c:pt>
                <c:pt idx="133">
                  <c:v>3.669434796176543E-12</c:v>
                </c:pt>
                <c:pt idx="134">
                  <c:v>3.669434796176543E-12</c:v>
                </c:pt>
                <c:pt idx="135">
                  <c:v>3.669434796176543E-12</c:v>
                </c:pt>
                <c:pt idx="136">
                  <c:v>3.669434796176543E-12</c:v>
                </c:pt>
                <c:pt idx="137">
                  <c:v>3.669434796176543E-12</c:v>
                </c:pt>
                <c:pt idx="138">
                  <c:v>3.669434796176543E-12</c:v>
                </c:pt>
                <c:pt idx="139">
                  <c:v>3.669434796176543E-12</c:v>
                </c:pt>
                <c:pt idx="140">
                  <c:v>3.669434796176543E-12</c:v>
                </c:pt>
                <c:pt idx="141">
                  <c:v>3.669434796176543E-12</c:v>
                </c:pt>
                <c:pt idx="142">
                  <c:v>3.669434796176543E-12</c:v>
                </c:pt>
                <c:pt idx="143">
                  <c:v>3.669434796176543E-12</c:v>
                </c:pt>
                <c:pt idx="144">
                  <c:v>3.669434796176543E-12</c:v>
                </c:pt>
                <c:pt idx="145">
                  <c:v>3.669434796176543E-12</c:v>
                </c:pt>
                <c:pt idx="146">
                  <c:v>3.669434796176543E-12</c:v>
                </c:pt>
                <c:pt idx="147">
                  <c:v>3.669434796176543E-12</c:v>
                </c:pt>
                <c:pt idx="148">
                  <c:v>3.669434796176543E-12</c:v>
                </c:pt>
                <c:pt idx="149">
                  <c:v>3.669434796176543E-12</c:v>
                </c:pt>
                <c:pt idx="150">
                  <c:v>3.669434796176543E-12</c:v>
                </c:pt>
                <c:pt idx="151">
                  <c:v>3.669434796176543E-12</c:v>
                </c:pt>
                <c:pt idx="152">
                  <c:v>3.669434796176543E-12</c:v>
                </c:pt>
                <c:pt idx="153">
                  <c:v>3.669434796176543E-12</c:v>
                </c:pt>
                <c:pt idx="154">
                  <c:v>3.669434796176543E-12</c:v>
                </c:pt>
                <c:pt idx="155">
                  <c:v>3.669434796176543E-12</c:v>
                </c:pt>
                <c:pt idx="156">
                  <c:v>3.669434796176543E-12</c:v>
                </c:pt>
                <c:pt idx="157">
                  <c:v>3.669434796176543E-12</c:v>
                </c:pt>
                <c:pt idx="158">
                  <c:v>3.669434796176543E-12</c:v>
                </c:pt>
                <c:pt idx="159">
                  <c:v>3.669434796176543E-12</c:v>
                </c:pt>
                <c:pt idx="160">
                  <c:v>3.669434796176543E-12</c:v>
                </c:pt>
                <c:pt idx="161">
                  <c:v>3.669434796176543E-12</c:v>
                </c:pt>
                <c:pt idx="162">
                  <c:v>3.669434796176543E-12</c:v>
                </c:pt>
                <c:pt idx="163">
                  <c:v>3.669434796176543E-12</c:v>
                </c:pt>
                <c:pt idx="164">
                  <c:v>3.669434796176543E-12</c:v>
                </c:pt>
                <c:pt idx="165">
                  <c:v>3.669434796176543E-12</c:v>
                </c:pt>
                <c:pt idx="166">
                  <c:v>3.669434796176543E-12</c:v>
                </c:pt>
                <c:pt idx="167">
                  <c:v>3.669434796176543E-12</c:v>
                </c:pt>
                <c:pt idx="168">
                  <c:v>3.669434796176543E-12</c:v>
                </c:pt>
                <c:pt idx="169">
                  <c:v>3.669434796176543E-12</c:v>
                </c:pt>
                <c:pt idx="170">
                  <c:v>3.669434796176543E-12</c:v>
                </c:pt>
                <c:pt idx="171">
                  <c:v>3.669434796176543E-12</c:v>
                </c:pt>
                <c:pt idx="172">
                  <c:v>3.669434796176543E-12</c:v>
                </c:pt>
                <c:pt idx="173">
                  <c:v>3.669434796176543E-12</c:v>
                </c:pt>
                <c:pt idx="174">
                  <c:v>3.669434796176543E-12</c:v>
                </c:pt>
                <c:pt idx="175">
                  <c:v>3.669434796176543E-12</c:v>
                </c:pt>
                <c:pt idx="176">
                  <c:v>3.669434796176543E-12</c:v>
                </c:pt>
                <c:pt idx="177">
                  <c:v>3.669434796176543E-12</c:v>
                </c:pt>
                <c:pt idx="178">
                  <c:v>3.669434796176543E-12</c:v>
                </c:pt>
                <c:pt idx="179">
                  <c:v>3.669434796176543E-12</c:v>
                </c:pt>
                <c:pt idx="180">
                  <c:v>3.669434796176543E-12</c:v>
                </c:pt>
                <c:pt idx="181">
                  <c:v>3.669434796176543E-12</c:v>
                </c:pt>
                <c:pt idx="182">
                  <c:v>3.669434796176543E-12</c:v>
                </c:pt>
                <c:pt idx="183">
                  <c:v>3.669434796176543E-12</c:v>
                </c:pt>
                <c:pt idx="184">
                  <c:v>3.669434796176543E-12</c:v>
                </c:pt>
                <c:pt idx="185">
                  <c:v>3.669434796176543E-12</c:v>
                </c:pt>
                <c:pt idx="186">
                  <c:v>3.669434796176543E-12</c:v>
                </c:pt>
                <c:pt idx="187">
                  <c:v>3.669434796176543E-12</c:v>
                </c:pt>
                <c:pt idx="188">
                  <c:v>3.669434796176543E-12</c:v>
                </c:pt>
                <c:pt idx="189">
                  <c:v>3.669434796176543E-12</c:v>
                </c:pt>
                <c:pt idx="190">
                  <c:v>3.669434796176543E-12</c:v>
                </c:pt>
                <c:pt idx="191">
                  <c:v>3.669434796176543E-12</c:v>
                </c:pt>
                <c:pt idx="192">
                  <c:v>3.669434796176543E-12</c:v>
                </c:pt>
                <c:pt idx="193">
                  <c:v>3.669434796176543E-12</c:v>
                </c:pt>
                <c:pt idx="194">
                  <c:v>3.669434796176543E-12</c:v>
                </c:pt>
                <c:pt idx="195">
                  <c:v>3.669434796176543E-12</c:v>
                </c:pt>
                <c:pt idx="196">
                  <c:v>3.669434796176543E-12</c:v>
                </c:pt>
                <c:pt idx="197">
                  <c:v>3.669434796176543E-12</c:v>
                </c:pt>
                <c:pt idx="198">
                  <c:v>3.669434796176543E-12</c:v>
                </c:pt>
                <c:pt idx="199">
                  <c:v>3.669434796176543E-12</c:v>
                </c:pt>
                <c:pt idx="200">
                  <c:v>3.669434796176543E-12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urélien Blond" id="{44BC7BF0-8157-4572-8E12-7E0C99523682}" userId="S::ablond@neosylva.fr::c795548a-de0d-4e00-b0df-a7f250496ac4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18" dT="2024-11-27T17:07:34.75" personId="{44BC7BF0-8157-4572-8E12-7E0C99523682}" id="{E3E51501-5542-451B-A280-7119D553B862}">
    <text>A recopier sur toutes les essences.
Correspond aux frais fixes d’entretien mécanique + répulsif gibier</text>
  </threadedComment>
  <threadedComment ref="E19" dT="2024-11-27T17:08:05.48" personId="{44BC7BF0-8157-4572-8E12-7E0C99523682}" id="{B35BE5CD-F471-4164-A396-0E8AD3EACE1D}">
    <text xml:space="preserve">A recopier sur toutes les essences
Correspond aux frais fixes entretien manuel + répulsif gibier + regarnis
</text>
  </threadedComment>
  <threadedComment ref="I19" dT="2024-11-27T17:08:48.74" personId="{44BC7BF0-8157-4572-8E12-7E0C99523682}" id="{4C91F93A-4850-4663-A3C2-6971670EE070}">
    <text>Toutes les ans pendant la durée du contrat : frais de gardiennage 20€/ha/an</text>
  </threadedComment>
  <threadedComment ref="E20" dT="2024-11-27T17:07:34.75" personId="{44BC7BF0-8157-4572-8E12-7E0C99523682}" id="{A5FF619C-2127-44FB-957D-29D1CE20524D}">
    <text>A recopier sur toutes les essences.
Correspond aux frais fixes d’entretien mécanique + répulsif gibier</text>
  </threadedComment>
  <threadedComment ref="I20" dT="2024-11-27T17:08:22.16" personId="{44BC7BF0-8157-4572-8E12-7E0C99523682}" id="{21E90E90-8F37-4036-8CF3-2FC2FE4B471C}">
    <text>Année 1 : demande cas par cas + diagnostic gestionnaire</text>
  </threadedComment>
  <threadedComment ref="I22" dT="2024-11-27T17:08:31.44" personId="{44BC7BF0-8157-4572-8E12-7E0C99523682}" id="{CB823BE7-DD1F-4081-B48B-60B6F5E5ECBE}">
    <text>Année 3 : rédaction DGD</text>
  </threadedComment>
  <threadedComment ref="I24" dT="2024-11-27T17:08:41.71" personId="{44BC7BF0-8157-4572-8E12-7E0C99523682}" id="{6B940231-2296-481D-B696-1C215BAA35A1}">
    <text>Année 5 : facturation maitrise d'œuvre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G33" sqref="G33"/>
    </sheetView>
  </sheetViews>
  <sheetFormatPr baseColWidth="10" defaultRowHeight="14.5" x14ac:dyDescent="0.35"/>
  <cols>
    <col min="1" max="1" width="6.6328125" customWidth="1"/>
    <col min="2" max="13" width="15.90625" customWidth="1"/>
  </cols>
  <sheetData>
    <row r="12" spans="2:13" ht="15" customHeight="1" x14ac:dyDescent="0.35">
      <c r="B12" s="264" t="s">
        <v>291</v>
      </c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</row>
    <row r="13" spans="2:13" ht="15" customHeight="1" x14ac:dyDescent="0.35">
      <c r="B13" s="264"/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</row>
    <row r="14" spans="2:13" ht="15" customHeight="1" x14ac:dyDescent="0.35">
      <c r="B14" s="264"/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</row>
    <row r="15" spans="2:13" ht="18.75" customHeight="1" x14ac:dyDescent="0.35"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</row>
    <row r="16" spans="2:13" ht="18.75" customHeight="1" x14ac:dyDescent="0.35"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</row>
    <row r="18" spans="2:13" ht="12" customHeight="1" x14ac:dyDescent="0.35">
      <c r="B18" s="264" t="s">
        <v>292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</row>
    <row r="19" spans="2:13" ht="12" customHeight="1" x14ac:dyDescent="0.35"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</row>
    <row r="20" spans="2:13" ht="12" customHeight="1" x14ac:dyDescent="0.35"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</row>
    <row r="21" spans="2:13" ht="12" customHeight="1" x14ac:dyDescent="0.35">
      <c r="B21" s="264"/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</row>
    <row r="22" spans="2:13" ht="12" customHeight="1" x14ac:dyDescent="0.35"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</row>
    <row r="23" spans="2:13" ht="12" customHeight="1" x14ac:dyDescent="0.35">
      <c r="B23" s="264"/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</row>
    <row r="24" spans="2:13" ht="12" customHeight="1" x14ac:dyDescent="0.35"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</row>
    <row r="25" spans="2:13" ht="12" customHeight="1" x14ac:dyDescent="0.35"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</row>
    <row r="26" spans="2:13" ht="12" customHeight="1" x14ac:dyDescent="0.35"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</row>
    <row r="27" spans="2:13" ht="12" customHeight="1" x14ac:dyDescent="0.35"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</row>
    <row r="28" spans="2:13" ht="12" customHeight="1" x14ac:dyDescent="0.35">
      <c r="B28" s="264"/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</row>
    <row r="29" spans="2:13" ht="12" customHeight="1" x14ac:dyDescent="0.35">
      <c r="B29" s="264"/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</row>
    <row r="30" spans="2:13" ht="12" customHeight="1" x14ac:dyDescent="0.35">
      <c r="B30" s="264"/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</row>
    <row r="31" spans="2:13" ht="12" customHeight="1" x14ac:dyDescent="0.35">
      <c r="B31" s="264"/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31" zoomScale="80" zoomScaleNormal="80" workbookViewId="0">
      <selection activeCell="D29" sqref="D29"/>
    </sheetView>
  </sheetViews>
  <sheetFormatPr baseColWidth="10" defaultColWidth="11.453125" defaultRowHeight="14.5" x14ac:dyDescent="0.35"/>
  <cols>
    <col min="1" max="1" width="13.6328125" style="23" customWidth="1"/>
    <col min="2" max="2" width="36.08984375" style="23" customWidth="1"/>
    <col min="3" max="3" width="14.90625" style="23" bestFit="1" customWidth="1"/>
    <col min="4" max="4" width="16.453125" style="23" customWidth="1"/>
    <col min="5" max="5" width="23.36328125" style="23" customWidth="1"/>
    <col min="6" max="6" width="28.90625" style="23" bestFit="1" customWidth="1"/>
    <col min="7" max="8" width="14.6328125" style="23" customWidth="1"/>
    <col min="9" max="9" width="17" style="23" customWidth="1"/>
    <col min="10" max="10" width="13.90625" style="23" customWidth="1"/>
    <col min="11" max="16384" width="11.453125" style="23"/>
  </cols>
  <sheetData>
    <row r="1" spans="1:38" x14ac:dyDescent="0.35">
      <c r="A1" s="4"/>
      <c r="B1" s="4"/>
      <c r="C1" s="269" t="s">
        <v>190</v>
      </c>
      <c r="D1" s="269"/>
      <c r="E1" s="269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70" t="s">
        <v>192</v>
      </c>
      <c r="C3" s="271"/>
      <c r="D3" s="271"/>
      <c r="E3" s="271"/>
      <c r="F3" s="272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75" t="s">
        <v>231</v>
      </c>
      <c r="B5" s="275"/>
      <c r="C5" s="24">
        <v>1.24</v>
      </c>
      <c r="D5" s="276" t="s">
        <v>229</v>
      </c>
      <c r="E5" s="277"/>
      <c r="F5" s="90"/>
      <c r="G5" s="218"/>
      <c r="H5" s="218"/>
      <c r="I5" s="218" t="s">
        <v>324</v>
      </c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74" t="s">
        <v>226</v>
      </c>
      <c r="B7" s="274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31" t="s">
        <v>138</v>
      </c>
      <c r="C9" s="32">
        <v>1</v>
      </c>
      <c r="D9" s="33">
        <f t="shared" ref="D9:D18" si="0">C9*$C$5</f>
        <v>1.24</v>
      </c>
      <c r="E9" s="34">
        <v>45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31"/>
      <c r="C10" s="32"/>
      <c r="D10" s="33">
        <f t="shared" si="0"/>
        <v>0</v>
      </c>
      <c r="E10" s="34"/>
      <c r="F10" s="35" t="str">
        <f t="array" ref="F10">IF(E10="","",IF(INDEX(A:A,MAX(IF(ISNUMBER($A$62:$A$81),ROW($A$62:$A$81),"")))&lt;&gt;E10,"Corrigez : révolution incorrecte","OK"))</f>
        <v/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8"/>
      <c r="B19" s="36" t="s">
        <v>175</v>
      </c>
      <c r="C19" s="37">
        <f>SUM(C9:C18)</f>
        <v>1</v>
      </c>
      <c r="D19" s="38">
        <f>SUM(D9:D18)</f>
        <v>1.24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73" t="s">
        <v>232</v>
      </c>
      <c r="B22" s="273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0.05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74" t="s">
        <v>227</v>
      </c>
      <c r="B30" s="274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Pin taeda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5" t="s">
        <v>185</v>
      </c>
      <c r="C34" s="265" t="s">
        <v>186</v>
      </c>
      <c r="D34" s="265"/>
      <c r="E34" s="266" t="s">
        <v>187</v>
      </c>
      <c r="F34" s="267"/>
      <c r="G34" s="267"/>
      <c r="H34" s="268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257">
        <v>14</v>
      </c>
      <c r="B36" s="258">
        <v>108.18</v>
      </c>
      <c r="C36" s="258">
        <v>1</v>
      </c>
      <c r="D36" s="259">
        <v>34.25</v>
      </c>
      <c r="E36" s="260">
        <v>0</v>
      </c>
      <c r="F36" s="260">
        <v>1</v>
      </c>
      <c r="G36" s="260">
        <v>0</v>
      </c>
      <c r="H36" s="260">
        <v>0</v>
      </c>
      <c r="I36" s="49">
        <f>IFERROR(B36/A36,"")</f>
        <v>7.7271428571428578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261">
        <v>19</v>
      </c>
      <c r="B37" s="262">
        <v>183.77</v>
      </c>
      <c r="C37" s="262">
        <v>2</v>
      </c>
      <c r="D37" s="262">
        <v>59.5</v>
      </c>
      <c r="E37" s="263">
        <v>0</v>
      </c>
      <c r="F37" s="263">
        <v>1</v>
      </c>
      <c r="G37" s="263">
        <v>0</v>
      </c>
      <c r="H37" s="263">
        <v>0</v>
      </c>
      <c r="I37" s="53">
        <f t="shared" ref="I37:I55" si="1">IF(A37&lt;&gt;0,(B37-(B36-D36))/(A37-A36),"")</f>
        <v>21.968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261">
        <v>25</v>
      </c>
      <c r="B38" s="262">
        <v>252.69</v>
      </c>
      <c r="C38" s="262">
        <v>3</v>
      </c>
      <c r="D38" s="262">
        <v>60.96</v>
      </c>
      <c r="E38" s="263">
        <v>0.1</v>
      </c>
      <c r="F38" s="263">
        <v>0.8</v>
      </c>
      <c r="G38" s="263">
        <v>0</v>
      </c>
      <c r="H38" s="263">
        <v>0.1</v>
      </c>
      <c r="I38" s="53">
        <f t="shared" si="1"/>
        <v>21.403333333333332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261">
        <v>32</v>
      </c>
      <c r="B39" s="262">
        <v>335.76</v>
      </c>
      <c r="C39" s="262">
        <v>4</v>
      </c>
      <c r="D39" s="262">
        <v>76.42</v>
      </c>
      <c r="E39" s="263">
        <v>0.3</v>
      </c>
      <c r="F39" s="263">
        <v>0.5</v>
      </c>
      <c r="G39" s="263">
        <v>0</v>
      </c>
      <c r="H39" s="263">
        <v>0.2</v>
      </c>
      <c r="I39" s="49">
        <f t="shared" si="1"/>
        <v>20.575714285714287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261">
        <v>45</v>
      </c>
      <c r="B40" s="262">
        <v>503.89</v>
      </c>
      <c r="C40" s="262">
        <v>5</v>
      </c>
      <c r="D40" s="262">
        <v>503.89</v>
      </c>
      <c r="E40" s="263">
        <v>0.3</v>
      </c>
      <c r="F40" s="263">
        <v>0.5</v>
      </c>
      <c r="G40" s="263">
        <v>0</v>
      </c>
      <c r="H40" s="263">
        <v>0.2</v>
      </c>
      <c r="I40" s="49">
        <f t="shared" si="1"/>
        <v>18.811538461538461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261"/>
      <c r="B41" s="262"/>
      <c r="C41" s="262"/>
      <c r="D41" s="262"/>
      <c r="E41" s="263"/>
      <c r="F41" s="263"/>
      <c r="G41" s="263"/>
      <c r="H41" s="263"/>
      <c r="I41" s="53" t="str">
        <f t="shared" si="1"/>
        <v/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261"/>
      <c r="B42" s="262"/>
      <c r="C42" s="262"/>
      <c r="D42" s="262"/>
      <c r="E42" s="263"/>
      <c r="F42" s="263"/>
      <c r="G42" s="263"/>
      <c r="H42" s="263"/>
      <c r="I42" s="53" t="str">
        <f t="shared" si="1"/>
        <v/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261"/>
      <c r="B43" s="262"/>
      <c r="C43" s="262"/>
      <c r="D43" s="262"/>
      <c r="E43" s="263"/>
      <c r="F43" s="263"/>
      <c r="G43" s="263"/>
      <c r="H43" s="263"/>
      <c r="I43" s="49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261"/>
      <c r="B44" s="262"/>
      <c r="C44" s="262"/>
      <c r="D44" s="262"/>
      <c r="E44" s="263"/>
      <c r="F44" s="263"/>
      <c r="G44" s="263"/>
      <c r="H44" s="263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261"/>
      <c r="B45" s="262"/>
      <c r="C45" s="262"/>
      <c r="D45" s="262"/>
      <c r="E45" s="263"/>
      <c r="F45" s="263"/>
      <c r="G45" s="263"/>
      <c r="H45" s="263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261"/>
      <c r="B46" s="262"/>
      <c r="C46" s="262"/>
      <c r="D46" s="262"/>
      <c r="E46" s="263"/>
      <c r="F46" s="263"/>
      <c r="G46" s="263"/>
      <c r="H46" s="263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261"/>
      <c r="B47" s="262"/>
      <c r="C47" s="262"/>
      <c r="D47" s="262"/>
      <c r="E47" s="263"/>
      <c r="F47" s="263"/>
      <c r="G47" s="263"/>
      <c r="H47" s="263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261"/>
      <c r="B48" s="262"/>
      <c r="C48" s="262"/>
      <c r="D48" s="262"/>
      <c r="E48" s="263"/>
      <c r="F48" s="263"/>
      <c r="G48" s="263"/>
      <c r="H48" s="263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261"/>
      <c r="B49" s="262"/>
      <c r="C49" s="262"/>
      <c r="D49" s="262"/>
      <c r="E49" s="263"/>
      <c r="F49" s="263"/>
      <c r="G49" s="263"/>
      <c r="H49" s="263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261"/>
      <c r="B50" s="262"/>
      <c r="C50" s="262"/>
      <c r="D50" s="262"/>
      <c r="E50" s="263"/>
      <c r="F50" s="263"/>
      <c r="G50" s="263"/>
      <c r="H50" s="263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261"/>
      <c r="B51" s="262"/>
      <c r="C51" s="262"/>
      <c r="D51" s="262"/>
      <c r="E51" s="263"/>
      <c r="F51" s="263"/>
      <c r="G51" s="263"/>
      <c r="H51" s="263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261"/>
      <c r="B52" s="262"/>
      <c r="C52" s="262"/>
      <c r="D52" s="262"/>
      <c r="E52" s="263"/>
      <c r="F52" s="263"/>
      <c r="G52" s="263"/>
      <c r="H52" s="263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261"/>
      <c r="B53" s="262"/>
      <c r="C53" s="262"/>
      <c r="D53" s="262"/>
      <c r="E53" s="263"/>
      <c r="F53" s="263"/>
      <c r="G53" s="263"/>
      <c r="H53" s="263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/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5" t="s">
        <v>185</v>
      </c>
      <c r="C60" s="265" t="s">
        <v>186</v>
      </c>
      <c r="D60" s="265"/>
      <c r="E60" s="266" t="s">
        <v>187</v>
      </c>
      <c r="F60" s="267"/>
      <c r="G60" s="267"/>
      <c r="H60" s="268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50"/>
      <c r="B62" s="60"/>
      <c r="C62" s="60"/>
      <c r="D62" s="60"/>
      <c r="E62" s="51"/>
      <c r="F62" s="51"/>
      <c r="G62" s="51"/>
      <c r="H62" s="51"/>
      <c r="I62" s="53" t="str">
        <f>IFERROR(B62/A62,"")</f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50"/>
      <c r="B63" s="60"/>
      <c r="C63" s="60"/>
      <c r="D63" s="60"/>
      <c r="E63" s="51"/>
      <c r="F63" s="51"/>
      <c r="G63" s="51"/>
      <c r="H63" s="51"/>
      <c r="I63" s="49" t="str">
        <f>IF(A63&lt;&gt;0,(B63-(B62-D62))/(A63-A62),"")</f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50"/>
      <c r="B64" s="60"/>
      <c r="C64" s="60"/>
      <c r="D64" s="60"/>
      <c r="E64" s="51"/>
      <c r="F64" s="51"/>
      <c r="G64" s="51"/>
      <c r="H64" s="51"/>
      <c r="I64" s="49" t="str">
        <f>IF(A64&lt;&gt;0,(B64-(B63-D63))/(A64-A63),"")</f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50"/>
      <c r="B65" s="60"/>
      <c r="C65" s="60"/>
      <c r="D65" s="60"/>
      <c r="E65" s="51"/>
      <c r="F65" s="51"/>
      <c r="G65" s="51"/>
      <c r="H65" s="51"/>
      <c r="I65" s="49" t="str">
        <f>IF(A65&lt;&gt;0,(B65-(B64-D64))/(A65-A64),"")</f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50"/>
      <c r="B66" s="60"/>
      <c r="C66" s="60"/>
      <c r="D66" s="60"/>
      <c r="E66" s="51"/>
      <c r="F66" s="51"/>
      <c r="G66" s="51"/>
      <c r="H66" s="51"/>
      <c r="I66" s="49" t="str">
        <f t="shared" ref="I66:I81" si="2"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50"/>
      <c r="B67" s="60"/>
      <c r="C67" s="60"/>
      <c r="D67" s="60"/>
      <c r="E67" s="51"/>
      <c r="F67" s="51"/>
      <c r="G67" s="51"/>
      <c r="H67" s="51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50"/>
      <c r="B68" s="60"/>
      <c r="C68" s="60"/>
      <c r="D68" s="60"/>
      <c r="E68" s="51"/>
      <c r="F68" s="51"/>
      <c r="G68" s="51"/>
      <c r="H68" s="51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5" t="s">
        <v>185</v>
      </c>
      <c r="C86" s="265" t="s">
        <v>186</v>
      </c>
      <c r="D86" s="265"/>
      <c r="E86" s="266" t="s">
        <v>187</v>
      </c>
      <c r="F86" s="267"/>
      <c r="G86" s="267"/>
      <c r="H86" s="268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5" t="s">
        <v>185</v>
      </c>
      <c r="C112" s="265" t="s">
        <v>186</v>
      </c>
      <c r="D112" s="265"/>
      <c r="E112" s="266" t="s">
        <v>187</v>
      </c>
      <c r="F112" s="267"/>
      <c r="G112" s="267"/>
      <c r="H112" s="268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5" t="s">
        <v>185</v>
      </c>
      <c r="C138" s="265" t="s">
        <v>186</v>
      </c>
      <c r="D138" s="265"/>
      <c r="E138" s="266" t="s">
        <v>187</v>
      </c>
      <c r="F138" s="267"/>
      <c r="G138" s="267"/>
      <c r="H138" s="268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5" t="s">
        <v>185</v>
      </c>
      <c r="C164" s="265" t="s">
        <v>186</v>
      </c>
      <c r="D164" s="265"/>
      <c r="E164" s="266" t="s">
        <v>187</v>
      </c>
      <c r="F164" s="267"/>
      <c r="G164" s="267"/>
      <c r="H164" s="268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5" t="s">
        <v>185</v>
      </c>
      <c r="C190" s="265" t="s">
        <v>186</v>
      </c>
      <c r="D190" s="265"/>
      <c r="E190" s="266" t="s">
        <v>187</v>
      </c>
      <c r="F190" s="267"/>
      <c r="G190" s="267"/>
      <c r="H190" s="268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5" t="s">
        <v>185</v>
      </c>
      <c r="C216" s="265" t="s">
        <v>186</v>
      </c>
      <c r="D216" s="265"/>
      <c r="E216" s="266" t="s">
        <v>187</v>
      </c>
      <c r="F216" s="267"/>
      <c r="G216" s="267"/>
      <c r="H216" s="268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5" t="s">
        <v>185</v>
      </c>
      <c r="C242" s="265" t="s">
        <v>186</v>
      </c>
      <c r="D242" s="265"/>
      <c r="E242" s="266" t="s">
        <v>187</v>
      </c>
      <c r="F242" s="267"/>
      <c r="G242" s="267"/>
      <c r="H242" s="268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5" t="s">
        <v>185</v>
      </c>
      <c r="C268" s="265" t="s">
        <v>186</v>
      </c>
      <c r="D268" s="265"/>
      <c r="E268" s="266" t="s">
        <v>187</v>
      </c>
      <c r="F268" s="267"/>
      <c r="G268" s="267"/>
      <c r="H268" s="268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C26" sqref="C26"/>
    </sheetView>
  </sheetViews>
  <sheetFormatPr baseColWidth="10" defaultColWidth="11.453125" defaultRowHeight="14.5" x14ac:dyDescent="0.35"/>
  <cols>
    <col min="1" max="1" width="5.90625" style="1" customWidth="1"/>
    <col min="2" max="2" width="14.08984375" style="1" customWidth="1"/>
    <col min="3" max="3" width="62.08984375" style="1" customWidth="1"/>
    <col min="4" max="5" width="4.36328125" style="1" customWidth="1"/>
    <col min="6" max="6" width="14.36328125" style="1" customWidth="1"/>
    <col min="7" max="7" width="73.36328125" style="1" bestFit="1" customWidth="1"/>
    <col min="8" max="10" width="11.453125" style="1"/>
    <col min="11" max="11" width="12.5429687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79" t="s">
        <v>191</v>
      </c>
      <c r="C2" s="280"/>
      <c r="D2" s="280"/>
      <c r="E2" s="280"/>
      <c r="F2" s="280"/>
      <c r="G2" s="281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78"/>
      <c r="C4" s="278"/>
      <c r="D4" s="278"/>
      <c r="E4" s="278"/>
      <c r="F4" s="278"/>
      <c r="G4" s="278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5">
      <c r="A8" s="105">
        <v>1</v>
      </c>
      <c r="B8" s="61">
        <v>1</v>
      </c>
      <c r="C8" s="49" t="s">
        <v>177</v>
      </c>
      <c r="D8" s="23"/>
      <c r="E8" s="105">
        <v>4</v>
      </c>
      <c r="F8" s="61">
        <v>0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1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6">
        <f>SUM(B16:B18)</f>
        <v>1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90625" style="4" bestFit="1" customWidth="1"/>
    <col min="2" max="4" width="11.453125" style="4"/>
    <col min="5" max="5" width="9.54296875" style="4" customWidth="1"/>
    <col min="6" max="7" width="11.453125" style="4"/>
    <col min="8" max="8" width="10.6328125" style="4" customWidth="1"/>
    <col min="9" max="9" width="9.453125" style="4" customWidth="1"/>
    <col min="10" max="11" width="10.5429687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6328125" style="4" bestFit="1" customWidth="1"/>
    <col min="25" max="25" width="14.54296875" style="4" bestFit="1" customWidth="1"/>
    <col min="26" max="26" width="12.453125" style="4" bestFit="1" customWidth="1"/>
    <col min="27" max="27" width="9.63281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54296875" style="4" bestFit="1" customWidth="1"/>
    <col min="36" max="36" width="9.453125" style="4" bestFit="1" customWidth="1"/>
    <col min="37" max="38" width="10.54296875" style="4" bestFit="1" customWidth="1"/>
    <col min="39" max="41" width="10.54296875" style="4" customWidth="1"/>
    <col min="42" max="42" width="9" style="4" bestFit="1" customWidth="1"/>
    <col min="43" max="43" width="10.54296875" style="4" bestFit="1" customWidth="1"/>
    <col min="44" max="44" width="9.36328125" style="4" bestFit="1" customWidth="1"/>
    <col min="45" max="45" width="11.6328125" style="4" bestFit="1" customWidth="1"/>
    <col min="46" max="46" width="8.453125" style="4" bestFit="1" customWidth="1"/>
    <col min="47" max="47" width="9.453125" style="4" bestFit="1" customWidth="1"/>
    <col min="48" max="48" width="9.63281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54296875" style="4" bestFit="1" customWidth="1"/>
    <col min="54" max="54" width="14.36328125" style="4" customWidth="1"/>
    <col min="55" max="55" width="14" style="4" customWidth="1"/>
    <col min="56" max="56" width="10.54296875" style="4" bestFit="1" customWidth="1"/>
    <col min="57" max="57" width="9.453125" style="4" bestFit="1" customWidth="1"/>
    <col min="58" max="59" width="10.54296875" style="4" bestFit="1" customWidth="1"/>
    <col min="60" max="62" width="10.54296875" style="4" customWidth="1"/>
    <col min="63" max="63" width="9" style="4" bestFit="1" customWidth="1"/>
    <col min="64" max="64" width="10.54296875" style="4" bestFit="1" customWidth="1"/>
    <col min="65" max="65" width="9.36328125" style="4" bestFit="1" customWidth="1"/>
    <col min="66" max="66" width="11.6328125" style="4" bestFit="1" customWidth="1"/>
    <col min="67" max="67" width="8.453125" style="4" bestFit="1" customWidth="1"/>
    <col min="68" max="68" width="9.453125" style="4" bestFit="1" customWidth="1"/>
    <col min="69" max="69" width="9.63281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54296875" style="4" bestFit="1" customWidth="1"/>
    <col min="75" max="75" width="14" style="4" bestFit="1" customWidth="1"/>
    <col min="76" max="76" width="13.90625" style="4" customWidth="1"/>
    <col min="77" max="77" width="10.54296875" style="4" bestFit="1" customWidth="1"/>
    <col min="78" max="78" width="9.453125" style="4" bestFit="1" customWidth="1"/>
    <col min="79" max="80" width="10.54296875" style="4" bestFit="1" customWidth="1"/>
    <col min="81" max="83" width="10.54296875" style="4" customWidth="1"/>
    <col min="84" max="84" width="11.453125" style="4"/>
    <col min="85" max="85" width="10.54296875" style="4" bestFit="1" customWidth="1"/>
    <col min="86" max="86" width="9.36328125" style="4" bestFit="1" customWidth="1"/>
    <col min="87" max="87" width="11.6328125" style="4" bestFit="1" customWidth="1"/>
    <col min="88" max="88" width="8.453125" style="4" bestFit="1" customWidth="1"/>
    <col min="89" max="89" width="9.453125" style="4" bestFit="1" customWidth="1"/>
    <col min="90" max="90" width="9.63281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54296875" style="4" bestFit="1" customWidth="1"/>
    <col min="99" max="99" width="9.453125" style="4" bestFit="1" customWidth="1"/>
    <col min="100" max="101" width="10.54296875" style="4" bestFit="1" customWidth="1"/>
    <col min="102" max="104" width="10.54296875" style="4" customWidth="1"/>
    <col min="105" max="105" width="9" style="4" bestFit="1" customWidth="1"/>
    <col min="106" max="106" width="10.54296875" style="4" bestFit="1" customWidth="1"/>
    <col min="107" max="107" width="9.36328125" style="4" bestFit="1" customWidth="1"/>
    <col min="108" max="108" width="11.6328125" style="4" bestFit="1" customWidth="1"/>
    <col min="109" max="109" width="8.453125" style="4" bestFit="1" customWidth="1"/>
    <col min="110" max="110" width="9.453125" style="4" bestFit="1" customWidth="1"/>
    <col min="111" max="111" width="9.63281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54296875" style="4" bestFit="1" customWidth="1"/>
    <col min="117" max="117" width="14.36328125" style="4" customWidth="1"/>
    <col min="118" max="118" width="14" style="4" bestFit="1" customWidth="1"/>
    <col min="119" max="119" width="10.54296875" style="4" bestFit="1" customWidth="1"/>
    <col min="120" max="120" width="9.453125" style="4" bestFit="1" customWidth="1"/>
    <col min="121" max="122" width="10.54296875" style="4" bestFit="1" customWidth="1"/>
    <col min="123" max="125" width="10.54296875" style="4" customWidth="1"/>
    <col min="126" max="126" width="9" style="4" bestFit="1" customWidth="1"/>
    <col min="127" max="127" width="10.54296875" style="4" bestFit="1" customWidth="1"/>
    <col min="128" max="128" width="9.36328125" style="4" bestFit="1" customWidth="1"/>
    <col min="129" max="129" width="11.6328125" style="4" bestFit="1" customWidth="1"/>
    <col min="130" max="130" width="8.453125" style="4" bestFit="1" customWidth="1"/>
    <col min="131" max="131" width="9.453125" style="4" bestFit="1" customWidth="1"/>
    <col min="132" max="132" width="9.63281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54296875" style="4" bestFit="1" customWidth="1"/>
    <col min="138" max="139" width="14" style="4" customWidth="1"/>
    <col min="140" max="140" width="10.54296875" style="4" bestFit="1" customWidth="1"/>
    <col min="141" max="141" width="9.453125" style="4" bestFit="1" customWidth="1"/>
    <col min="142" max="143" width="10.54296875" style="4" bestFit="1" customWidth="1"/>
    <col min="144" max="146" width="10.54296875" style="4" customWidth="1"/>
    <col min="147" max="147" width="9" style="4" bestFit="1" customWidth="1"/>
    <col min="148" max="148" width="10.54296875" style="4" bestFit="1" customWidth="1"/>
    <col min="149" max="149" width="9.36328125" style="4" bestFit="1" customWidth="1"/>
    <col min="150" max="150" width="11.6328125" style="4" bestFit="1" customWidth="1"/>
    <col min="151" max="151" width="8.453125" style="4" bestFit="1" customWidth="1"/>
    <col min="152" max="152" width="9.453125" style="4" bestFit="1" customWidth="1"/>
    <col min="153" max="153" width="9.63281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54296875" style="4" bestFit="1" customWidth="1"/>
    <col min="162" max="162" width="9.453125" style="4" bestFit="1" customWidth="1"/>
    <col min="163" max="164" width="10.54296875" style="4" bestFit="1" customWidth="1"/>
    <col min="165" max="167" width="10.54296875" style="4" customWidth="1"/>
    <col min="168" max="168" width="9" style="4" bestFit="1" customWidth="1"/>
    <col min="169" max="169" width="10.54296875" style="4" bestFit="1" customWidth="1"/>
    <col min="170" max="170" width="9.36328125" style="4" bestFit="1" customWidth="1"/>
    <col min="171" max="171" width="11.6328125" style="4" bestFit="1" customWidth="1"/>
    <col min="172" max="172" width="8.08984375" style="4" bestFit="1" customWidth="1"/>
    <col min="173" max="173" width="9.453125" style="4" bestFit="1" customWidth="1"/>
    <col min="174" max="174" width="9.63281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54296875" style="4" bestFit="1" customWidth="1"/>
    <col min="180" max="181" width="14" style="4" bestFit="1" customWidth="1"/>
    <col min="182" max="182" width="10.54296875" style="4" bestFit="1" customWidth="1"/>
    <col min="183" max="183" width="9.453125" style="4" bestFit="1" customWidth="1"/>
    <col min="184" max="185" width="10.54296875" style="4" bestFit="1" customWidth="1"/>
    <col min="186" max="188" width="10.54296875" style="4" customWidth="1"/>
    <col min="189" max="189" width="9" style="4" bestFit="1" customWidth="1"/>
    <col min="190" max="190" width="10.54296875" style="4" bestFit="1" customWidth="1"/>
    <col min="191" max="191" width="9.36328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63281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54296875" style="4" bestFit="1" customWidth="1"/>
    <col min="201" max="201" width="14" style="4" customWidth="1"/>
    <col min="202" max="202" width="14.36328125" style="4" customWidth="1"/>
    <col min="203" max="203" width="10.54296875" style="4" bestFit="1" customWidth="1"/>
    <col min="204" max="204" width="9.453125" style="4" bestFit="1" customWidth="1"/>
    <col min="205" max="206" width="10.54296875" style="4" bestFit="1" customWidth="1"/>
    <col min="207" max="209" width="10.54296875" style="4" customWidth="1"/>
    <col min="210" max="210" width="9" style="4" bestFit="1" customWidth="1"/>
    <col min="211" max="211" width="10.54296875" style="4" bestFit="1" customWidth="1"/>
    <col min="212" max="212" width="9.36328125" style="4" bestFit="1" customWidth="1"/>
    <col min="213" max="213" width="11.6328125" style="4" bestFit="1" customWidth="1"/>
    <col min="214" max="214" width="8.453125" style="4" bestFit="1" customWidth="1"/>
    <col min="215" max="215" width="9.453125" style="4" bestFit="1" customWidth="1"/>
    <col min="216" max="216" width="9.63281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85" t="s">
        <v>176</v>
      </c>
      <c r="C1" s="286"/>
      <c r="D1" s="286"/>
      <c r="E1" s="286"/>
      <c r="F1" s="286"/>
      <c r="G1" s="286"/>
      <c r="H1" s="287"/>
      <c r="I1" s="282" t="str">
        <f>IF('Données projet'!$B$9="","",'Données projet'!$B$9)</f>
        <v>Pin taeda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4"/>
      <c r="AD1" s="283" t="str">
        <f>IF('Données projet'!$B$10="","",'Données projet'!$B$10)</f>
        <v/>
      </c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  <c r="AP1" s="283"/>
      <c r="AQ1" s="283"/>
      <c r="AR1" s="283"/>
      <c r="AS1" s="283"/>
      <c r="AT1" s="283"/>
      <c r="AU1" s="283"/>
      <c r="AV1" s="283"/>
      <c r="AW1" s="283"/>
      <c r="AX1" s="284"/>
      <c r="AY1" s="282" t="str">
        <f>IF('Données projet'!$B$11="","",'Données projet'!$B$11)</f>
        <v/>
      </c>
      <c r="AZ1" s="283"/>
      <c r="BA1" s="283"/>
      <c r="BB1" s="283"/>
      <c r="BC1" s="283"/>
      <c r="BD1" s="283"/>
      <c r="BE1" s="283"/>
      <c r="BF1" s="283"/>
      <c r="BG1" s="283"/>
      <c r="BH1" s="283"/>
      <c r="BI1" s="283"/>
      <c r="BJ1" s="283"/>
      <c r="BK1" s="283"/>
      <c r="BL1" s="283"/>
      <c r="BM1" s="283"/>
      <c r="BN1" s="283"/>
      <c r="BO1" s="283"/>
      <c r="BP1" s="283"/>
      <c r="BQ1" s="283"/>
      <c r="BR1" s="283"/>
      <c r="BS1" s="284"/>
      <c r="BT1" s="282" t="str">
        <f>IF('Données projet'!$B$12="","",'Données projet'!$B$12)</f>
        <v/>
      </c>
      <c r="BU1" s="283"/>
      <c r="BV1" s="283"/>
      <c r="BW1" s="283"/>
      <c r="BX1" s="283"/>
      <c r="BY1" s="283"/>
      <c r="BZ1" s="283"/>
      <c r="CA1" s="283"/>
      <c r="CB1" s="283"/>
      <c r="CC1" s="283"/>
      <c r="CD1" s="283"/>
      <c r="CE1" s="283"/>
      <c r="CF1" s="283"/>
      <c r="CG1" s="283"/>
      <c r="CH1" s="283"/>
      <c r="CI1" s="283"/>
      <c r="CJ1" s="283"/>
      <c r="CK1" s="283"/>
      <c r="CL1" s="283"/>
      <c r="CM1" s="283"/>
      <c r="CN1" s="284"/>
      <c r="CO1" s="282" t="str">
        <f>IF('Données projet'!$B$13="","",'Données projet'!$B$13)</f>
        <v/>
      </c>
      <c r="CP1" s="283"/>
      <c r="CQ1" s="283"/>
      <c r="CR1" s="283"/>
      <c r="CS1" s="283"/>
      <c r="CT1" s="283"/>
      <c r="CU1" s="283"/>
      <c r="CV1" s="283"/>
      <c r="CW1" s="283"/>
      <c r="CX1" s="283"/>
      <c r="CY1" s="283"/>
      <c r="CZ1" s="283"/>
      <c r="DA1" s="283"/>
      <c r="DB1" s="283"/>
      <c r="DC1" s="283"/>
      <c r="DD1" s="283"/>
      <c r="DE1" s="283"/>
      <c r="DF1" s="283"/>
      <c r="DG1" s="283"/>
      <c r="DH1" s="283"/>
      <c r="DI1" s="284"/>
      <c r="DJ1" s="282" t="str">
        <f>IF('Données projet'!$B$14="","",'Données projet'!$B$14)</f>
        <v/>
      </c>
      <c r="DK1" s="283"/>
      <c r="DL1" s="283"/>
      <c r="DM1" s="283"/>
      <c r="DN1" s="283"/>
      <c r="DO1" s="283"/>
      <c r="DP1" s="283"/>
      <c r="DQ1" s="283"/>
      <c r="DR1" s="283"/>
      <c r="DS1" s="283"/>
      <c r="DT1" s="283"/>
      <c r="DU1" s="283"/>
      <c r="DV1" s="283"/>
      <c r="DW1" s="283"/>
      <c r="DX1" s="283"/>
      <c r="DY1" s="283"/>
      <c r="DZ1" s="283"/>
      <c r="EA1" s="283"/>
      <c r="EB1" s="283"/>
      <c r="EC1" s="283"/>
      <c r="ED1" s="284"/>
      <c r="EE1" s="282" t="str">
        <f>IF('Données projet'!$B$15="","",'Données projet'!$B$15)</f>
        <v/>
      </c>
      <c r="EF1" s="283"/>
      <c r="EG1" s="283"/>
      <c r="EH1" s="283"/>
      <c r="EI1" s="283"/>
      <c r="EJ1" s="283"/>
      <c r="EK1" s="283"/>
      <c r="EL1" s="283"/>
      <c r="EM1" s="283"/>
      <c r="EN1" s="283"/>
      <c r="EO1" s="283"/>
      <c r="EP1" s="283"/>
      <c r="EQ1" s="283"/>
      <c r="ER1" s="283"/>
      <c r="ES1" s="283"/>
      <c r="ET1" s="283"/>
      <c r="EU1" s="283"/>
      <c r="EV1" s="283"/>
      <c r="EW1" s="283"/>
      <c r="EX1" s="283"/>
      <c r="EY1" s="284"/>
      <c r="EZ1" s="282" t="str">
        <f>IF('Données projet'!$B$16="","",'Données projet'!$B$16)</f>
        <v/>
      </c>
      <c r="FA1" s="283"/>
      <c r="FB1" s="283"/>
      <c r="FC1" s="283"/>
      <c r="FD1" s="283"/>
      <c r="FE1" s="283"/>
      <c r="FF1" s="283"/>
      <c r="FG1" s="283"/>
      <c r="FH1" s="283"/>
      <c r="FI1" s="283"/>
      <c r="FJ1" s="283"/>
      <c r="FK1" s="283"/>
      <c r="FL1" s="283"/>
      <c r="FM1" s="283"/>
      <c r="FN1" s="283"/>
      <c r="FO1" s="283"/>
      <c r="FP1" s="283"/>
      <c r="FQ1" s="283"/>
      <c r="FR1" s="283"/>
      <c r="FS1" s="283"/>
      <c r="FT1" s="284"/>
      <c r="FU1" s="282" t="str">
        <f>IF('Données projet'!$B$17="","",'Données projet'!$B$17)</f>
        <v/>
      </c>
      <c r="FV1" s="283"/>
      <c r="FW1" s="283"/>
      <c r="FX1" s="283"/>
      <c r="FY1" s="283"/>
      <c r="FZ1" s="283"/>
      <c r="GA1" s="283"/>
      <c r="GB1" s="283"/>
      <c r="GC1" s="283"/>
      <c r="GD1" s="283"/>
      <c r="GE1" s="283"/>
      <c r="GF1" s="283"/>
      <c r="GG1" s="283"/>
      <c r="GH1" s="283"/>
      <c r="GI1" s="283"/>
      <c r="GJ1" s="283"/>
      <c r="GK1" s="283"/>
      <c r="GL1" s="283"/>
      <c r="GM1" s="283"/>
      <c r="GN1" s="283"/>
      <c r="GO1" s="284"/>
      <c r="GP1" s="282" t="str">
        <f>IF('Données projet'!$B$18="","",'Données projet'!$B$18)</f>
        <v/>
      </c>
      <c r="GQ1" s="283"/>
      <c r="GR1" s="283"/>
      <c r="GS1" s="283"/>
      <c r="GT1" s="283"/>
      <c r="GU1" s="283"/>
      <c r="GV1" s="283"/>
      <c r="GW1" s="283"/>
      <c r="GX1" s="283"/>
      <c r="GY1" s="283"/>
      <c r="GZ1" s="283"/>
      <c r="HA1" s="283"/>
      <c r="HB1" s="283"/>
      <c r="HC1" s="283"/>
      <c r="HD1" s="283"/>
      <c r="HE1" s="283"/>
      <c r="HF1" s="283"/>
      <c r="HG1" s="283"/>
      <c r="HH1" s="283"/>
      <c r="HI1" s="283"/>
      <c r="HJ1" s="284"/>
    </row>
    <row r="2" spans="1:218" ht="58.5" thickBot="1" x14ac:dyDescent="0.4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3">
        <f>'Scénario référence'!$B$16*5+'Scénario référence'!$B$17*0+'Scénario référence'!$B$18*5</f>
        <v>5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67">
        <f>(B3+E3+F3)*44/12+(C3+D3)*0.475*44/12</f>
        <v>183.33333333333334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165</v>
      </c>
      <c r="S3" s="59">
        <f ca="1">AVERAGE(OFFSET($R$3,0,0,'Données projet'!$E$9+1,1))-AVERAGE(OFFSET($H$3,0,0,'Données projet'!$E$9+1,1))</f>
        <v>297.34058997955685</v>
      </c>
      <c r="T3" s="59">
        <f>IF('Données projet'!E9&gt;30,$R$33-$H$33,LOOKUP('Données projet'!$E$9,$A$3:$A$203,R3:R203)-LOOKUP('Données projet'!$E$9,$A$3:$A$203,$H$3:$H$203))</f>
        <v>440.06633724144069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 t="e">
        <f>AI3*VLOOKUP('Données projet'!$B$10,Paramètres!$A$1:$I$89,3,0)*VLOOKUP('Données projet'!$B$10,Paramètres!$A$1:$I$89,5,0)</f>
        <v>#N/A</v>
      </c>
      <c r="AK3" s="12">
        <v>0</v>
      </c>
      <c r="AL3" s="14" t="e">
        <f>(AJ3+AK3)*0.475*44/12</f>
        <v>#N/A</v>
      </c>
      <c r="AM3" s="59" t="e">
        <f>AL3+(AD3+AE3)*44/12</f>
        <v>#N/A</v>
      </c>
      <c r="AN3" s="59" t="e">
        <f ca="1">AVERAGE(OFFSET($AM$3,0,0,'Données projet'!$E$10+1,1))-AVERAGE(OFFSET($H$3,0,0,'Données projet'!$E$10+1,1))</f>
        <v>#N/A</v>
      </c>
      <c r="AO3" s="59" t="e">
        <f>IF('Données projet'!E10&gt;30,$AM$33-$H$33,LOOKUP('Données projet'!$E$10,$A$3:$A$203,AM3:AM203)-LOOKUP('Données projet'!$E$10,$A$3:$A$203,$H$3:$H$203))</f>
        <v>#N/A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3">
        <f>'Scénario référence'!$B$16*5+'Scénario référence'!$B$17*0+'Scénario référence'!$B$18*5</f>
        <v>5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67">
        <f t="shared" ref="H4:H67" si="1">(B4+E4+F4)*44/12+(C4+D4)*0.475*44/12</f>
        <v>183.33333333333334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7.7271428571428578</v>
      </c>
      <c r="N4" s="13">
        <f>IF('Données projet'!$A$36&gt;35,N3+M4-V3,IF(A4&lt;'Données projet'!$A$36,$K$205^A4,IF(A4='Données projet'!$A$36,'Données projet'!$B$36,N3+M4-V3)))</f>
        <v>1.3973210857138749</v>
      </c>
      <c r="O4" s="13">
        <f>N4*VLOOKUP('Données projet'!$B$9,Paramètres!$A$1:$I$89,3,0)*VLOOKUP('Données projet'!$B$9,Paramètres!$A$1:$I$89,5,0)</f>
        <v>0.83559800925689731</v>
      </c>
      <c r="P4" s="13">
        <f>EXP(-1.0587+0.8836*LN(O4)+0.284)</f>
        <v>0.39321399318577704</v>
      </c>
      <c r="Q4" s="20">
        <f t="shared" ref="Q4:Q34" si="2">(O4+P4)*0.475*44/12</f>
        <v>2.1401809042543243</v>
      </c>
      <c r="R4" s="59">
        <f t="shared" si="0"/>
        <v>169.95261485717816</v>
      </c>
      <c r="S4" s="59">
        <f ca="1">AVERAGE(OFFSET($R$3,0,0,'Données projet'!$E$9+1,1))-AVERAGE(OFFSET($H$3,0,0,'Données projet'!$E$9+1,1))</f>
        <v>297.34058997955685</v>
      </c>
      <c r="T4" s="59">
        <f>$T$3</f>
        <v>440.06633724144069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</v>
      </c>
      <c r="AI4" s="13">
        <f>IF('Données projet'!$A$62&gt;35,AI3+AH4-AQ3,IF(A4&lt;'Données projet'!$A$62,$AF$205^A4,IF(A4='Données projet'!$A$62,'Données projet'!$B$62,AI3+AH4-AQ3)))</f>
        <v>0</v>
      </c>
      <c r="AJ4" s="13" t="e">
        <f>AI4*VLOOKUP('Données projet'!$B$10,Paramètres!$A$1:$I$89,3,0)*VLOOKUP('Données projet'!$B$10,Paramètres!$A$1:$I$89,5,0)</f>
        <v>#N/A</v>
      </c>
      <c r="AK4" s="13" t="e">
        <f>EXP(-1.0587+0.8836*LN(AJ4)+0.284)</f>
        <v>#N/A</v>
      </c>
      <c r="AL4" s="20" t="e">
        <f t="shared" ref="AL4:AL67" si="4">(AJ4+AK4)*0.475*44/12</f>
        <v>#N/A</v>
      </c>
      <c r="AM4" s="59" t="e">
        <f t="shared" ref="AM4:AM67" si="5">AL4+(AD4+AE4)*44/12</f>
        <v>#N/A</v>
      </c>
      <c r="AN4" s="59" t="e">
        <f ca="1">AVERAGE(OFFSET($AM$3,0,0,'Données projet'!$E$10+1,1))-AVERAGE(OFFSET($H$3,0,0,'Données projet'!$E$10+1,1))</f>
        <v>#N/A</v>
      </c>
      <c r="AO4" s="59" t="e">
        <f>$AO$3</f>
        <v>#N/A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 t="e">
        <f>EXP(-LN(2)/35)*AU3+(1-EXP(-LN(2)/35))/(LN(2)/35)*AQ4*AR4*VLOOKUP('Données projet'!$B$10,Paramètres!$A$1:$I$89,3,0)*0.475*44/12</f>
        <v>#N/A</v>
      </c>
      <c r="AV4" s="21" t="e">
        <f>EXP(-LN(2)/25)*AV3+(1-EXP(-LN(2)/25))/(LN(2)/25)*Calculateur!AQ4*Calculateur!AS4*VLOOKUP('Données projet'!$B$10,Paramètres!$A$1:$I$89,3,0)*0.475*44/12</f>
        <v>#N/A</v>
      </c>
      <c r="AW4" s="21" t="e">
        <f>EXP(-LN(2)/2)*AW3+(1-EXP(-LN(2)/2))/(LN(2)/2)*AQ4*AT4*VLOOKUP('Données projet'!$B$10,Paramètres!$A$1:$I$89,3,0)*0.475*44/12</f>
        <v>#N/A</v>
      </c>
      <c r="AX4" s="21" t="e">
        <f t="shared" ref="AX4:AX67" si="6">SUM(AU4:AW4)</f>
        <v>#N/A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3">
        <f>'Scénario référence'!$B$16*5+'Scénario référence'!$B$17*0+'Scénario référence'!$B$18*5</f>
        <v>5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3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67">
        <f t="shared" si="1"/>
        <v>183.33333333333334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7.7271428571428578</v>
      </c>
      <c r="N5" s="13">
        <f>IF('Données projet'!$A$36&gt;35,N4+M5-V4,IF(A5&lt;'Données projet'!$A$36,$K$205^A5,IF(A5='Données projet'!$A$36,'Données projet'!$B$36,N4+M5-V4)))</f>
        <v>1.9525062165806022</v>
      </c>
      <c r="O5" s="13">
        <f>N5*VLOOKUP('Données projet'!$B$9,Paramètres!$A$1:$I$89,3,0)*VLOOKUP('Données projet'!$B$9,Paramètres!$A$1:$I$89,5,0)</f>
        <v>1.1675987175152003</v>
      </c>
      <c r="P5" s="13">
        <f t="shared" ref="P5:P68" si="33">EXP(-1.0587+0.8836*LN(O5)+0.284)</f>
        <v>0.52846070284819757</v>
      </c>
      <c r="Q5" s="20">
        <f t="shared" si="2"/>
        <v>2.9539701571329178</v>
      </c>
      <c r="R5" s="59">
        <f t="shared" si="0"/>
        <v>173.55125144463375</v>
      </c>
      <c r="S5" s="59">
        <f ca="1">AVERAGE(OFFSET($R$3,0,0,'Données projet'!$E$9+1,1))-AVERAGE(OFFSET($H$3,0,0,'Données projet'!$E$9+1,1))</f>
        <v>297.34058997955685</v>
      </c>
      <c r="T5" s="59">
        <f t="shared" ref="T5:T68" si="34">$T$3</f>
        <v>440.06633724144069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</v>
      </c>
      <c r="AI5" s="13">
        <f>IF('Données projet'!$A$62&gt;35,AI4+AH5-AQ4,IF(A5&lt;'Données projet'!$A$62,$AF$205^A5,IF(A5='Données projet'!$A$62,'Données projet'!$B$62,AI4+AH5-AQ4)))</f>
        <v>0</v>
      </c>
      <c r="AJ5" s="13" t="e">
        <f>AI5*VLOOKUP('Données projet'!$B$10,Paramètres!$A$1:$I$89,3,0)*VLOOKUP('Données projet'!$B$10,Paramètres!$A$1:$I$89,5,0)</f>
        <v>#N/A</v>
      </c>
      <c r="AK5" s="13" t="e">
        <f t="shared" ref="AK5:AK68" si="35">EXP(-1.0587+0.8836*LN(AJ5)+0.284)</f>
        <v>#N/A</v>
      </c>
      <c r="AL5" s="20" t="e">
        <f t="shared" si="4"/>
        <v>#N/A</v>
      </c>
      <c r="AM5" s="59" t="e">
        <f t="shared" si="5"/>
        <v>#N/A</v>
      </c>
      <c r="AN5" s="59" t="e">
        <f ca="1">AVERAGE(OFFSET($AM$3,0,0,'Données projet'!$E$10+1,1))-AVERAGE(OFFSET($H$3,0,0,'Données projet'!$E$10+1,1))</f>
        <v>#N/A</v>
      </c>
      <c r="AO5" s="59" t="e">
        <f t="shared" ref="AO5:AO68" si="36">$AO$3</f>
        <v>#N/A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 t="e">
        <f>EXP(-LN(2)/35)*AU4+(1-EXP(-LN(2)/35))/(LN(2)/35)*AQ5*AR5*VLOOKUP('Données projet'!$B$10,Paramètres!$A$1:$I$89,3,0)*0.475*44/12</f>
        <v>#N/A</v>
      </c>
      <c r="AV5" s="21" t="e">
        <f>EXP(-LN(2)/25)*AV4+(1-EXP(-LN(2)/25))/(LN(2)/25)*Calculateur!AQ5*Calculateur!AS5*VLOOKUP('Données projet'!$B$10,Paramètres!$A$1:$I$89,3,0)*0.475*44/12</f>
        <v>#N/A</v>
      </c>
      <c r="AW5" s="21" t="e">
        <f>EXP(-LN(2)/2)*AW4+(1-EXP(-LN(2)/2))/(LN(2)/2)*AQ5*AT5*VLOOKUP('Données projet'!$B$10,Paramètres!$A$1:$I$89,3,0)*0.475*44/12</f>
        <v>#N/A</v>
      </c>
      <c r="AX5" s="21" t="e">
        <f t="shared" si="6"/>
        <v>#N/A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3">
        <f>'Scénario référence'!$B$16*5+'Scénario référence'!$B$17*0+'Scénario référence'!$B$18*5</f>
        <v>5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67">
        <f t="shared" si="1"/>
        <v>183.33333333333334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7.7271428571428578</v>
      </c>
      <c r="N6" s="13">
        <f>IF('Données projet'!$A$36&gt;35,N5+M6-V5,IF(A6&lt;'Données projet'!$A$36,$K$205^A6,IF(A6='Données projet'!$A$36,'Données projet'!$B$36,N5+M6-V5)))</f>
        <v>2.7282781064154973</v>
      </c>
      <c r="O6" s="13">
        <f>N6*VLOOKUP('Données projet'!$B$9,Paramètres!$A$1:$I$89,3,0)*VLOOKUP('Données projet'!$B$9,Paramètres!$A$1:$I$89,5,0)</f>
        <v>1.6315103076364676</v>
      </c>
      <c r="P6" s="13">
        <f t="shared" si="33"/>
        <v>0.71022577856955182</v>
      </c>
      <c r="Q6" s="20">
        <f t="shared" si="2"/>
        <v>4.0785236834754839</v>
      </c>
      <c r="R6" s="59">
        <f t="shared" si="0"/>
        <v>177.43354425336037</v>
      </c>
      <c r="S6" s="59">
        <f ca="1">AVERAGE(OFFSET($R$3,0,0,'Données projet'!$E$9+1,1))-AVERAGE(OFFSET($H$3,0,0,'Données projet'!$E$9+1,1))</f>
        <v>297.34058997955685</v>
      </c>
      <c r="T6" s="59">
        <f t="shared" si="34"/>
        <v>440.06633724144069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</v>
      </c>
      <c r="AI6" s="13">
        <f>IF('Données projet'!$A$62&gt;35,AI5+AH6-AQ5,IF(A6&lt;'Données projet'!$A$62,$AF$205^A6,IF(A6='Données projet'!$A$62,'Données projet'!$B$62,AI5+AH6-AQ5)))</f>
        <v>0</v>
      </c>
      <c r="AJ6" s="13" t="e">
        <f>AI6*VLOOKUP('Données projet'!$B$10,Paramètres!$A$1:$I$89,3,0)*VLOOKUP('Données projet'!$B$10,Paramètres!$A$1:$I$89,5,0)</f>
        <v>#N/A</v>
      </c>
      <c r="AK6" s="13" t="e">
        <f t="shared" si="35"/>
        <v>#N/A</v>
      </c>
      <c r="AL6" s="20" t="e">
        <f t="shared" si="4"/>
        <v>#N/A</v>
      </c>
      <c r="AM6" s="59" t="e">
        <f t="shared" si="5"/>
        <v>#N/A</v>
      </c>
      <c r="AN6" s="59" t="e">
        <f ca="1">AVERAGE(OFFSET($AM$3,0,0,'Données projet'!$E$10+1,1))-AVERAGE(OFFSET($H$3,0,0,'Données projet'!$E$10+1,1))</f>
        <v>#N/A</v>
      </c>
      <c r="AO6" s="59" t="e">
        <f t="shared" si="36"/>
        <v>#N/A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 t="e">
        <f>EXP(-LN(2)/35)*AU5+(1-EXP(-LN(2)/35))/(LN(2)/35)*AQ6*AR6*VLOOKUP('Données projet'!$B$10,Paramètres!$A$1:$I$89,3,0)*0.475*44/12</f>
        <v>#N/A</v>
      </c>
      <c r="AV6" s="21" t="e">
        <f>EXP(-LN(2)/25)*AV5+(1-EXP(-LN(2)/25))/(LN(2)/25)*Calculateur!AQ6*Calculateur!AS6*VLOOKUP('Données projet'!$B$10,Paramètres!$A$1:$I$89,3,0)*0.475*44/12</f>
        <v>#N/A</v>
      </c>
      <c r="AW6" s="21" t="e">
        <f>EXP(-LN(2)/2)*AW5+(1-EXP(-LN(2)/2))/(LN(2)/2)*AQ6*AT6*VLOOKUP('Données projet'!$B$10,Paramètres!$A$1:$I$89,3,0)*0.475*44/12</f>
        <v>#N/A</v>
      </c>
      <c r="AX6" s="21" t="e">
        <f t="shared" si="6"/>
        <v>#N/A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3">
        <f>'Scénario référence'!$B$16*5+'Scénario référence'!$B$17*0+'Scénario référence'!$B$18*5</f>
        <v>5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67">
        <f t="shared" si="1"/>
        <v>183.33333333333334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7.7271428571428578</v>
      </c>
      <c r="N7" s="13">
        <f>IF('Données projet'!$A$36&gt;35,N6+M7-V6,IF(A7&lt;'Données projet'!$A$36,$K$205^A7,IF(A7='Données projet'!$A$36,'Données projet'!$B$36,N6+M7-V6)))</f>
        <v>3.8122805257858974</v>
      </c>
      <c r="O7" s="13">
        <f>N7*VLOOKUP('Données projet'!$B$9,Paramètres!$A$1:$I$89,3,0)*VLOOKUP('Données projet'!$B$9,Paramètres!$A$1:$I$89,5,0)</f>
        <v>2.2797437544199668</v>
      </c>
      <c r="P7" s="13">
        <f t="shared" si="33"/>
        <v>0.95450930187636462</v>
      </c>
      <c r="Q7" s="20">
        <f t="shared" si="2"/>
        <v>5.632990739716111</v>
      </c>
      <c r="R7" s="59">
        <f t="shared" si="0"/>
        <v>181.71911280389307</v>
      </c>
      <c r="S7" s="59">
        <f ca="1">AVERAGE(OFFSET($R$3,0,0,'Données projet'!$E$9+1,1))-AVERAGE(OFFSET($H$3,0,0,'Données projet'!$E$9+1,1))</f>
        <v>297.34058997955685</v>
      </c>
      <c r="T7" s="59">
        <f t="shared" si="34"/>
        <v>440.06633724144069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</v>
      </c>
      <c r="AI7" s="13">
        <f>IF('Données projet'!$A$62&gt;35,AI6+AH7-AQ6,IF(A7&lt;'Données projet'!$A$62,$AF$205^A7,IF(A7='Données projet'!$A$62,'Données projet'!$B$62,AI6+AH7-AQ6)))</f>
        <v>0</v>
      </c>
      <c r="AJ7" s="13" t="e">
        <f>AI7*VLOOKUP('Données projet'!$B$10,Paramètres!$A$1:$I$89,3,0)*VLOOKUP('Données projet'!$B$10,Paramètres!$A$1:$I$89,5,0)</f>
        <v>#N/A</v>
      </c>
      <c r="AK7" s="13" t="e">
        <f t="shared" si="35"/>
        <v>#N/A</v>
      </c>
      <c r="AL7" s="20" t="e">
        <f t="shared" si="4"/>
        <v>#N/A</v>
      </c>
      <c r="AM7" s="59" t="e">
        <f t="shared" si="5"/>
        <v>#N/A</v>
      </c>
      <c r="AN7" s="59" t="e">
        <f ca="1">AVERAGE(OFFSET($AM$3,0,0,'Données projet'!$E$10+1,1))-AVERAGE(OFFSET($H$3,0,0,'Données projet'!$E$10+1,1))</f>
        <v>#N/A</v>
      </c>
      <c r="AO7" s="59" t="e">
        <f t="shared" si="36"/>
        <v>#N/A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 t="e">
        <f>EXP(-LN(2)/35)*AU6+(1-EXP(-LN(2)/35))/(LN(2)/35)*AQ7*AR7*VLOOKUP('Données projet'!$B$10,Paramètres!$A$1:$I$89,3,0)*0.475*44/12</f>
        <v>#N/A</v>
      </c>
      <c r="AV7" s="21" t="e">
        <f>EXP(-LN(2)/25)*AV6+(1-EXP(-LN(2)/25))/(LN(2)/25)*Calculateur!AQ7*Calculateur!AS7*VLOOKUP('Données projet'!$B$10,Paramètres!$A$1:$I$89,3,0)*0.475*44/12</f>
        <v>#N/A</v>
      </c>
      <c r="AW7" s="21" t="e">
        <f>EXP(-LN(2)/2)*AW6+(1-EXP(-LN(2)/2))/(LN(2)/2)*AQ7*AT7*VLOOKUP('Données projet'!$B$10,Paramètres!$A$1:$I$89,3,0)*0.475*44/12</f>
        <v>#N/A</v>
      </c>
      <c r="AX7" s="21" t="e">
        <f t="shared" si="6"/>
        <v>#N/A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3">
        <f>'Scénario référence'!$B$16*5+'Scénario référence'!$B$17*0+'Scénario référence'!$B$18*5</f>
        <v>5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67">
        <f t="shared" si="1"/>
        <v>183.33333333333334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7.7271428571428578</v>
      </c>
      <c r="N8" s="13">
        <f>IF('Données projet'!$A$36&gt;35,N7+M8-V7,IF(A8&lt;'Données projet'!$A$36,$K$205^A8,IF(A8='Données projet'!$A$36,'Données projet'!$B$36,N7+M8-V7)))</f>
        <v>5.3269799633370116</v>
      </c>
      <c r="O8" s="13">
        <f>N8*VLOOKUP('Données projet'!$B$9,Paramètres!$A$1:$I$89,3,0)*VLOOKUP('Données projet'!$B$9,Paramètres!$A$1:$I$89,5,0)</f>
        <v>3.1855340180755332</v>
      </c>
      <c r="P8" s="13">
        <f t="shared" si="33"/>
        <v>1.2828146131269762</v>
      </c>
      <c r="Q8" s="20">
        <f t="shared" si="2"/>
        <v>7.7823738660110378</v>
      </c>
      <c r="R8" s="59">
        <f t="shared" si="0"/>
        <v>186.57342174245838</v>
      </c>
      <c r="S8" s="59">
        <f ca="1">AVERAGE(OFFSET($R$3,0,0,'Données projet'!$E$9+1,1))-AVERAGE(OFFSET($H$3,0,0,'Données projet'!$E$9+1,1))</f>
        <v>297.34058997955685</v>
      </c>
      <c r="T8" s="59">
        <f t="shared" si="34"/>
        <v>440.06633724144069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</v>
      </c>
      <c r="AI8" s="13">
        <f>IF('Données projet'!$A$62&gt;35,AI7+AH8-AQ7,IF(A8&lt;'Données projet'!$A$62,$AF$205^A8,IF(A8='Données projet'!$A$62,'Données projet'!$B$62,AI7+AH8-AQ7)))</f>
        <v>0</v>
      </c>
      <c r="AJ8" s="13" t="e">
        <f>AI8*VLOOKUP('Données projet'!$B$10,Paramètres!$A$1:$I$89,3,0)*VLOOKUP('Données projet'!$B$10,Paramètres!$A$1:$I$89,5,0)</f>
        <v>#N/A</v>
      </c>
      <c r="AK8" s="13" t="e">
        <f t="shared" si="35"/>
        <v>#N/A</v>
      </c>
      <c r="AL8" s="20" t="e">
        <f t="shared" si="4"/>
        <v>#N/A</v>
      </c>
      <c r="AM8" s="59" t="e">
        <f t="shared" si="5"/>
        <v>#N/A</v>
      </c>
      <c r="AN8" s="59" t="e">
        <f ca="1">AVERAGE(OFFSET($AM$3,0,0,'Données projet'!$E$10+1,1))-AVERAGE(OFFSET($H$3,0,0,'Données projet'!$E$10+1,1))</f>
        <v>#N/A</v>
      </c>
      <c r="AO8" s="59" t="e">
        <f t="shared" si="36"/>
        <v>#N/A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 t="e">
        <f>EXP(-LN(2)/35)*AU7+(1-EXP(-LN(2)/35))/(LN(2)/35)*AQ8*AR8*VLOOKUP('Données projet'!$B$10,Paramètres!$A$1:$I$89,3,0)*0.475*44/12</f>
        <v>#N/A</v>
      </c>
      <c r="AV8" s="21" t="e">
        <f>EXP(-LN(2)/25)*AV7+(1-EXP(-LN(2)/25))/(LN(2)/25)*Calculateur!AQ8*Calculateur!AS8*VLOOKUP('Données projet'!$B$10,Paramètres!$A$1:$I$89,3,0)*0.475*44/12</f>
        <v>#N/A</v>
      </c>
      <c r="AW8" s="21" t="e">
        <f>EXP(-LN(2)/2)*AW7+(1-EXP(-LN(2)/2))/(LN(2)/2)*AQ8*AT8*VLOOKUP('Données projet'!$B$10,Paramètres!$A$1:$I$89,3,0)*0.475*44/12</f>
        <v>#N/A</v>
      </c>
      <c r="AX8" s="21" t="e">
        <f t="shared" si="6"/>
        <v>#N/A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3">
        <f>'Scénario référence'!$B$16*5+'Scénario référence'!$B$17*0+'Scénario référence'!$B$18*5</f>
        <v>5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67">
        <f t="shared" si="1"/>
        <v>183.33333333333334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7.7271428571428578</v>
      </c>
      <c r="N9" s="13">
        <f>IF('Données projet'!$A$36&gt;35,N8+M9-V8,IF(A9&lt;'Données projet'!$A$36,$K$205^A9,IF(A9='Données projet'!$A$36,'Données projet'!$B$36,N8+M9-V8)))</f>
        <v>7.4435014259461312</v>
      </c>
      <c r="O9" s="13">
        <f>N9*VLOOKUP('Données projet'!$B$9,Paramètres!$A$1:$I$89,3,0)*VLOOKUP('Données projet'!$B$9,Paramètres!$A$1:$I$89,5,0)</f>
        <v>4.451213852715787</v>
      </c>
      <c r="P9" s="13">
        <f t="shared" si="33"/>
        <v>1.7240411679772885</v>
      </c>
      <c r="Q9" s="20">
        <f t="shared" si="2"/>
        <v>10.755235827707105</v>
      </c>
      <c r="R9" s="59">
        <f t="shared" si="0"/>
        <v>192.22548792396609</v>
      </c>
      <c r="S9" s="59">
        <f ca="1">AVERAGE(OFFSET($R$3,0,0,'Données projet'!$E$9+1,1))-AVERAGE(OFFSET($H$3,0,0,'Données projet'!$E$9+1,1))</f>
        <v>297.34058997955685</v>
      </c>
      <c r="T9" s="59">
        <f t="shared" si="34"/>
        <v>440.06633724144069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</v>
      </c>
      <c r="AI9" s="13">
        <f>IF('Données projet'!$A$62&gt;35,AI8+AH9-AQ8,IF(A9&lt;'Données projet'!$A$62,$AF$205^A9,IF(A9='Données projet'!$A$62,'Données projet'!$B$62,AI8+AH9-AQ8)))</f>
        <v>0</v>
      </c>
      <c r="AJ9" s="13" t="e">
        <f>AI9*VLOOKUP('Données projet'!$B$10,Paramètres!$A$1:$I$89,3,0)*VLOOKUP('Données projet'!$B$10,Paramètres!$A$1:$I$89,5,0)</f>
        <v>#N/A</v>
      </c>
      <c r="AK9" s="13" t="e">
        <f t="shared" si="35"/>
        <v>#N/A</v>
      </c>
      <c r="AL9" s="20" t="e">
        <f t="shared" si="4"/>
        <v>#N/A</v>
      </c>
      <c r="AM9" s="59" t="e">
        <f t="shared" si="5"/>
        <v>#N/A</v>
      </c>
      <c r="AN9" s="59" t="e">
        <f ca="1">AVERAGE(OFFSET($AM$3,0,0,'Données projet'!$E$10+1,1))-AVERAGE(OFFSET($H$3,0,0,'Données projet'!$E$10+1,1))</f>
        <v>#N/A</v>
      </c>
      <c r="AO9" s="59" t="e">
        <f t="shared" si="36"/>
        <v>#N/A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 t="e">
        <f>EXP(-LN(2)/35)*AU8+(1-EXP(-LN(2)/35))/(LN(2)/35)*AQ9*AR9*VLOOKUP('Données projet'!$B$10,Paramètres!$A$1:$I$89,3,0)*0.475*44/12</f>
        <v>#N/A</v>
      </c>
      <c r="AV9" s="21" t="e">
        <f>EXP(-LN(2)/25)*AV8+(1-EXP(-LN(2)/25))/(LN(2)/25)*Calculateur!AQ9*Calculateur!AS9*VLOOKUP('Données projet'!$B$10,Paramètres!$A$1:$I$89,3,0)*0.475*44/12</f>
        <v>#N/A</v>
      </c>
      <c r="AW9" s="21" t="e">
        <f>EXP(-LN(2)/2)*AW8+(1-EXP(-LN(2)/2))/(LN(2)/2)*AQ9*AT9*VLOOKUP('Données projet'!$B$10,Paramètres!$A$1:$I$89,3,0)*0.475*44/12</f>
        <v>#N/A</v>
      </c>
      <c r="AX9" s="21" t="e">
        <f t="shared" si="6"/>
        <v>#N/A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3">
        <f>'Scénario référence'!$B$16*5+'Scénario référence'!$B$17*0+'Scénario référence'!$B$18*5</f>
        <v>5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67">
        <f t="shared" si="1"/>
        <v>183.33333333333334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7.7271428571428578</v>
      </c>
      <c r="N10" s="13">
        <f>IF('Données projet'!$A$36&gt;35,N9+M10-V9,IF(A10&lt;'Données projet'!$A$36,$K$205^A10,IF(A10='Données projet'!$A$36,'Données projet'!$B$36,N9+M10-V9)))</f>
        <v>10.400961494015824</v>
      </c>
      <c r="O10" s="13">
        <f>N10*VLOOKUP('Données projet'!$B$9,Paramètres!$A$1:$I$89,3,0)*VLOOKUP('Données projet'!$B$9,Paramètres!$A$1:$I$89,5,0)</f>
        <v>6.2197749734214636</v>
      </c>
      <c r="P10" s="13">
        <f t="shared" si="33"/>
        <v>2.3170284454705419</v>
      </c>
      <c r="Q10" s="20">
        <f t="shared" si="2"/>
        <v>14.868265954570242</v>
      </c>
      <c r="R10" s="59">
        <f t="shared" si="0"/>
        <v>198.99244689030647</v>
      </c>
      <c r="S10" s="59">
        <f ca="1">AVERAGE(OFFSET($R$3,0,0,'Données projet'!$E$9+1,1))-AVERAGE(OFFSET($H$3,0,0,'Données projet'!$E$9+1,1))</f>
        <v>297.34058997955685</v>
      </c>
      <c r="T10" s="59">
        <f t="shared" si="34"/>
        <v>440.06633724144069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</v>
      </c>
      <c r="AI10" s="13">
        <f>IF('Données projet'!$A$62&gt;35,AI9+AH10-AQ9,IF(A10&lt;'Données projet'!$A$62,$AF$205^A10,IF(A10='Données projet'!$A$62,'Données projet'!$B$62,AI9+AH10-AQ9)))</f>
        <v>0</v>
      </c>
      <c r="AJ10" s="13" t="e">
        <f>AI10*VLOOKUP('Données projet'!$B$10,Paramètres!$A$1:$I$89,3,0)*VLOOKUP('Données projet'!$B$10,Paramètres!$A$1:$I$89,5,0)</f>
        <v>#N/A</v>
      </c>
      <c r="AK10" s="13" t="e">
        <f t="shared" si="35"/>
        <v>#N/A</v>
      </c>
      <c r="AL10" s="20" t="e">
        <f t="shared" si="4"/>
        <v>#N/A</v>
      </c>
      <c r="AM10" s="59" t="e">
        <f t="shared" si="5"/>
        <v>#N/A</v>
      </c>
      <c r="AN10" s="59" t="e">
        <f ca="1">AVERAGE(OFFSET($AM$3,0,0,'Données projet'!$E$10+1,1))-AVERAGE(OFFSET($H$3,0,0,'Données projet'!$E$10+1,1))</f>
        <v>#N/A</v>
      </c>
      <c r="AO10" s="59" t="e">
        <f t="shared" si="36"/>
        <v>#N/A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 t="e">
        <f>EXP(-LN(2)/35)*AU9+(1-EXP(-LN(2)/35))/(LN(2)/35)*AQ10*AR10*VLOOKUP('Données projet'!$B$10,Paramètres!$A$1:$I$89,3,0)*0.475*44/12</f>
        <v>#N/A</v>
      </c>
      <c r="AV10" s="21" t="e">
        <f>EXP(-LN(2)/25)*AV9+(1-EXP(-LN(2)/25))/(LN(2)/25)*Calculateur!AQ10*Calculateur!AS10*VLOOKUP('Données projet'!$B$10,Paramètres!$A$1:$I$89,3,0)*0.475*44/12</f>
        <v>#N/A</v>
      </c>
      <c r="AW10" s="21" t="e">
        <f>EXP(-LN(2)/2)*AW9+(1-EXP(-LN(2)/2))/(LN(2)/2)*AQ10*AT10*VLOOKUP('Données projet'!$B$10,Paramètres!$A$1:$I$89,3,0)*0.475*44/12</f>
        <v>#N/A</v>
      </c>
      <c r="AX10" s="21" t="e">
        <f t="shared" si="6"/>
        <v>#N/A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3">
        <f>'Scénario référence'!$B$16*5+'Scénario référence'!$B$17*0+'Scénario référence'!$B$18*5</f>
        <v>5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67">
        <f t="shared" si="1"/>
        <v>183.33333333333334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7.7271428571428578</v>
      </c>
      <c r="N11" s="13">
        <f>IF('Données projet'!$A$36&gt;35,N10+M11-V10,IF(A11&lt;'Données projet'!$A$36,$K$205^A11,IF(A11='Données projet'!$A$36,'Données projet'!$B$36,N10+M11-V10)))</f>
        <v>14.533482807286399</v>
      </c>
      <c r="O11" s="13">
        <f>N11*VLOOKUP('Données projet'!$B$9,Paramètres!$A$1:$I$89,3,0)*VLOOKUP('Données projet'!$B$9,Paramètres!$A$1:$I$89,5,0)</f>
        <v>8.6910227187572673</v>
      </c>
      <c r="P11" s="13">
        <f t="shared" si="33"/>
        <v>3.1139748382101038</v>
      </c>
      <c r="Q11" s="20">
        <f t="shared" si="2"/>
        <v>20.560370745051507</v>
      </c>
      <c r="R11" s="59">
        <f t="shared" si="0"/>
        <v>207.31364361127206</v>
      </c>
      <c r="S11" s="59">
        <f ca="1">AVERAGE(OFFSET($R$3,0,0,'Données projet'!$E$9+1,1))-AVERAGE(OFFSET($H$3,0,0,'Données projet'!$E$9+1,1))</f>
        <v>297.34058997955685</v>
      </c>
      <c r="T11" s="59">
        <f t="shared" si="34"/>
        <v>440.06633724144069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</v>
      </c>
      <c r="AI11" s="13">
        <f>IF('Données projet'!$A$62&gt;35,AI10+AH11-AQ10,IF(A11&lt;'Données projet'!$A$62,$AF$205^A11,IF(A11='Données projet'!$A$62,'Données projet'!$B$62,AI10+AH11-AQ10)))</f>
        <v>0</v>
      </c>
      <c r="AJ11" s="13" t="e">
        <f>AI11*VLOOKUP('Données projet'!$B$10,Paramètres!$A$1:$I$89,3,0)*VLOOKUP('Données projet'!$B$10,Paramètres!$A$1:$I$89,5,0)</f>
        <v>#N/A</v>
      </c>
      <c r="AK11" s="13" t="e">
        <f t="shared" si="35"/>
        <v>#N/A</v>
      </c>
      <c r="AL11" s="20" t="e">
        <f t="shared" si="4"/>
        <v>#N/A</v>
      </c>
      <c r="AM11" s="59" t="e">
        <f t="shared" si="5"/>
        <v>#N/A</v>
      </c>
      <c r="AN11" s="59" t="e">
        <f ca="1">AVERAGE(OFFSET($AM$3,0,0,'Données projet'!$E$10+1,1))-AVERAGE(OFFSET($H$3,0,0,'Données projet'!$E$10+1,1))</f>
        <v>#N/A</v>
      </c>
      <c r="AO11" s="59" t="e">
        <f t="shared" si="36"/>
        <v>#N/A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 t="e">
        <f>EXP(-LN(2)/35)*AU10+(1-EXP(-LN(2)/35))/(LN(2)/35)*AQ11*AR11*VLOOKUP('Données projet'!$B$10,Paramètres!$A$1:$I$89,3,0)*0.475*44/12</f>
        <v>#N/A</v>
      </c>
      <c r="AV11" s="21" t="e">
        <f>EXP(-LN(2)/25)*AV10+(1-EXP(-LN(2)/25))/(LN(2)/25)*Calculateur!AQ11*Calculateur!AS11*VLOOKUP('Données projet'!$B$10,Paramètres!$A$1:$I$89,3,0)*0.475*44/12</f>
        <v>#N/A</v>
      </c>
      <c r="AW11" s="21" t="e">
        <f>EXP(-LN(2)/2)*AW10+(1-EXP(-LN(2)/2))/(LN(2)/2)*AQ11*AT11*VLOOKUP('Données projet'!$B$10,Paramètres!$A$1:$I$89,3,0)*0.475*44/12</f>
        <v>#N/A</v>
      </c>
      <c r="AX11" s="21" t="e">
        <f t="shared" si="6"/>
        <v>#N/A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3">
        <f>'Scénario référence'!$B$16*5+'Scénario référence'!$B$17*0+'Scénario référence'!$B$18*5</f>
        <v>5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67">
        <f t="shared" si="1"/>
        <v>183.33333333333334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7.7271428571428578</v>
      </c>
      <c r="N12" s="13">
        <f>IF('Données projet'!$A$36&gt;35,N11+M12-V11,IF(A12&lt;'Données projet'!$A$36,$K$205^A12,IF(A12='Données projet'!$A$36,'Données projet'!$B$36,N11+M12-V11)))</f>
        <v>20.307941975481366</v>
      </c>
      <c r="O12" s="13">
        <f>N12*VLOOKUP('Données projet'!$B$9,Paramètres!$A$1:$I$89,3,0)*VLOOKUP('Données projet'!$B$9,Paramètres!$A$1:$I$89,5,0)</f>
        <v>12.144149301337858</v>
      </c>
      <c r="P12" s="13">
        <f t="shared" si="33"/>
        <v>4.1850324763865441</v>
      </c>
      <c r="Q12" s="20">
        <f t="shared" si="2"/>
        <v>28.439991596203328</v>
      </c>
      <c r="R12" s="59">
        <f t="shared" si="0"/>
        <v>217.7979503487594</v>
      </c>
      <c r="S12" s="59">
        <f ca="1">AVERAGE(OFFSET($R$3,0,0,'Données projet'!$E$9+1,1))-AVERAGE(OFFSET($H$3,0,0,'Données projet'!$E$9+1,1))</f>
        <v>297.34058997955685</v>
      </c>
      <c r="T12" s="59">
        <f t="shared" si="34"/>
        <v>440.06633724144069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</v>
      </c>
      <c r="AI12" s="13">
        <f>IF('Données projet'!$A$62&gt;35,AI11+AH12-AQ11,IF(A12&lt;'Données projet'!$A$62,$AF$205^A12,IF(A12='Données projet'!$A$62,'Données projet'!$B$62,AI11+AH12-AQ11)))</f>
        <v>0</v>
      </c>
      <c r="AJ12" s="13" t="e">
        <f>AI12*VLOOKUP('Données projet'!$B$10,Paramètres!$A$1:$I$89,3,0)*VLOOKUP('Données projet'!$B$10,Paramètres!$A$1:$I$89,5,0)</f>
        <v>#N/A</v>
      </c>
      <c r="AK12" s="13" t="e">
        <f t="shared" si="35"/>
        <v>#N/A</v>
      </c>
      <c r="AL12" s="20" t="e">
        <f t="shared" si="4"/>
        <v>#N/A</v>
      </c>
      <c r="AM12" s="59" t="e">
        <f t="shared" si="5"/>
        <v>#N/A</v>
      </c>
      <c r="AN12" s="59" t="e">
        <f ca="1">AVERAGE(OFFSET($AM$3,0,0,'Données projet'!$E$10+1,1))-AVERAGE(OFFSET($H$3,0,0,'Données projet'!$E$10+1,1))</f>
        <v>#N/A</v>
      </c>
      <c r="AO12" s="59" t="e">
        <f t="shared" si="36"/>
        <v>#N/A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 t="e">
        <f>EXP(-LN(2)/35)*AU11+(1-EXP(-LN(2)/35))/(LN(2)/35)*AQ12*AR12*VLOOKUP('Données projet'!$B$10,Paramètres!$A$1:$I$89,3,0)*0.475*44/12</f>
        <v>#N/A</v>
      </c>
      <c r="AV12" s="21" t="e">
        <f>EXP(-LN(2)/25)*AV11+(1-EXP(-LN(2)/25))/(LN(2)/25)*Calculateur!AQ12*Calculateur!AS12*VLOOKUP('Données projet'!$B$10,Paramètres!$A$1:$I$89,3,0)*0.475*44/12</f>
        <v>#N/A</v>
      </c>
      <c r="AW12" s="21" t="e">
        <f>EXP(-LN(2)/2)*AW11+(1-EXP(-LN(2)/2))/(LN(2)/2)*AQ12*AT12*VLOOKUP('Données projet'!$B$10,Paramètres!$A$1:$I$89,3,0)*0.475*44/12</f>
        <v>#N/A</v>
      </c>
      <c r="AX12" s="21" t="e">
        <f t="shared" si="6"/>
        <v>#N/A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3">
        <f>'Scénario référence'!$B$16*5+'Scénario référence'!$B$17*0+'Scénario référence'!$B$18*5</f>
        <v>5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67">
        <f t="shared" si="1"/>
        <v>183.33333333333334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7.7271428571428578</v>
      </c>
      <c r="N13" s="13">
        <f>IF('Données projet'!$A$36&gt;35,N12+M13-V12,IF(A13&lt;'Données projet'!$A$36,$K$205^A13,IF(A13='Données projet'!$A$36,'Données projet'!$B$36,N12+M13-V12)))</f>
        <v>28.376715529793994</v>
      </c>
      <c r="O13" s="13">
        <f>N13*VLOOKUP('Données projet'!$B$9,Paramètres!$A$1:$I$89,3,0)*VLOOKUP('Données projet'!$B$9,Paramètres!$A$1:$I$89,5,0)</f>
        <v>16.96927588681681</v>
      </c>
      <c r="P13" s="13">
        <f t="shared" si="33"/>
        <v>5.6244824503711541</v>
      </c>
      <c r="Q13" s="20">
        <f t="shared" si="2"/>
        <v>39.350795770602367</v>
      </c>
      <c r="R13" s="59">
        <f t="shared" si="0"/>
        <v>231.28945775564725</v>
      </c>
      <c r="S13" s="59">
        <f ca="1">AVERAGE(OFFSET($R$3,0,0,'Données projet'!$E$9+1,1))-AVERAGE(OFFSET($H$3,0,0,'Données projet'!$E$9+1,1))</f>
        <v>297.34058997955685</v>
      </c>
      <c r="T13" s="59">
        <f t="shared" si="34"/>
        <v>440.06633724144069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0</v>
      </c>
      <c r="AI13" s="13">
        <f>IF('Données projet'!$A$62&gt;35,AI12+AH13-AQ12,IF(A13&lt;'Données projet'!$A$62,$AF$205^A13,IF(A13='Données projet'!$A$62,'Données projet'!$B$62,AI12+AH13-AQ12)))</f>
        <v>0</v>
      </c>
      <c r="AJ13" s="13" t="e">
        <f>AI13*VLOOKUP('Données projet'!$B$10,Paramètres!$A$1:$I$89,3,0)*VLOOKUP('Données projet'!$B$10,Paramètres!$A$1:$I$89,5,0)</f>
        <v>#N/A</v>
      </c>
      <c r="AK13" s="13" t="e">
        <f t="shared" si="35"/>
        <v>#N/A</v>
      </c>
      <c r="AL13" s="20" t="e">
        <f t="shared" si="4"/>
        <v>#N/A</v>
      </c>
      <c r="AM13" s="59" t="e">
        <f t="shared" si="5"/>
        <v>#N/A</v>
      </c>
      <c r="AN13" s="59" t="e">
        <f ca="1">AVERAGE(OFFSET($AM$3,0,0,'Données projet'!$E$10+1,1))-AVERAGE(OFFSET($H$3,0,0,'Données projet'!$E$10+1,1))</f>
        <v>#N/A</v>
      </c>
      <c r="AO13" s="59" t="e">
        <f t="shared" si="36"/>
        <v>#N/A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 t="e">
        <f>EXP(-LN(2)/35)*AU12+(1-EXP(-LN(2)/35))/(LN(2)/35)*AQ13*AR13*VLOOKUP('Données projet'!$B$10,Paramètres!$A$1:$I$89,3,0)*0.475*44/12</f>
        <v>#N/A</v>
      </c>
      <c r="AV13" s="21" t="e">
        <f>EXP(-LN(2)/25)*AV12+(1-EXP(-LN(2)/25))/(LN(2)/25)*Calculateur!AQ13*Calculateur!AS13*VLOOKUP('Données projet'!$B$10,Paramètres!$A$1:$I$89,3,0)*0.475*44/12</f>
        <v>#N/A</v>
      </c>
      <c r="AW13" s="21" t="e">
        <f>EXP(-LN(2)/2)*AW12+(1-EXP(-LN(2)/2))/(LN(2)/2)*AQ13*AT13*VLOOKUP('Données projet'!$B$10,Paramètres!$A$1:$I$89,3,0)*0.475*44/12</f>
        <v>#N/A</v>
      </c>
      <c r="AX13" s="21" t="e">
        <f t="shared" si="6"/>
        <v>#N/A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3">
        <f>'Scénario référence'!$B$16*5+'Scénario référence'!$B$17*0+'Scénario référence'!$B$18*5</f>
        <v>5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67">
        <f t="shared" si="1"/>
        <v>183.33333333333334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7.7271428571428578</v>
      </c>
      <c r="N14" s="13">
        <f>IF('Données projet'!$A$36&gt;35,N13+M14-V13,IF(A14&lt;'Données projet'!$A$36,$K$205^A14,IF(A14='Données projet'!$A$36,'Données projet'!$B$36,N13+M14-V13)))</f>
        <v>39.651382953085523</v>
      </c>
      <c r="O14" s="13">
        <f>N14*VLOOKUP('Données projet'!$B$9,Paramètres!$A$1:$I$89,3,0)*VLOOKUP('Données projet'!$B$9,Paramètres!$A$1:$I$89,5,0)</f>
        <v>23.711527005945143</v>
      </c>
      <c r="P14" s="13">
        <f t="shared" si="33"/>
        <v>7.5590340130042035</v>
      </c>
      <c r="Q14" s="20">
        <f t="shared" si="2"/>
        <v>54.462893774670114</v>
      </c>
      <c r="R14" s="59">
        <f t="shared" si="0"/>
        <v>248.95869238378424</v>
      </c>
      <c r="S14" s="59">
        <f ca="1">AVERAGE(OFFSET($R$3,0,0,'Données projet'!$E$9+1,1))-AVERAGE(OFFSET($H$3,0,0,'Données projet'!$E$9+1,1))</f>
        <v>297.34058997955685</v>
      </c>
      <c r="T14" s="59">
        <f t="shared" si="34"/>
        <v>440.06633724144069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0</v>
      </c>
      <c r="AI14" s="13">
        <f>IF('Données projet'!$A$62&gt;35,AI13+AH14-AQ13,IF(A14&lt;'Données projet'!$A$62,$AF$205^A14,IF(A14='Données projet'!$A$62,'Données projet'!$B$62,AI13+AH14-AQ13)))</f>
        <v>0</v>
      </c>
      <c r="AJ14" s="13" t="e">
        <f>AI14*VLOOKUP('Données projet'!$B$10,Paramètres!$A$1:$I$89,3,0)*VLOOKUP('Données projet'!$B$10,Paramètres!$A$1:$I$89,5,0)</f>
        <v>#N/A</v>
      </c>
      <c r="AK14" s="13" t="e">
        <f t="shared" si="35"/>
        <v>#N/A</v>
      </c>
      <c r="AL14" s="20" t="e">
        <f t="shared" si="4"/>
        <v>#N/A</v>
      </c>
      <c r="AM14" s="59" t="e">
        <f t="shared" si="5"/>
        <v>#N/A</v>
      </c>
      <c r="AN14" s="59" t="e">
        <f ca="1">AVERAGE(OFFSET($AM$3,0,0,'Données projet'!$E$10+1,1))-AVERAGE(OFFSET($H$3,0,0,'Données projet'!$E$10+1,1))</f>
        <v>#N/A</v>
      </c>
      <c r="AO14" s="59" t="e">
        <f t="shared" si="36"/>
        <v>#N/A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 t="e">
        <f>EXP(-LN(2)/35)*AU13+(1-EXP(-LN(2)/35))/(LN(2)/35)*AQ14*AR14*VLOOKUP('Données projet'!$B$10,Paramètres!$A$1:$I$89,3,0)*0.475*44/12</f>
        <v>#N/A</v>
      </c>
      <c r="AV14" s="21" t="e">
        <f>EXP(-LN(2)/25)*AV13+(1-EXP(-LN(2)/25))/(LN(2)/25)*Calculateur!AQ14*Calculateur!AS14*VLOOKUP('Données projet'!$B$10,Paramètres!$A$1:$I$89,3,0)*0.475*44/12</f>
        <v>#N/A</v>
      </c>
      <c r="AW14" s="21" t="e">
        <f>EXP(-LN(2)/2)*AW13+(1-EXP(-LN(2)/2))/(LN(2)/2)*AQ14*AT14*VLOOKUP('Données projet'!$B$10,Paramètres!$A$1:$I$89,3,0)*0.475*44/12</f>
        <v>#N/A</v>
      </c>
      <c r="AX14" s="21" t="e">
        <f t="shared" si="6"/>
        <v>#N/A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3">
        <f>'Scénario référence'!$B$16*5+'Scénario référence'!$B$17*0+'Scénario référence'!$B$18*5</f>
        <v>5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67">
        <f t="shared" si="1"/>
        <v>183.33333333333334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7.7271428571428578</v>
      </c>
      <c r="N15" s="13">
        <f>IF('Données projet'!$A$36&gt;35,N14+M15-V14,IF(A15&lt;'Données projet'!$A$36,$K$205^A15,IF(A15='Données projet'!$A$36,'Données projet'!$B$36,N14+M15-V14)))</f>
        <v>55.40571347806209</v>
      </c>
      <c r="O15" s="13">
        <f>N15*VLOOKUP('Données projet'!$B$9,Paramètres!$A$1:$I$89,3,0)*VLOOKUP('Données projet'!$B$9,Paramètres!$A$1:$I$89,5,0)</f>
        <v>33.13261665988113</v>
      </c>
      <c r="P15" s="13">
        <f t="shared" si="33"/>
        <v>10.158978308481325</v>
      </c>
      <c r="Q15" s="20">
        <f t="shared" si="2"/>
        <v>75.39952790323126</v>
      </c>
      <c r="R15" s="59">
        <f t="shared" si="0"/>
        <v>272.42930535596412</v>
      </c>
      <c r="S15" s="59">
        <f ca="1">AVERAGE(OFFSET($R$3,0,0,'Données projet'!$E$9+1,1))-AVERAGE(OFFSET($H$3,0,0,'Données projet'!$E$9+1,1))</f>
        <v>297.34058997955685</v>
      </c>
      <c r="T15" s="59">
        <f t="shared" si="34"/>
        <v>440.06633724144069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0</v>
      </c>
      <c r="AI15" s="13">
        <f>IF('Données projet'!$A$62&gt;35,AI14+AH15-AQ14,IF(A15&lt;'Données projet'!$A$62,$AF$205^A15,IF(A15='Données projet'!$A$62,'Données projet'!$B$62,AI14+AH15-AQ14)))</f>
        <v>0</v>
      </c>
      <c r="AJ15" s="13" t="e">
        <f>AI15*VLOOKUP('Données projet'!$B$10,Paramètres!$A$1:$I$89,3,0)*VLOOKUP('Données projet'!$B$10,Paramètres!$A$1:$I$89,5,0)</f>
        <v>#N/A</v>
      </c>
      <c r="AK15" s="13" t="e">
        <f t="shared" si="35"/>
        <v>#N/A</v>
      </c>
      <c r="AL15" s="20" t="e">
        <f t="shared" si="4"/>
        <v>#N/A</v>
      </c>
      <c r="AM15" s="59" t="e">
        <f t="shared" si="5"/>
        <v>#N/A</v>
      </c>
      <c r="AN15" s="59" t="e">
        <f ca="1">AVERAGE(OFFSET($AM$3,0,0,'Données projet'!$E$10+1,1))-AVERAGE(OFFSET($H$3,0,0,'Données projet'!$E$10+1,1))</f>
        <v>#N/A</v>
      </c>
      <c r="AO15" s="59" t="e">
        <f t="shared" si="36"/>
        <v>#N/A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 t="e">
        <f>EXP(-LN(2)/35)*AU14+(1-EXP(-LN(2)/35))/(LN(2)/35)*AQ15*AR15*VLOOKUP('Données projet'!$B$10,Paramètres!$A$1:$I$89,3,0)*0.475*44/12</f>
        <v>#N/A</v>
      </c>
      <c r="AV15" s="21" t="e">
        <f>EXP(-LN(2)/25)*AV14+(1-EXP(-LN(2)/25))/(LN(2)/25)*Calculateur!AQ15*Calculateur!AS15*VLOOKUP('Données projet'!$B$10,Paramètres!$A$1:$I$89,3,0)*0.475*44/12</f>
        <v>#N/A</v>
      </c>
      <c r="AW15" s="21" t="e">
        <f>EXP(-LN(2)/2)*AW14+(1-EXP(-LN(2)/2))/(LN(2)/2)*AQ15*AT15*VLOOKUP('Données projet'!$B$10,Paramètres!$A$1:$I$89,3,0)*0.475*44/12</f>
        <v>#N/A</v>
      </c>
      <c r="AX15" s="21" t="e">
        <f t="shared" si="6"/>
        <v>#N/A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3">
        <f>'Scénario référence'!$B$16*5+'Scénario référence'!$B$17*0+'Scénario référence'!$B$18*5</f>
        <v>5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67">
        <f t="shared" si="1"/>
        <v>183.33333333333334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7.7271428571428578</v>
      </c>
      <c r="N16" s="13">
        <f>IF('Données projet'!$A$36&gt;35,N15+M16-V15,IF(A16&lt;'Données projet'!$A$36,$K$205^A16,IF(A16='Données projet'!$A$36,'Données projet'!$B$36,N15+M16-V15)))</f>
        <v>77.419571711917584</v>
      </c>
      <c r="O16" s="13">
        <f>N16*VLOOKUP('Données projet'!$B$9,Paramètres!$A$1:$I$89,3,0)*VLOOKUP('Données projet'!$B$9,Paramètres!$A$1:$I$89,5,0)</f>
        <v>46.296903883726721</v>
      </c>
      <c r="P16" s="13">
        <f t="shared" si="33"/>
        <v>13.653178447754749</v>
      </c>
      <c r="Q16" s="20">
        <f t="shared" si="2"/>
        <v>104.41306006066355</v>
      </c>
      <c r="R16" s="59">
        <f t="shared" si="0"/>
        <v>303.95406031228237</v>
      </c>
      <c r="S16" s="59">
        <f ca="1">AVERAGE(OFFSET($R$3,0,0,'Données projet'!$E$9+1,1))-AVERAGE(OFFSET($H$3,0,0,'Données projet'!$E$9+1,1))</f>
        <v>297.34058997955685</v>
      </c>
      <c r="T16" s="59">
        <f t="shared" si="34"/>
        <v>440.06633724144069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0</v>
      </c>
      <c r="AI16" s="13">
        <f>IF('Données projet'!$A$62&gt;35,AI15+AH16-AQ15,IF(A16&lt;'Données projet'!$A$62,$AF$205^A16,IF(A16='Données projet'!$A$62,'Données projet'!$B$62,AI15+AH16-AQ15)))</f>
        <v>0</v>
      </c>
      <c r="AJ16" s="13" t="e">
        <f>AI16*VLOOKUP('Données projet'!$B$10,Paramètres!$A$1:$I$89,3,0)*VLOOKUP('Données projet'!$B$10,Paramètres!$A$1:$I$89,5,0)</f>
        <v>#N/A</v>
      </c>
      <c r="AK16" s="13" t="e">
        <f t="shared" si="35"/>
        <v>#N/A</v>
      </c>
      <c r="AL16" s="20" t="e">
        <f t="shared" si="4"/>
        <v>#N/A</v>
      </c>
      <c r="AM16" s="59" t="e">
        <f t="shared" si="5"/>
        <v>#N/A</v>
      </c>
      <c r="AN16" s="59" t="e">
        <f ca="1">AVERAGE(OFFSET($AM$3,0,0,'Données projet'!$E$10+1,1))-AVERAGE(OFFSET($H$3,0,0,'Données projet'!$E$10+1,1))</f>
        <v>#N/A</v>
      </c>
      <c r="AO16" s="59" t="e">
        <f t="shared" si="36"/>
        <v>#N/A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 t="e">
        <f>EXP(-LN(2)/35)*AU15+(1-EXP(-LN(2)/35))/(LN(2)/35)*AQ16*AR16*VLOOKUP('Données projet'!$B$10,Paramètres!$A$1:$I$89,3,0)*0.475*44/12</f>
        <v>#N/A</v>
      </c>
      <c r="AV16" s="21" t="e">
        <f>EXP(-LN(2)/25)*AV15+(1-EXP(-LN(2)/25))/(LN(2)/25)*Calculateur!AQ16*Calculateur!AS16*VLOOKUP('Données projet'!$B$10,Paramètres!$A$1:$I$89,3,0)*0.475*44/12</f>
        <v>#N/A</v>
      </c>
      <c r="AW16" s="21" t="e">
        <f>EXP(-LN(2)/2)*AW15+(1-EXP(-LN(2)/2))/(LN(2)/2)*AQ16*AT16*VLOOKUP('Données projet'!$B$10,Paramètres!$A$1:$I$89,3,0)*0.475*44/12</f>
        <v>#N/A</v>
      </c>
      <c r="AX16" s="21" t="e">
        <f t="shared" si="6"/>
        <v>#N/A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3">
        <f>'Scénario référence'!$B$16*5+'Scénario référence'!$B$17*0+'Scénario référence'!$B$18*5</f>
        <v>5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67">
        <f t="shared" si="1"/>
        <v>183.33333333333334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>
        <f>VLOOKUP(A17,'Données projet'!$A$35:$I$55,2,0)</f>
        <v>108.18</v>
      </c>
      <c r="L17" s="12">
        <f>VLOOKUP(A17,'Données projet'!$A$35:$I$55,9,0)</f>
        <v>7.7271428571428578</v>
      </c>
      <c r="M17" s="12">
        <f t="array" ref="M17">INDEX(L:L,MIN(IF(ISNUMBER(L17:L213),ROW(L17:L213),"")))</f>
        <v>7.7271428571428578</v>
      </c>
      <c r="N17" s="13">
        <f>IF('Données projet'!$A$36&gt;35,N16+M17-V16,IF(A17&lt;'Données projet'!$A$36,$K$205^A17,IF(A17='Données projet'!$A$36,'Données projet'!$B$36,N16+M17-V16)))</f>
        <v>108.18</v>
      </c>
      <c r="O17" s="13">
        <f>N17*VLOOKUP('Données projet'!$B$9,Paramètres!$A$1:$I$89,3,0)*VLOOKUP('Données projet'!$B$9,Paramètres!$A$1:$I$89,5,0)</f>
        <v>64.691640000000007</v>
      </c>
      <c r="P17" s="13">
        <f t="shared" si="33"/>
        <v>18.349215449215929</v>
      </c>
      <c r="Q17" s="20">
        <f t="shared" si="2"/>
        <v>144.62948990738442</v>
      </c>
      <c r="R17" s="59">
        <f t="shared" si="0"/>
        <v>346.65935167965762</v>
      </c>
      <c r="S17" s="59">
        <f ca="1">AVERAGE(OFFSET($R$3,0,0,'Données projet'!$E$9+1,1))-AVERAGE(OFFSET($H$3,0,0,'Données projet'!$E$9+1,1))</f>
        <v>297.34058997955685</v>
      </c>
      <c r="T17" s="59">
        <f t="shared" si="34"/>
        <v>440.06633724144069</v>
      </c>
      <c r="U17" s="15">
        <f>IF(ISNA(VLOOKUP(A17,'Données projet'!$A$35:$I$55,3,0)),0,VLOOKUP(A17,'Données projet'!$A$35:$I$55,3,0))</f>
        <v>1</v>
      </c>
      <c r="V17" s="15">
        <f>IF(ISNA(VLOOKUP(A17,'Données projet'!$A$35:$I$55,4,0)),0,VLOOKUP(A17,'Données projet'!$A$35:$I$55,4,0))</f>
        <v>34.25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0.45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12.17837301020951</v>
      </c>
      <c r="AB17" s="21">
        <f>EXP(-LN(2)/2)*AB16+(1-EXP(-LN(2)/2))/(LN(2)/2)*V17*Y17*VLOOKUP('Données projet'!$B$9,Paramètres!$A$1:$I$89,3,0)*0.475*44/12</f>
        <v>0</v>
      </c>
      <c r="AC17" s="22">
        <f t="shared" si="3"/>
        <v>12.17837301020951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0</v>
      </c>
      <c r="AI17" s="13">
        <f>IF('Données projet'!$A$62&gt;35,AI16+AH17-AQ16,IF(A17&lt;'Données projet'!$A$62,$AF$205^A17,IF(A17='Données projet'!$A$62,'Données projet'!$B$62,AI16+AH17-AQ16)))</f>
        <v>0</v>
      </c>
      <c r="AJ17" s="13" t="e">
        <f>AI17*VLOOKUP('Données projet'!$B$10,Paramètres!$A$1:$I$89,3,0)*VLOOKUP('Données projet'!$B$10,Paramètres!$A$1:$I$89,5,0)</f>
        <v>#N/A</v>
      </c>
      <c r="AK17" s="13" t="e">
        <f t="shared" si="35"/>
        <v>#N/A</v>
      </c>
      <c r="AL17" s="20" t="e">
        <f t="shared" si="4"/>
        <v>#N/A</v>
      </c>
      <c r="AM17" s="59" t="e">
        <f t="shared" si="5"/>
        <v>#N/A</v>
      </c>
      <c r="AN17" s="59" t="e">
        <f ca="1">AVERAGE(OFFSET($AM$3,0,0,'Données projet'!$E$10+1,1))-AVERAGE(OFFSET($H$3,0,0,'Données projet'!$E$10+1,1))</f>
        <v>#N/A</v>
      </c>
      <c r="AO17" s="59" t="e">
        <f t="shared" si="36"/>
        <v>#N/A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 t="e">
        <f>EXP(-LN(2)/35)*AU16+(1-EXP(-LN(2)/35))/(LN(2)/35)*AQ17*AR17*VLOOKUP('Données projet'!$B$10,Paramètres!$A$1:$I$89,3,0)*0.475*44/12</f>
        <v>#N/A</v>
      </c>
      <c r="AV17" s="21" t="e">
        <f>EXP(-LN(2)/25)*AV16+(1-EXP(-LN(2)/25))/(LN(2)/25)*Calculateur!AQ17*Calculateur!AS17*VLOOKUP('Données projet'!$B$10,Paramètres!$A$1:$I$89,3,0)*0.475*44/12</f>
        <v>#N/A</v>
      </c>
      <c r="AW17" s="21" t="e">
        <f>EXP(-LN(2)/2)*AW16+(1-EXP(-LN(2)/2))/(LN(2)/2)*AQ17*AT17*VLOOKUP('Données projet'!$B$10,Paramètres!$A$1:$I$89,3,0)*0.475*44/12</f>
        <v>#N/A</v>
      </c>
      <c r="AX17" s="21" t="e">
        <f t="shared" si="6"/>
        <v>#N/A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3">
        <f>'Scénario référence'!$B$16*5+'Scénario référence'!$B$17*0+'Scénario référence'!$B$18*5</f>
        <v>5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67">
        <f t="shared" si="1"/>
        <v>183.33333333333334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21.968</v>
      </c>
      <c r="N18" s="13">
        <f>IF('Données projet'!$A$36&gt;35,N17+M18-V17,IF(A18&lt;'Données projet'!$A$36,$K$205^A18,IF(A18='Données projet'!$A$36,'Données projet'!$B$36,N17+M18-V17)))</f>
        <v>95.897999999999996</v>
      </c>
      <c r="O18" s="13">
        <f>N18*VLOOKUP('Données projet'!$B$9,Paramètres!$A$1:$I$89,3,0)*VLOOKUP('Données projet'!$B$9,Paramètres!$A$1:$I$89,5,0)</f>
        <v>57.347004000000005</v>
      </c>
      <c r="P18" s="13">
        <f t="shared" si="33"/>
        <v>16.49575316039088</v>
      </c>
      <c r="Q18" s="20">
        <f t="shared" si="2"/>
        <v>128.60946872101411</v>
      </c>
      <c r="R18" s="59">
        <f t="shared" si="0"/>
        <v>333.10621865389516</v>
      </c>
      <c r="S18" s="59">
        <f ca="1">AVERAGE(OFFSET($R$3,0,0,'Données projet'!$E$9+1,1))-AVERAGE(OFFSET($H$3,0,0,'Données projet'!$E$9+1,1))</f>
        <v>297.34058997955685</v>
      </c>
      <c r="T18" s="59">
        <f t="shared" si="34"/>
        <v>440.06633724144069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11.845354759812528</v>
      </c>
      <c r="AB18" s="21">
        <f>EXP(-LN(2)/2)*AB17+(1-EXP(-LN(2)/2))/(LN(2)/2)*V18*Y18*VLOOKUP('Données projet'!$B$9,Paramètres!$A$1:$I$89,3,0)*0.475*44/12</f>
        <v>0</v>
      </c>
      <c r="AC18" s="22">
        <f t="shared" si="3"/>
        <v>11.845354759812528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0</v>
      </c>
      <c r="AI18" s="13">
        <f>IF('Données projet'!$A$62&gt;35,AI17+AH18-AQ17,IF(A18&lt;'Données projet'!$A$62,$AF$205^A18,IF(A18='Données projet'!$A$62,'Données projet'!$B$62,AI17+AH18-AQ17)))</f>
        <v>0</v>
      </c>
      <c r="AJ18" s="13" t="e">
        <f>AI18*VLOOKUP('Données projet'!$B$10,Paramètres!$A$1:$I$89,3,0)*VLOOKUP('Données projet'!$B$10,Paramètres!$A$1:$I$89,5,0)</f>
        <v>#N/A</v>
      </c>
      <c r="AK18" s="13" t="e">
        <f t="shared" si="35"/>
        <v>#N/A</v>
      </c>
      <c r="AL18" s="20" t="e">
        <f t="shared" si="4"/>
        <v>#N/A</v>
      </c>
      <c r="AM18" s="59" t="e">
        <f t="shared" si="5"/>
        <v>#N/A</v>
      </c>
      <c r="AN18" s="59" t="e">
        <f ca="1">AVERAGE(OFFSET($AM$3,0,0,'Données projet'!$E$10+1,1))-AVERAGE(OFFSET($H$3,0,0,'Données projet'!$E$10+1,1))</f>
        <v>#N/A</v>
      </c>
      <c r="AO18" s="59" t="e">
        <f t="shared" si="36"/>
        <v>#N/A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 t="e">
        <f>EXP(-LN(2)/35)*AU17+(1-EXP(-LN(2)/35))/(LN(2)/35)*AQ18*AR18*VLOOKUP('Données projet'!$B$10,Paramètres!$A$1:$I$89,3,0)*0.475*44/12</f>
        <v>#N/A</v>
      </c>
      <c r="AV18" s="21" t="e">
        <f>EXP(-LN(2)/25)*AV17+(1-EXP(-LN(2)/25))/(LN(2)/25)*Calculateur!AQ18*Calculateur!AS18*VLOOKUP('Données projet'!$B$10,Paramètres!$A$1:$I$89,3,0)*0.475*44/12</f>
        <v>#N/A</v>
      </c>
      <c r="AW18" s="21" t="e">
        <f>EXP(-LN(2)/2)*AW17+(1-EXP(-LN(2)/2))/(LN(2)/2)*AQ18*AT18*VLOOKUP('Données projet'!$B$10,Paramètres!$A$1:$I$89,3,0)*0.475*44/12</f>
        <v>#N/A</v>
      </c>
      <c r="AX18" s="21" t="e">
        <f t="shared" si="6"/>
        <v>#N/A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3">
        <f>'Scénario référence'!$B$16*5+'Scénario référence'!$B$17*0+'Scénario référence'!$B$18*5</f>
        <v>5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67">
        <f t="shared" si="1"/>
        <v>183.33333333333334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21.968</v>
      </c>
      <c r="N19" s="13">
        <f>IF('Données projet'!$A$36&gt;35,N18+M19-V18,IF(A19&lt;'Données projet'!$A$36,$K$205^A19,IF(A19='Données projet'!$A$36,'Données projet'!$B$36,N18+M19-V18)))</f>
        <v>117.866</v>
      </c>
      <c r="O19" s="13">
        <f>N19*VLOOKUP('Données projet'!$B$9,Paramètres!$A$1:$I$89,3,0)*VLOOKUP('Données projet'!$B$9,Paramètres!$A$1:$I$89,5,0)</f>
        <v>70.483868000000001</v>
      </c>
      <c r="P19" s="13">
        <f t="shared" si="33"/>
        <v>19.793570832162988</v>
      </c>
      <c r="Q19" s="20">
        <f t="shared" si="2"/>
        <v>157.23320596601718</v>
      </c>
      <c r="R19" s="59">
        <f t="shared" si="0"/>
        <v>364.17525188813124</v>
      </c>
      <c r="S19" s="59">
        <f ca="1">AVERAGE(OFFSET($R$3,0,0,'Données projet'!$E$9+1,1))-AVERAGE(OFFSET($H$3,0,0,'Données projet'!$E$9+1,1))</f>
        <v>297.34058997955685</v>
      </c>
      <c r="T19" s="59">
        <f t="shared" si="34"/>
        <v>440.06633724144069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11.521442910985321</v>
      </c>
      <c r="AB19" s="21">
        <f>EXP(-LN(2)/2)*AB18+(1-EXP(-LN(2)/2))/(LN(2)/2)*V19*Y19*VLOOKUP('Données projet'!$B$9,Paramètres!$A$1:$I$89,3,0)*0.475*44/12</f>
        <v>0</v>
      </c>
      <c r="AC19" s="22">
        <f t="shared" si="3"/>
        <v>11.521442910985321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0</v>
      </c>
      <c r="AI19" s="13">
        <f>IF('Données projet'!$A$62&gt;35,AI18+AH19-AQ18,IF(A19&lt;'Données projet'!$A$62,$AF$205^A19,IF(A19='Données projet'!$A$62,'Données projet'!$B$62,AI18+AH19-AQ18)))</f>
        <v>0</v>
      </c>
      <c r="AJ19" s="13" t="e">
        <f>AI19*VLOOKUP('Données projet'!$B$10,Paramètres!$A$1:$I$89,3,0)*VLOOKUP('Données projet'!$B$10,Paramètres!$A$1:$I$89,5,0)</f>
        <v>#N/A</v>
      </c>
      <c r="AK19" s="13" t="e">
        <f t="shared" si="35"/>
        <v>#N/A</v>
      </c>
      <c r="AL19" s="20" t="e">
        <f t="shared" si="4"/>
        <v>#N/A</v>
      </c>
      <c r="AM19" s="59" t="e">
        <f t="shared" si="5"/>
        <v>#N/A</v>
      </c>
      <c r="AN19" s="59" t="e">
        <f ca="1">AVERAGE(OFFSET($AM$3,0,0,'Données projet'!$E$10+1,1))-AVERAGE(OFFSET($H$3,0,0,'Données projet'!$E$10+1,1))</f>
        <v>#N/A</v>
      </c>
      <c r="AO19" s="59" t="e">
        <f t="shared" si="36"/>
        <v>#N/A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 t="e">
        <f>EXP(-LN(2)/35)*AU18+(1-EXP(-LN(2)/35))/(LN(2)/35)*AQ19*AR19*VLOOKUP('Données projet'!$B$10,Paramètres!$A$1:$I$89,3,0)*0.475*44/12</f>
        <v>#N/A</v>
      </c>
      <c r="AV19" s="21" t="e">
        <f>EXP(-LN(2)/25)*AV18+(1-EXP(-LN(2)/25))/(LN(2)/25)*Calculateur!AQ19*Calculateur!AS19*VLOOKUP('Données projet'!$B$10,Paramètres!$A$1:$I$89,3,0)*0.475*44/12</f>
        <v>#N/A</v>
      </c>
      <c r="AW19" s="21" t="e">
        <f>EXP(-LN(2)/2)*AW18+(1-EXP(-LN(2)/2))/(LN(2)/2)*AQ19*AT19*VLOOKUP('Données projet'!$B$10,Paramètres!$A$1:$I$89,3,0)*0.475*44/12</f>
        <v>#N/A</v>
      </c>
      <c r="AX19" s="21" t="e">
        <f t="shared" si="6"/>
        <v>#N/A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3">
        <f>'Scénario référence'!$B$16*5+'Scénario référence'!$B$17*0+'Scénario référence'!$B$18*5</f>
        <v>5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67">
        <f t="shared" si="1"/>
        <v>183.33333333333334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21.968</v>
      </c>
      <c r="N20" s="13">
        <f>IF('Données projet'!$A$36&gt;35,N19+M20-V19,IF(A20&lt;'Données projet'!$A$36,$K$205^A20,IF(A20='Données projet'!$A$36,'Données projet'!$B$36,N19+M20-V19)))</f>
        <v>139.834</v>
      </c>
      <c r="O20" s="13">
        <f>N20*VLOOKUP('Données projet'!$B$9,Paramètres!$A$1:$I$89,3,0)*VLOOKUP('Données projet'!$B$9,Paramètres!$A$1:$I$89,5,0)</f>
        <v>83.620732000000004</v>
      </c>
      <c r="P20" s="13">
        <f t="shared" si="33"/>
        <v>23.020178365106418</v>
      </c>
      <c r="Q20" s="20">
        <f t="shared" si="2"/>
        <v>185.73291888589367</v>
      </c>
      <c r="R20" s="59">
        <f t="shared" si="0"/>
        <v>395.09904320176639</v>
      </c>
      <c r="S20" s="59">
        <f ca="1">AVERAGE(OFFSET($R$3,0,0,'Données projet'!$E$9+1,1))-AVERAGE(OFFSET($H$3,0,0,'Données projet'!$E$9+1,1))</f>
        <v>297.34058997955685</v>
      </c>
      <c r="T20" s="59">
        <f t="shared" si="34"/>
        <v>440.06633724144069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11.206388448698078</v>
      </c>
      <c r="AB20" s="21">
        <f>EXP(-LN(2)/2)*AB19+(1-EXP(-LN(2)/2))/(LN(2)/2)*V20*Y20*VLOOKUP('Données projet'!$B$9,Paramètres!$A$1:$I$89,3,0)*0.475*44/12</f>
        <v>0</v>
      </c>
      <c r="AC20" s="22">
        <f t="shared" si="3"/>
        <v>11.206388448698078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0</v>
      </c>
      <c r="AI20" s="13">
        <f>IF('Données projet'!$A$62&gt;35,AI19+AH20-AQ19,IF(A20&lt;'Données projet'!$A$62,$AF$205^A20,IF(A20='Données projet'!$A$62,'Données projet'!$B$62,AI19+AH20-AQ19)))</f>
        <v>0</v>
      </c>
      <c r="AJ20" s="13" t="e">
        <f>AI20*VLOOKUP('Données projet'!$B$10,Paramètres!$A$1:$I$89,3,0)*VLOOKUP('Données projet'!$B$10,Paramètres!$A$1:$I$89,5,0)</f>
        <v>#N/A</v>
      </c>
      <c r="AK20" s="13" t="e">
        <f t="shared" si="35"/>
        <v>#N/A</v>
      </c>
      <c r="AL20" s="20" t="e">
        <f t="shared" si="4"/>
        <v>#N/A</v>
      </c>
      <c r="AM20" s="59" t="e">
        <f t="shared" si="5"/>
        <v>#N/A</v>
      </c>
      <c r="AN20" s="59" t="e">
        <f ca="1">AVERAGE(OFFSET($AM$3,0,0,'Données projet'!$E$10+1,1))-AVERAGE(OFFSET($H$3,0,0,'Données projet'!$E$10+1,1))</f>
        <v>#N/A</v>
      </c>
      <c r="AO20" s="59" t="e">
        <f t="shared" si="36"/>
        <v>#N/A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 t="e">
        <f>EXP(-LN(2)/35)*AU19+(1-EXP(-LN(2)/35))/(LN(2)/35)*AQ20*AR20*VLOOKUP('Données projet'!$B$10,Paramètres!$A$1:$I$89,3,0)*0.475*44/12</f>
        <v>#N/A</v>
      </c>
      <c r="AV20" s="21" t="e">
        <f>EXP(-LN(2)/25)*AV19+(1-EXP(-LN(2)/25))/(LN(2)/25)*Calculateur!AQ20*Calculateur!AS20*VLOOKUP('Données projet'!$B$10,Paramètres!$A$1:$I$89,3,0)*0.475*44/12</f>
        <v>#N/A</v>
      </c>
      <c r="AW20" s="21" t="e">
        <f>EXP(-LN(2)/2)*AW19+(1-EXP(-LN(2)/2))/(LN(2)/2)*AQ20*AT20*VLOOKUP('Données projet'!$B$10,Paramètres!$A$1:$I$89,3,0)*0.475*44/12</f>
        <v>#N/A</v>
      </c>
      <c r="AX20" s="21" t="e">
        <f t="shared" si="6"/>
        <v>#N/A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3">
        <f>'Scénario référence'!$B$16*5+'Scénario référence'!$B$17*0+'Scénario référence'!$B$18*5</f>
        <v>5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67">
        <f t="shared" si="1"/>
        <v>183.33333333333334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21.968</v>
      </c>
      <c r="N21" s="13">
        <f>IF('Données projet'!$A$36&gt;35,N20+M21-V20,IF(A21&lt;'Données projet'!$A$36,$K$205^A21,IF(A21='Données projet'!$A$36,'Données projet'!$B$36,N20+M21-V20)))</f>
        <v>161.80199999999999</v>
      </c>
      <c r="O21" s="13">
        <f>N21*VLOOKUP('Données projet'!$B$9,Paramètres!$A$1:$I$89,3,0)*VLOOKUP('Données projet'!$B$9,Paramètres!$A$1:$I$89,5,0)</f>
        <v>96.757596000000007</v>
      </c>
      <c r="P21" s="13">
        <f t="shared" si="33"/>
        <v>26.188063921005639</v>
      </c>
      <c r="Q21" s="20">
        <f t="shared" si="2"/>
        <v>214.13035769575148</v>
      </c>
      <c r="R21" s="59">
        <f t="shared" si="0"/>
        <v>425.89971088775462</v>
      </c>
      <c r="S21" s="59">
        <f ca="1">AVERAGE(OFFSET($R$3,0,0,'Données projet'!$E$9+1,1))-AVERAGE(OFFSET($H$3,0,0,'Données projet'!$E$9+1,1))</f>
        <v>297.34058997955685</v>
      </c>
      <c r="T21" s="59">
        <f t="shared" si="34"/>
        <v>440.06633724144069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10.899949167250073</v>
      </c>
      <c r="AB21" s="21">
        <f>EXP(-LN(2)/2)*AB20+(1-EXP(-LN(2)/2))/(LN(2)/2)*V21*Y21*VLOOKUP('Données projet'!$B$9,Paramètres!$A$1:$I$89,3,0)*0.475*44/12</f>
        <v>0</v>
      </c>
      <c r="AC21" s="22">
        <f t="shared" si="3"/>
        <v>10.899949167250073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0</v>
      </c>
      <c r="AI21" s="13">
        <f>IF('Données projet'!$A$62&gt;35,AI20+AH21-AQ20,IF(A21&lt;'Données projet'!$A$62,$AF$205^A21,IF(A21='Données projet'!$A$62,'Données projet'!$B$62,AI20+AH21-AQ20)))</f>
        <v>0</v>
      </c>
      <c r="AJ21" s="13" t="e">
        <f>AI21*VLOOKUP('Données projet'!$B$10,Paramètres!$A$1:$I$89,3,0)*VLOOKUP('Données projet'!$B$10,Paramètres!$A$1:$I$89,5,0)</f>
        <v>#N/A</v>
      </c>
      <c r="AK21" s="13" t="e">
        <f t="shared" si="35"/>
        <v>#N/A</v>
      </c>
      <c r="AL21" s="20" t="e">
        <f t="shared" si="4"/>
        <v>#N/A</v>
      </c>
      <c r="AM21" s="59" t="e">
        <f t="shared" si="5"/>
        <v>#N/A</v>
      </c>
      <c r="AN21" s="59" t="e">
        <f ca="1">AVERAGE(OFFSET($AM$3,0,0,'Données projet'!$E$10+1,1))-AVERAGE(OFFSET($H$3,0,0,'Données projet'!$E$10+1,1))</f>
        <v>#N/A</v>
      </c>
      <c r="AO21" s="59" t="e">
        <f t="shared" si="36"/>
        <v>#N/A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 t="e">
        <f>EXP(-LN(2)/35)*AU20+(1-EXP(-LN(2)/35))/(LN(2)/35)*AQ21*AR21*VLOOKUP('Données projet'!$B$10,Paramètres!$A$1:$I$89,3,0)*0.475*44/12</f>
        <v>#N/A</v>
      </c>
      <c r="AV21" s="21" t="e">
        <f>EXP(-LN(2)/25)*AV20+(1-EXP(-LN(2)/25))/(LN(2)/25)*Calculateur!AQ21*Calculateur!AS21*VLOOKUP('Données projet'!$B$10,Paramètres!$A$1:$I$89,3,0)*0.475*44/12</f>
        <v>#N/A</v>
      </c>
      <c r="AW21" s="21" t="e">
        <f>EXP(-LN(2)/2)*AW20+(1-EXP(-LN(2)/2))/(LN(2)/2)*AQ21*AT21*VLOOKUP('Données projet'!$B$10,Paramètres!$A$1:$I$89,3,0)*0.475*44/12</f>
        <v>#N/A</v>
      </c>
      <c r="AX21" s="21" t="e">
        <f t="shared" si="6"/>
        <v>#N/A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3">
        <f>'Scénario référence'!$B$16*5+'Scénario référence'!$B$17*0+'Scénario référence'!$B$18*5</f>
        <v>5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67">
        <f t="shared" si="1"/>
        <v>183.33333333333334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>
        <f>VLOOKUP(A22,'Données projet'!$A$35:$I$55,2,0)</f>
        <v>183.77</v>
      </c>
      <c r="L22" s="12">
        <f>VLOOKUP(A22,'Données projet'!$A$35:$I$55,9,0)</f>
        <v>21.968</v>
      </c>
      <c r="M22" s="12">
        <f t="array" ref="M22">INDEX(L:L,MIN(IF(ISNUMBER(L22:L218),ROW(L22:L218),"")))</f>
        <v>21.968</v>
      </c>
      <c r="N22" s="13">
        <f>IF('Données projet'!$A$36&gt;35,N21+M22-V21,IF(A22&lt;'Données projet'!$A$36,$K$205^A22,IF(A22='Données projet'!$A$36,'Données projet'!$B$36,N21+M22-V21)))</f>
        <v>183.76999999999998</v>
      </c>
      <c r="O22" s="13">
        <f>N22*VLOOKUP('Données projet'!$B$9,Paramètres!$A$1:$I$89,3,0)*VLOOKUP('Données projet'!$B$9,Paramètres!$A$1:$I$89,5,0)</f>
        <v>109.89446</v>
      </c>
      <c r="P22" s="13">
        <f t="shared" si="33"/>
        <v>29.30611713635502</v>
      </c>
      <c r="Q22" s="20">
        <f t="shared" si="2"/>
        <v>242.44100517915163</v>
      </c>
      <c r="R22" s="59">
        <f t="shared" si="0"/>
        <v>456.59309942217516</v>
      </c>
      <c r="S22" s="59">
        <f ca="1">AVERAGE(OFFSET($R$3,0,0,'Données projet'!$E$9+1,1))-AVERAGE(OFFSET($H$3,0,0,'Données projet'!$E$9+1,1))</f>
        <v>297.34058997955685</v>
      </c>
      <c r="T22" s="59">
        <f t="shared" si="34"/>
        <v>440.06633724144069</v>
      </c>
      <c r="U22" s="15">
        <f>IF(ISNA(VLOOKUP(A22,'Données projet'!$A$35:$I$55,3,0)),0,VLOOKUP(A22,'Données projet'!$A$35:$I$55,3,0))</f>
        <v>2</v>
      </c>
      <c r="V22" s="15">
        <f>IF(ISNA(VLOOKUP(A22,'Données projet'!$A$35:$I$55,4,0)),0,VLOOKUP(A22,'Données projet'!$A$35:$I$55,4,0))</f>
        <v>59.5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0.45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31.75847909304531</v>
      </c>
      <c r="AB22" s="21">
        <f>EXP(-LN(2)/2)*AB21+(1-EXP(-LN(2)/2))/(LN(2)/2)*V22*Y22*VLOOKUP('Données projet'!$B$9,Paramètres!$A$1:$I$89,3,0)*0.475*44/12</f>
        <v>0</v>
      </c>
      <c r="AC22" s="22">
        <f t="shared" si="3"/>
        <v>31.75847909304531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0</v>
      </c>
      <c r="AI22" s="13">
        <f>IF('Données projet'!$A$62&gt;35,AI21+AH22-AQ21,IF(A22&lt;'Données projet'!$A$62,$AF$205^A22,IF(A22='Données projet'!$A$62,'Données projet'!$B$62,AI21+AH22-AQ21)))</f>
        <v>0</v>
      </c>
      <c r="AJ22" s="13" t="e">
        <f>AI22*VLOOKUP('Données projet'!$B$10,Paramètres!$A$1:$I$89,3,0)*VLOOKUP('Données projet'!$B$10,Paramètres!$A$1:$I$89,5,0)</f>
        <v>#N/A</v>
      </c>
      <c r="AK22" s="13" t="e">
        <f t="shared" si="35"/>
        <v>#N/A</v>
      </c>
      <c r="AL22" s="20" t="e">
        <f t="shared" si="4"/>
        <v>#N/A</v>
      </c>
      <c r="AM22" s="59" t="e">
        <f t="shared" si="5"/>
        <v>#N/A</v>
      </c>
      <c r="AN22" s="59" t="e">
        <f ca="1">AVERAGE(OFFSET($AM$3,0,0,'Données projet'!$E$10+1,1))-AVERAGE(OFFSET($H$3,0,0,'Données projet'!$E$10+1,1))</f>
        <v>#N/A</v>
      </c>
      <c r="AO22" s="59" t="e">
        <f t="shared" si="36"/>
        <v>#N/A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 t="e">
        <f>EXP(-LN(2)/35)*AU21+(1-EXP(-LN(2)/35))/(LN(2)/35)*AQ22*AR22*VLOOKUP('Données projet'!$B$10,Paramètres!$A$1:$I$89,3,0)*0.475*44/12</f>
        <v>#N/A</v>
      </c>
      <c r="AV22" s="21" t="e">
        <f>EXP(-LN(2)/25)*AV21+(1-EXP(-LN(2)/25))/(LN(2)/25)*Calculateur!AQ22*Calculateur!AS22*VLOOKUP('Données projet'!$B$10,Paramètres!$A$1:$I$89,3,0)*0.475*44/12</f>
        <v>#N/A</v>
      </c>
      <c r="AW22" s="21" t="e">
        <f>EXP(-LN(2)/2)*AW21+(1-EXP(-LN(2)/2))/(LN(2)/2)*AQ22*AT22*VLOOKUP('Données projet'!$B$10,Paramètres!$A$1:$I$89,3,0)*0.475*44/12</f>
        <v>#N/A</v>
      </c>
      <c r="AX22" s="21" t="e">
        <f t="shared" si="6"/>
        <v>#N/A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3">
        <f>'Scénario référence'!$B$16*5+'Scénario référence'!$B$17*0+'Scénario référence'!$B$18*5</f>
        <v>5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67">
        <f t="shared" si="1"/>
        <v>183.33333333333334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21.403333333333332</v>
      </c>
      <c r="N23" s="13">
        <f>IF('Données projet'!$A$36&gt;35,N22+M23-V22,IF(A23&lt;'Données projet'!$A$36,$K$205^A23,IF(A23='Données projet'!$A$36,'Données projet'!$B$36,N22+M23-V22)))</f>
        <v>145.67333333333332</v>
      </c>
      <c r="O23" s="13">
        <f>N23*VLOOKUP('Données projet'!$B$9,Paramètres!$A$1:$I$89,3,0)*VLOOKUP('Données projet'!$B$9,Paramètres!$A$1:$I$89,5,0)</f>
        <v>87.112653333333327</v>
      </c>
      <c r="P23" s="13">
        <f t="shared" si="33"/>
        <v>23.867550507152405</v>
      </c>
      <c r="Q23" s="20">
        <f t="shared" si="2"/>
        <v>193.29052168884596</v>
      </c>
      <c r="R23" s="59">
        <f t="shared" si="0"/>
        <v>409.8052245757417</v>
      </c>
      <c r="S23" s="59">
        <f ca="1">AVERAGE(OFFSET($R$3,0,0,'Données projet'!$E$9+1,1))-AVERAGE(OFFSET($H$3,0,0,'Données projet'!$E$9+1,1))</f>
        <v>297.34058997955685</v>
      </c>
      <c r="T23" s="59">
        <f t="shared" si="34"/>
        <v>440.06633724144069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30.890041812140154</v>
      </c>
      <c r="AB23" s="21">
        <f>EXP(-LN(2)/2)*AB22+(1-EXP(-LN(2)/2))/(LN(2)/2)*V23*Y23*VLOOKUP('Données projet'!$B$9,Paramètres!$A$1:$I$89,3,0)*0.475*44/12</f>
        <v>0</v>
      </c>
      <c r="AC23" s="22">
        <f t="shared" si="3"/>
        <v>30.890041812140154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0</v>
      </c>
      <c r="AI23" s="13">
        <f>IF('Données projet'!$A$62&gt;35,AI22+AH23-AQ22,IF(A23&lt;'Données projet'!$A$62,$AF$205^A23,IF(A23='Données projet'!$A$62,'Données projet'!$B$62,AI22+AH23-AQ22)))</f>
        <v>0</v>
      </c>
      <c r="AJ23" s="13" t="e">
        <f>AI23*VLOOKUP('Données projet'!$B$10,Paramètres!$A$1:$I$89,3,0)*VLOOKUP('Données projet'!$B$10,Paramètres!$A$1:$I$89,5,0)</f>
        <v>#N/A</v>
      </c>
      <c r="AK23" s="13" t="e">
        <f t="shared" si="35"/>
        <v>#N/A</v>
      </c>
      <c r="AL23" s="20" t="e">
        <f t="shared" si="4"/>
        <v>#N/A</v>
      </c>
      <c r="AM23" s="59" t="e">
        <f t="shared" si="5"/>
        <v>#N/A</v>
      </c>
      <c r="AN23" s="59" t="e">
        <f ca="1">AVERAGE(OFFSET($AM$3,0,0,'Données projet'!$E$10+1,1))-AVERAGE(OFFSET($H$3,0,0,'Données projet'!$E$10+1,1))</f>
        <v>#N/A</v>
      </c>
      <c r="AO23" s="59" t="e">
        <f t="shared" si="36"/>
        <v>#N/A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 t="e">
        <f>EXP(-LN(2)/35)*AU22+(1-EXP(-LN(2)/35))/(LN(2)/35)*AQ23*AR23*VLOOKUP('Données projet'!$B$10,Paramètres!$A$1:$I$89,3,0)*0.475*44/12</f>
        <v>#N/A</v>
      </c>
      <c r="AV23" s="21" t="e">
        <f>EXP(-LN(2)/25)*AV22+(1-EXP(-LN(2)/25))/(LN(2)/25)*Calculateur!AQ23*Calculateur!AS23*VLOOKUP('Données projet'!$B$10,Paramètres!$A$1:$I$89,3,0)*0.475*44/12</f>
        <v>#N/A</v>
      </c>
      <c r="AW23" s="21" t="e">
        <f>EXP(-LN(2)/2)*AW22+(1-EXP(-LN(2)/2))/(LN(2)/2)*AQ23*AT23*VLOOKUP('Données projet'!$B$10,Paramètres!$A$1:$I$89,3,0)*0.475*44/12</f>
        <v>#N/A</v>
      </c>
      <c r="AX23" s="21" t="e">
        <f t="shared" si="6"/>
        <v>#N/A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3">
        <f>'Scénario référence'!$B$16*5+'Scénario référence'!$B$17*0+'Scénario référence'!$B$18*5</f>
        <v>5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67">
        <f t="shared" si="1"/>
        <v>183.33333333333334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21.403333333333332</v>
      </c>
      <c r="N24" s="13">
        <f>IF('Données projet'!$A$36&gt;35,N23+M24-V23,IF(A24&lt;'Données projet'!$A$36,$K$205^A24,IF(A24='Données projet'!$A$36,'Données projet'!$B$36,N23+M24-V23)))</f>
        <v>167.07666666666665</v>
      </c>
      <c r="O24" s="13">
        <f>N24*VLOOKUP('Données projet'!$B$9,Paramètres!$A$1:$I$89,3,0)*VLOOKUP('Données projet'!$B$9,Paramètres!$A$1:$I$89,5,0)</f>
        <v>99.911846666666662</v>
      </c>
      <c r="P24" s="13">
        <f t="shared" si="33"/>
        <v>26.940995154457852</v>
      </c>
      <c r="Q24" s="20">
        <f t="shared" si="2"/>
        <v>220.93536617179186</v>
      </c>
      <c r="R24" s="59">
        <f t="shared" si="0"/>
        <v>439.79289454766626</v>
      </c>
      <c r="S24" s="59">
        <f ca="1">AVERAGE(OFFSET($R$3,0,0,'Données projet'!$E$9+1,1))-AVERAGE(OFFSET($H$3,0,0,'Données projet'!$E$9+1,1))</f>
        <v>297.34058997955685</v>
      </c>
      <c r="T24" s="59">
        <f t="shared" si="34"/>
        <v>440.06633724144069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30.045351994350483</v>
      </c>
      <c r="AB24" s="21">
        <f>EXP(-LN(2)/2)*AB23+(1-EXP(-LN(2)/2))/(LN(2)/2)*V24*Y24*VLOOKUP('Données projet'!$B$9,Paramètres!$A$1:$I$89,3,0)*0.475*44/12</f>
        <v>0</v>
      </c>
      <c r="AC24" s="22">
        <f t="shared" si="3"/>
        <v>30.045351994350483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0</v>
      </c>
      <c r="AI24" s="13">
        <f>IF('Données projet'!$A$62&gt;35,AI23+AH24-AQ23,IF(A24&lt;'Données projet'!$A$62,$AF$205^A24,IF(A24='Données projet'!$A$62,'Données projet'!$B$62,AI23+AH24-AQ23)))</f>
        <v>0</v>
      </c>
      <c r="AJ24" s="13" t="e">
        <f>AI24*VLOOKUP('Données projet'!$B$10,Paramètres!$A$1:$I$89,3,0)*VLOOKUP('Données projet'!$B$10,Paramètres!$A$1:$I$89,5,0)</f>
        <v>#N/A</v>
      </c>
      <c r="AK24" s="13" t="e">
        <f t="shared" si="35"/>
        <v>#N/A</v>
      </c>
      <c r="AL24" s="20" t="e">
        <f t="shared" si="4"/>
        <v>#N/A</v>
      </c>
      <c r="AM24" s="59" t="e">
        <f t="shared" si="5"/>
        <v>#N/A</v>
      </c>
      <c r="AN24" s="59" t="e">
        <f ca="1">AVERAGE(OFFSET($AM$3,0,0,'Données projet'!$E$10+1,1))-AVERAGE(OFFSET($H$3,0,0,'Données projet'!$E$10+1,1))</f>
        <v>#N/A</v>
      </c>
      <c r="AO24" s="59" t="e">
        <f t="shared" si="36"/>
        <v>#N/A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 t="e">
        <f>EXP(-LN(2)/35)*AU23+(1-EXP(-LN(2)/35))/(LN(2)/35)*AQ24*AR24*VLOOKUP('Données projet'!$B$10,Paramètres!$A$1:$I$89,3,0)*0.475*44/12</f>
        <v>#N/A</v>
      </c>
      <c r="AV24" s="21" t="e">
        <f>EXP(-LN(2)/25)*AV23+(1-EXP(-LN(2)/25))/(LN(2)/25)*Calculateur!AQ24*Calculateur!AS24*VLOOKUP('Données projet'!$B$10,Paramètres!$A$1:$I$89,3,0)*0.475*44/12</f>
        <v>#N/A</v>
      </c>
      <c r="AW24" s="21" t="e">
        <f>EXP(-LN(2)/2)*AW23+(1-EXP(-LN(2)/2))/(LN(2)/2)*AQ24*AT24*VLOOKUP('Données projet'!$B$10,Paramètres!$A$1:$I$89,3,0)*0.475*44/12</f>
        <v>#N/A</v>
      </c>
      <c r="AX24" s="21" t="e">
        <f t="shared" si="6"/>
        <v>#N/A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3">
        <f>'Scénario référence'!$B$16*5+'Scénario référence'!$B$17*0+'Scénario référence'!$B$18*5</f>
        <v>5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67">
        <f t="shared" si="1"/>
        <v>183.33333333333334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21.403333333333332</v>
      </c>
      <c r="N25" s="13">
        <f>IF('Données projet'!$A$36&gt;35,N24+M25-V24,IF(A25&lt;'Données projet'!$A$36,$K$205^A25,IF(A25='Données projet'!$A$36,'Données projet'!$B$36,N24+M25-V24)))</f>
        <v>188.48</v>
      </c>
      <c r="O25" s="13">
        <f>N25*VLOOKUP('Données projet'!$B$9,Paramètres!$A$1:$I$89,3,0)*VLOOKUP('Données projet'!$B$9,Paramètres!$A$1:$I$89,5,0)</f>
        <v>112.71104000000001</v>
      </c>
      <c r="P25" s="13">
        <f t="shared" si="33"/>
        <v>29.968818833735142</v>
      </c>
      <c r="Q25" s="20">
        <f t="shared" si="2"/>
        <v>248.50075413542206</v>
      </c>
      <c r="R25" s="59">
        <f t="shared" si="0"/>
        <v>469.68166803889045</v>
      </c>
      <c r="S25" s="59">
        <f ca="1">AVERAGE(OFFSET($R$3,0,0,'Données projet'!$E$9+1,1))-AVERAGE(OFFSET($H$3,0,0,'Données projet'!$E$9+1,1))</f>
        <v>297.34058997955685</v>
      </c>
      <c r="T25" s="59">
        <f t="shared" si="34"/>
        <v>440.06633724144069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29.223760264048579</v>
      </c>
      <c r="AB25" s="21">
        <f>EXP(-LN(2)/2)*AB24+(1-EXP(-LN(2)/2))/(LN(2)/2)*V25*Y25*VLOOKUP('Données projet'!$B$9,Paramètres!$A$1:$I$89,3,0)*0.475*44/12</f>
        <v>0</v>
      </c>
      <c r="AC25" s="22">
        <f t="shared" si="3"/>
        <v>29.223760264048579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0</v>
      </c>
      <c r="AI25" s="13">
        <f>IF('Données projet'!$A$62&gt;35,AI24+AH25-AQ24,IF(A25&lt;'Données projet'!$A$62,$AF$205^A25,IF(A25='Données projet'!$A$62,'Données projet'!$B$62,AI24+AH25-AQ24)))</f>
        <v>0</v>
      </c>
      <c r="AJ25" s="13" t="e">
        <f>AI25*VLOOKUP('Données projet'!$B$10,Paramètres!$A$1:$I$89,3,0)*VLOOKUP('Données projet'!$B$10,Paramètres!$A$1:$I$89,5,0)</f>
        <v>#N/A</v>
      </c>
      <c r="AK25" s="13" t="e">
        <f t="shared" si="35"/>
        <v>#N/A</v>
      </c>
      <c r="AL25" s="20" t="e">
        <f t="shared" si="4"/>
        <v>#N/A</v>
      </c>
      <c r="AM25" s="59" t="e">
        <f t="shared" si="5"/>
        <v>#N/A</v>
      </c>
      <c r="AN25" s="59" t="e">
        <f ca="1">AVERAGE(OFFSET($AM$3,0,0,'Données projet'!$E$10+1,1))-AVERAGE(OFFSET($H$3,0,0,'Données projet'!$E$10+1,1))</f>
        <v>#N/A</v>
      </c>
      <c r="AO25" s="59" t="e">
        <f t="shared" si="36"/>
        <v>#N/A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 t="e">
        <f>EXP(-LN(2)/35)*AU24+(1-EXP(-LN(2)/35))/(LN(2)/35)*AQ25*AR25*VLOOKUP('Données projet'!$B$10,Paramètres!$A$1:$I$89,3,0)*0.475*44/12</f>
        <v>#N/A</v>
      </c>
      <c r="AV25" s="21" t="e">
        <f>EXP(-LN(2)/25)*AV24+(1-EXP(-LN(2)/25))/(LN(2)/25)*Calculateur!AQ25*Calculateur!AS25*VLOOKUP('Données projet'!$B$10,Paramètres!$A$1:$I$89,3,0)*0.475*44/12</f>
        <v>#N/A</v>
      </c>
      <c r="AW25" s="21" t="e">
        <f>EXP(-LN(2)/2)*AW24+(1-EXP(-LN(2)/2))/(LN(2)/2)*AQ25*AT25*VLOOKUP('Données projet'!$B$10,Paramètres!$A$1:$I$89,3,0)*0.475*44/12</f>
        <v>#N/A</v>
      </c>
      <c r="AX25" s="21" t="e">
        <f t="shared" si="6"/>
        <v>#N/A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3">
        <f>'Scénario référence'!$B$16*5+'Scénario référence'!$B$17*0+'Scénario référence'!$B$18*5</f>
        <v>5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67">
        <f t="shared" si="1"/>
        <v>183.33333333333334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21.403333333333332</v>
      </c>
      <c r="N26" s="13">
        <f>IF('Données projet'!$A$36&gt;35,N25+M26-V25,IF(A26&lt;'Données projet'!$A$36,$K$205^A26,IF(A26='Données projet'!$A$36,'Données projet'!$B$36,N25+M26-V25)))</f>
        <v>209.88333333333333</v>
      </c>
      <c r="O26" s="13">
        <f>N26*VLOOKUP('Données projet'!$B$9,Paramètres!$A$1:$I$89,3,0)*VLOOKUP('Données projet'!$B$9,Paramètres!$A$1:$I$89,5,0)</f>
        <v>125.51023333333335</v>
      </c>
      <c r="P26" s="13">
        <f t="shared" si="33"/>
        <v>32.956793460624539</v>
      </c>
      <c r="Q26" s="20">
        <f t="shared" si="2"/>
        <v>275.99673833280997</v>
      </c>
      <c r="R26" s="59">
        <f t="shared" si="0"/>
        <v>499.48193504235644</v>
      </c>
      <c r="S26" s="59">
        <f ca="1">AVERAGE(OFFSET($R$3,0,0,'Données projet'!$E$9+1,1))-AVERAGE(OFFSET($H$3,0,0,'Données projet'!$E$9+1,1))</f>
        <v>297.34058997955685</v>
      </c>
      <c r="T26" s="59">
        <f t="shared" si="34"/>
        <v>440.06633724144069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28.424635002817411</v>
      </c>
      <c r="AB26" s="21">
        <f>EXP(-LN(2)/2)*AB25+(1-EXP(-LN(2)/2))/(LN(2)/2)*V26*Y26*VLOOKUP('Données projet'!$B$9,Paramètres!$A$1:$I$89,3,0)*0.475*44/12</f>
        <v>0</v>
      </c>
      <c r="AC26" s="22">
        <f t="shared" si="3"/>
        <v>28.424635002817411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0</v>
      </c>
      <c r="AI26" s="13">
        <f>IF('Données projet'!$A$62&gt;35,AI25+AH26-AQ25,IF(A26&lt;'Données projet'!$A$62,$AF$205^A26,IF(A26='Données projet'!$A$62,'Données projet'!$B$62,AI25+AH26-AQ25)))</f>
        <v>0</v>
      </c>
      <c r="AJ26" s="13" t="e">
        <f>AI26*VLOOKUP('Données projet'!$B$10,Paramètres!$A$1:$I$89,3,0)*VLOOKUP('Données projet'!$B$10,Paramètres!$A$1:$I$89,5,0)</f>
        <v>#N/A</v>
      </c>
      <c r="AK26" s="13" t="e">
        <f t="shared" si="35"/>
        <v>#N/A</v>
      </c>
      <c r="AL26" s="20" t="e">
        <f t="shared" si="4"/>
        <v>#N/A</v>
      </c>
      <c r="AM26" s="59" t="e">
        <f t="shared" si="5"/>
        <v>#N/A</v>
      </c>
      <c r="AN26" s="59" t="e">
        <f ca="1">AVERAGE(OFFSET($AM$3,0,0,'Données projet'!$E$10+1,1))-AVERAGE(OFFSET($H$3,0,0,'Données projet'!$E$10+1,1))</f>
        <v>#N/A</v>
      </c>
      <c r="AO26" s="59" t="e">
        <f t="shared" si="36"/>
        <v>#N/A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 t="e">
        <f>EXP(-LN(2)/35)*AU25+(1-EXP(-LN(2)/35))/(LN(2)/35)*AQ26*AR26*VLOOKUP('Données projet'!$B$10,Paramètres!$A$1:$I$89,3,0)*0.475*44/12</f>
        <v>#N/A</v>
      </c>
      <c r="AV26" s="21" t="e">
        <f>EXP(-LN(2)/25)*AV25+(1-EXP(-LN(2)/25))/(LN(2)/25)*Calculateur!AQ26*Calculateur!AS26*VLOOKUP('Données projet'!$B$10,Paramètres!$A$1:$I$89,3,0)*0.475*44/12</f>
        <v>#N/A</v>
      </c>
      <c r="AW26" s="21" t="e">
        <f>EXP(-LN(2)/2)*AW25+(1-EXP(-LN(2)/2))/(LN(2)/2)*AQ26*AT26*VLOOKUP('Données projet'!$B$10,Paramètres!$A$1:$I$89,3,0)*0.475*44/12</f>
        <v>#N/A</v>
      </c>
      <c r="AX26" s="21" t="e">
        <f t="shared" si="6"/>
        <v>#N/A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3">
        <f>'Scénario référence'!$B$16*5+'Scénario référence'!$B$17*0+'Scénario référence'!$B$18*5</f>
        <v>5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67">
        <f t="shared" si="1"/>
        <v>183.33333333333334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21.403333333333332</v>
      </c>
      <c r="N27" s="13">
        <f>IF('Données projet'!$A$36&gt;35,N26+M27-V26,IF(A27&lt;'Données projet'!$A$36,$K$205^A27,IF(A27='Données projet'!$A$36,'Données projet'!$B$36,N26+M27-V26)))</f>
        <v>231.28666666666666</v>
      </c>
      <c r="O27" s="13">
        <f>N27*VLOOKUP('Données projet'!$B$9,Paramètres!$A$1:$I$89,3,0)*VLOOKUP('Données projet'!$B$9,Paramètres!$A$1:$I$89,5,0)</f>
        <v>138.30942666666667</v>
      </c>
      <c r="P27" s="13">
        <f t="shared" si="33"/>
        <v>35.909445469885178</v>
      </c>
      <c r="Q27" s="20">
        <f t="shared" si="2"/>
        <v>303.43120230449443</v>
      </c>
      <c r="R27" s="59">
        <f t="shared" si="0"/>
        <v>529.20191048811421</v>
      </c>
      <c r="S27" s="59">
        <f ca="1">AVERAGE(OFFSET($R$3,0,0,'Données projet'!$E$9+1,1))-AVERAGE(OFFSET($H$3,0,0,'Données projet'!$E$9+1,1))</f>
        <v>297.34058997955685</v>
      </c>
      <c r="T27" s="59">
        <f t="shared" si="34"/>
        <v>440.06633724144069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27.647361863878778</v>
      </c>
      <c r="AB27" s="21">
        <f>EXP(-LN(2)/2)*AB26+(1-EXP(-LN(2)/2))/(LN(2)/2)*V27*Y27*VLOOKUP('Données projet'!$B$9,Paramètres!$A$1:$I$89,3,0)*0.475*44/12</f>
        <v>0</v>
      </c>
      <c r="AC27" s="22">
        <f t="shared" si="3"/>
        <v>27.647361863878778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0</v>
      </c>
      <c r="AI27" s="13">
        <f>IF('Données projet'!$A$62&gt;35,AI26+AH27-AQ26,IF(A27&lt;'Données projet'!$A$62,$AF$205^A27,IF(A27='Données projet'!$A$62,'Données projet'!$B$62,AI26+AH27-AQ26)))</f>
        <v>0</v>
      </c>
      <c r="AJ27" s="13" t="e">
        <f>AI27*VLOOKUP('Données projet'!$B$10,Paramètres!$A$1:$I$89,3,0)*VLOOKUP('Données projet'!$B$10,Paramètres!$A$1:$I$89,5,0)</f>
        <v>#N/A</v>
      </c>
      <c r="AK27" s="13" t="e">
        <f t="shared" si="35"/>
        <v>#N/A</v>
      </c>
      <c r="AL27" s="20" t="e">
        <f t="shared" si="4"/>
        <v>#N/A</v>
      </c>
      <c r="AM27" s="59" t="e">
        <f t="shared" si="5"/>
        <v>#N/A</v>
      </c>
      <c r="AN27" s="59" t="e">
        <f ca="1">AVERAGE(OFFSET($AM$3,0,0,'Données projet'!$E$10+1,1))-AVERAGE(OFFSET($H$3,0,0,'Données projet'!$E$10+1,1))</f>
        <v>#N/A</v>
      </c>
      <c r="AO27" s="59" t="e">
        <f t="shared" si="36"/>
        <v>#N/A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 t="e">
        <f>EXP(-LN(2)/35)*AU26+(1-EXP(-LN(2)/35))/(LN(2)/35)*AQ27*AR27*VLOOKUP('Données projet'!$B$10,Paramètres!$A$1:$I$89,3,0)*0.475*44/12</f>
        <v>#N/A</v>
      </c>
      <c r="AV27" s="21" t="e">
        <f>EXP(-LN(2)/25)*AV26+(1-EXP(-LN(2)/25))/(LN(2)/25)*Calculateur!AQ27*Calculateur!AS27*VLOOKUP('Données projet'!$B$10,Paramètres!$A$1:$I$89,3,0)*0.475*44/12</f>
        <v>#N/A</v>
      </c>
      <c r="AW27" s="21" t="e">
        <f>EXP(-LN(2)/2)*AW26+(1-EXP(-LN(2)/2))/(LN(2)/2)*AQ27*AT27*VLOOKUP('Données projet'!$B$10,Paramètres!$A$1:$I$89,3,0)*0.475*44/12</f>
        <v>#N/A</v>
      </c>
      <c r="AX27" s="21" t="e">
        <f t="shared" si="6"/>
        <v>#N/A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3">
        <f>'Scénario référence'!$B$16*5+'Scénario référence'!$B$17*0+'Scénario référence'!$B$18*5</f>
        <v>5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67">
        <f t="shared" si="1"/>
        <v>183.33333333333334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>
        <f>VLOOKUP(A28,'Données projet'!$A$35:$I$55,2,0)</f>
        <v>252.69</v>
      </c>
      <c r="L28" s="12">
        <f>VLOOKUP(A28,'Données projet'!$A$35:$I$55,9,0)</f>
        <v>21.403333333333332</v>
      </c>
      <c r="M28" s="12">
        <f t="array" ref="M28">INDEX(L:L,MIN(IF(ISNUMBER(L28:L224),ROW(L28:L224),"")))</f>
        <v>21.403333333333332</v>
      </c>
      <c r="N28" s="13">
        <f>IF('Données projet'!$A$36&gt;35,N27+M28-V27,IF(A28&lt;'Données projet'!$A$36,$K$205^A28,IF(A28='Données projet'!$A$36,'Données projet'!$B$36,N27+M28-V27)))</f>
        <v>252.69</v>
      </c>
      <c r="O28" s="13">
        <f>N28*VLOOKUP('Données projet'!$B$9,Paramètres!$A$1:$I$89,3,0)*VLOOKUP('Données projet'!$B$9,Paramètres!$A$1:$I$89,5,0)</f>
        <v>151.10862</v>
      </c>
      <c r="P28" s="13">
        <f t="shared" si="33"/>
        <v>38.830415421175942</v>
      </c>
      <c r="Q28" s="20">
        <f t="shared" si="2"/>
        <v>330.81048669188147</v>
      </c>
      <c r="R28" s="59">
        <f t="shared" si="0"/>
        <v>558.84826065821358</v>
      </c>
      <c r="S28" s="59">
        <f ca="1">AVERAGE(OFFSET($R$3,0,0,'Données projet'!$E$9+1,1))-AVERAGE(OFFSET($H$3,0,0,'Données projet'!$E$9+1,1))</f>
        <v>297.34058997955685</v>
      </c>
      <c r="T28" s="59">
        <f t="shared" si="34"/>
        <v>440.06633724144069</v>
      </c>
      <c r="U28" s="15">
        <f>IF(ISNA(VLOOKUP(A28,'Données projet'!$A$35:$I$55,3,0)),0,VLOOKUP(A28,'Données projet'!$A$35:$I$55,3,0))</f>
        <v>3</v>
      </c>
      <c r="V28" s="15">
        <f>IF(ISNA(VLOOKUP(A28,'Données projet'!$A$35:$I$55,4,0)),0,VLOOKUP(A28,'Données projet'!$A$35:$I$55,4,0))</f>
        <v>60.96</v>
      </c>
      <c r="W28" s="16">
        <f>IF(ISNA(VLOOKUP(A28,'Données projet'!$A$35:$I$55,5,0)),0%,VLOOKUP(A28,'Données projet'!$A$35:$I$55,5,0)*VLOOKUP('Données projet'!$B$9,Paramètres!$A$1:$I$89,7,0))</f>
        <v>4.5000000000000005E-2</v>
      </c>
      <c r="X28" s="16">
        <f>IF(ISNA(VLOOKUP(A28,'Données projet'!$A$35:$I$55,6,0)),0%,VLOOKUP(A28,'Données projet'!$A$35:$I$55,6,0)*VLOOKUP('Données projet'!$B$9,Paramètres!$A$1:$I$89,7,0))</f>
        <v>0.36000000000000004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2.1761409052687246</v>
      </c>
      <c r="AA28" s="21">
        <f>EXP(-LN(2)/25)*AA27+(1-EXP(-LN(2)/25))/(LN(2)/25)*Calculateur!V28*Calculateur!X28*VLOOKUP('Données projet'!$B$9,Paramètres!$A$1:$I$89,3,0)*0.475*44/12</f>
        <v>44.231924174599371</v>
      </c>
      <c r="AB28" s="21">
        <f>EXP(-LN(2)/2)*AB27+(1-EXP(-LN(2)/2))/(LN(2)/2)*V28*Y28*VLOOKUP('Données projet'!$B$9,Paramètres!$A$1:$I$89,3,0)*0.475*44/12</f>
        <v>0</v>
      </c>
      <c r="AC28" s="22">
        <f t="shared" si="3"/>
        <v>46.408065079868095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0</v>
      </c>
      <c r="AI28" s="13">
        <f>IF('Données projet'!$A$62&gt;35,AI27+AH28-AQ27,IF(A28&lt;'Données projet'!$A$62,$AF$205^A28,IF(A28='Données projet'!$A$62,'Données projet'!$B$62,AI27+AH28-AQ27)))</f>
        <v>0</v>
      </c>
      <c r="AJ28" s="13" t="e">
        <f>AI28*VLOOKUP('Données projet'!$B$10,Paramètres!$A$1:$I$89,3,0)*VLOOKUP('Données projet'!$B$10,Paramètres!$A$1:$I$89,5,0)</f>
        <v>#N/A</v>
      </c>
      <c r="AK28" s="13" t="e">
        <f t="shared" si="35"/>
        <v>#N/A</v>
      </c>
      <c r="AL28" s="20" t="e">
        <f t="shared" si="4"/>
        <v>#N/A</v>
      </c>
      <c r="AM28" s="59" t="e">
        <f t="shared" si="5"/>
        <v>#N/A</v>
      </c>
      <c r="AN28" s="59" t="e">
        <f ca="1">AVERAGE(OFFSET($AM$3,0,0,'Données projet'!$E$10+1,1))-AVERAGE(OFFSET($H$3,0,0,'Données projet'!$E$10+1,1))</f>
        <v>#N/A</v>
      </c>
      <c r="AO28" s="59" t="e">
        <f t="shared" si="36"/>
        <v>#N/A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 t="e">
        <f>EXP(-LN(2)/35)*AU27+(1-EXP(-LN(2)/35))/(LN(2)/35)*AQ28*AR28*VLOOKUP('Données projet'!$B$10,Paramètres!$A$1:$I$89,3,0)*0.475*44/12</f>
        <v>#N/A</v>
      </c>
      <c r="AV28" s="21" t="e">
        <f>EXP(-LN(2)/25)*AV27+(1-EXP(-LN(2)/25))/(LN(2)/25)*Calculateur!AQ28*Calculateur!AS28*VLOOKUP('Données projet'!$B$10,Paramètres!$A$1:$I$89,3,0)*0.475*44/12</f>
        <v>#N/A</v>
      </c>
      <c r="AW28" s="21" t="e">
        <f>EXP(-LN(2)/2)*AW27+(1-EXP(-LN(2)/2))/(LN(2)/2)*AQ28*AT28*VLOOKUP('Données projet'!$B$10,Paramètres!$A$1:$I$89,3,0)*0.475*44/12</f>
        <v>#N/A</v>
      </c>
      <c r="AX28" s="21" t="e">
        <f t="shared" si="6"/>
        <v>#N/A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3">
        <f>'Scénario référence'!$B$16*5+'Scénario référence'!$B$17*0+'Scénario référence'!$B$18*5</f>
        <v>5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67">
        <f t="shared" si="1"/>
        <v>183.33333333333334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20.575714285714287</v>
      </c>
      <c r="N29" s="13">
        <f>IF('Données projet'!$A$36&gt;35,N28+M29-V28,IF(A29&lt;'Données projet'!$A$36,$K$205^A29,IF(A29='Données projet'!$A$36,'Données projet'!$B$36,N28+M29-V28)))</f>
        <v>212.30571428571429</v>
      </c>
      <c r="O29" s="13">
        <f>N29*VLOOKUP('Données projet'!$B$9,Paramètres!$A$1:$I$89,3,0)*VLOOKUP('Données projet'!$B$9,Paramètres!$A$1:$I$89,5,0)</f>
        <v>126.95881714285716</v>
      </c>
      <c r="P29" s="13">
        <f t="shared" si="33"/>
        <v>33.292666057268733</v>
      </c>
      <c r="Q29" s="20">
        <f t="shared" si="2"/>
        <v>279.10466657355261</v>
      </c>
      <c r="R29" s="59">
        <f t="shared" si="0"/>
        <v>509.39138062274276</v>
      </c>
      <c r="S29" s="59">
        <f ca="1">AVERAGE(OFFSET($R$3,0,0,'Données projet'!$E$9+1,1))-AVERAGE(OFFSET($H$3,0,0,'Données projet'!$E$9+1,1))</f>
        <v>297.34058997955685</v>
      </c>
      <c r="T29" s="59">
        <f t="shared" si="34"/>
        <v>440.06633724144069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2.1334681094312957</v>
      </c>
      <c r="AA29" s="21">
        <f>EXP(-LN(2)/25)*AA28+(1-EXP(-LN(2)/25))/(LN(2)/25)*Calculateur!V29*Calculateur!X29*VLOOKUP('Données projet'!$B$9,Paramètres!$A$1:$I$89,3,0)*0.475*44/12</f>
        <v>43.022399881989152</v>
      </c>
      <c r="AB29" s="21">
        <f>EXP(-LN(2)/2)*AB28+(1-EXP(-LN(2)/2))/(LN(2)/2)*V29*Y29*VLOOKUP('Données projet'!$B$9,Paramètres!$A$1:$I$89,3,0)*0.475*44/12</f>
        <v>0</v>
      </c>
      <c r="AC29" s="22">
        <f t="shared" si="3"/>
        <v>45.15586799142045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0</v>
      </c>
      <c r="AI29" s="13">
        <f>IF('Données projet'!$A$62&gt;35,AI28+AH29-AQ28,IF(A29&lt;'Données projet'!$A$62,$AF$205^A29,IF(A29='Données projet'!$A$62,'Données projet'!$B$62,AI28+AH29-AQ28)))</f>
        <v>0</v>
      </c>
      <c r="AJ29" s="13" t="e">
        <f>AI29*VLOOKUP('Données projet'!$B$10,Paramètres!$A$1:$I$89,3,0)*VLOOKUP('Données projet'!$B$10,Paramètres!$A$1:$I$89,5,0)</f>
        <v>#N/A</v>
      </c>
      <c r="AK29" s="13" t="e">
        <f t="shared" si="35"/>
        <v>#N/A</v>
      </c>
      <c r="AL29" s="20" t="e">
        <f t="shared" si="4"/>
        <v>#N/A</v>
      </c>
      <c r="AM29" s="59" t="e">
        <f t="shared" si="5"/>
        <v>#N/A</v>
      </c>
      <c r="AN29" s="59" t="e">
        <f ca="1">AVERAGE(OFFSET($AM$3,0,0,'Données projet'!$E$10+1,1))-AVERAGE(OFFSET($H$3,0,0,'Données projet'!$E$10+1,1))</f>
        <v>#N/A</v>
      </c>
      <c r="AO29" s="59" t="e">
        <f t="shared" si="36"/>
        <v>#N/A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 t="e">
        <f>EXP(-LN(2)/35)*AU28+(1-EXP(-LN(2)/35))/(LN(2)/35)*AQ29*AR29*VLOOKUP('Données projet'!$B$10,Paramètres!$A$1:$I$89,3,0)*0.475*44/12</f>
        <v>#N/A</v>
      </c>
      <c r="AV29" s="21" t="e">
        <f>EXP(-LN(2)/25)*AV28+(1-EXP(-LN(2)/25))/(LN(2)/25)*Calculateur!AQ29*Calculateur!AS29*VLOOKUP('Données projet'!$B$10,Paramètres!$A$1:$I$89,3,0)*0.475*44/12</f>
        <v>#N/A</v>
      </c>
      <c r="AW29" s="21" t="e">
        <f>EXP(-LN(2)/2)*AW28+(1-EXP(-LN(2)/2))/(LN(2)/2)*AQ29*AT29*VLOOKUP('Données projet'!$B$10,Paramètres!$A$1:$I$89,3,0)*0.475*44/12</f>
        <v>#N/A</v>
      </c>
      <c r="AX29" s="21" t="e">
        <f t="shared" si="6"/>
        <v>#N/A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3">
        <f>'Scénario référence'!$B$16*5+'Scénario référence'!$B$17*0+'Scénario référence'!$B$18*5</f>
        <v>5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67">
        <f t="shared" si="1"/>
        <v>183.33333333333334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20.575714285714287</v>
      </c>
      <c r="N30" s="13">
        <f>IF('Données projet'!$A$36&gt;35,N29+M30-V29,IF(A30&lt;'Données projet'!$A$36,$K$205^A30,IF(A30='Données projet'!$A$36,'Données projet'!$B$36,N29+M30-V29)))</f>
        <v>232.88142857142859</v>
      </c>
      <c r="O30" s="13">
        <f>N30*VLOOKUP('Données projet'!$B$9,Paramètres!$A$1:$I$89,3,0)*VLOOKUP('Données projet'!$B$9,Paramètres!$A$1:$I$89,5,0)</f>
        <v>139.26309428571432</v>
      </c>
      <c r="P30" s="13">
        <f t="shared" si="33"/>
        <v>36.128138927166717</v>
      </c>
      <c r="Q30" s="20">
        <f t="shared" si="2"/>
        <v>305.47306451243452</v>
      </c>
      <c r="R30" s="59">
        <f t="shared" si="0"/>
        <v>537.99090738499808</v>
      </c>
      <c r="S30" s="59">
        <f ca="1">AVERAGE(OFFSET($R$3,0,0,'Données projet'!$E$9+1,1))-AVERAGE(OFFSET($H$3,0,0,'Données projet'!$E$9+1,1))</f>
        <v>297.34058997955685</v>
      </c>
      <c r="T30" s="59">
        <f t="shared" si="34"/>
        <v>440.06633724144069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2.0916321010924035</v>
      </c>
      <c r="AA30" s="21">
        <f>EXP(-LN(2)/25)*AA29+(1-EXP(-LN(2)/25))/(LN(2)/25)*Calculateur!V30*Calculateur!X30*VLOOKUP('Données projet'!$B$9,Paramètres!$A$1:$I$89,3,0)*0.475*44/12</f>
        <v>41.845950094766479</v>
      </c>
      <c r="AB30" s="21">
        <f>EXP(-LN(2)/2)*AB29+(1-EXP(-LN(2)/2))/(LN(2)/2)*V30*Y30*VLOOKUP('Données projet'!$B$9,Paramètres!$A$1:$I$89,3,0)*0.475*44/12</f>
        <v>0</v>
      </c>
      <c r="AC30" s="22">
        <f t="shared" si="3"/>
        <v>43.93758219585888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0</v>
      </c>
      <c r="AI30" s="13">
        <f>IF('Données projet'!$A$62&gt;35,AI29+AH30-AQ29,IF(A30&lt;'Données projet'!$A$62,$AF$205^A30,IF(A30='Données projet'!$A$62,'Données projet'!$B$62,AI29+AH30-AQ29)))</f>
        <v>0</v>
      </c>
      <c r="AJ30" s="13" t="e">
        <f>AI30*VLOOKUP('Données projet'!$B$10,Paramètres!$A$1:$I$89,3,0)*VLOOKUP('Données projet'!$B$10,Paramètres!$A$1:$I$89,5,0)</f>
        <v>#N/A</v>
      </c>
      <c r="AK30" s="13" t="e">
        <f t="shared" si="35"/>
        <v>#N/A</v>
      </c>
      <c r="AL30" s="20" t="e">
        <f t="shared" si="4"/>
        <v>#N/A</v>
      </c>
      <c r="AM30" s="59" t="e">
        <f t="shared" si="5"/>
        <v>#N/A</v>
      </c>
      <c r="AN30" s="59" t="e">
        <f ca="1">AVERAGE(OFFSET($AM$3,0,0,'Données projet'!$E$10+1,1))-AVERAGE(OFFSET($H$3,0,0,'Données projet'!$E$10+1,1))</f>
        <v>#N/A</v>
      </c>
      <c r="AO30" s="59" t="e">
        <f t="shared" si="36"/>
        <v>#N/A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 t="e">
        <f>EXP(-LN(2)/35)*AU29+(1-EXP(-LN(2)/35))/(LN(2)/35)*AQ30*AR30*VLOOKUP('Données projet'!$B$10,Paramètres!$A$1:$I$89,3,0)*0.475*44/12</f>
        <v>#N/A</v>
      </c>
      <c r="AV30" s="21" t="e">
        <f>EXP(-LN(2)/25)*AV29+(1-EXP(-LN(2)/25))/(LN(2)/25)*Calculateur!AQ30*Calculateur!AS30*VLOOKUP('Données projet'!$B$10,Paramètres!$A$1:$I$89,3,0)*0.475*44/12</f>
        <v>#N/A</v>
      </c>
      <c r="AW30" s="21" t="e">
        <f>EXP(-LN(2)/2)*AW29+(1-EXP(-LN(2)/2))/(LN(2)/2)*AQ30*AT30*VLOOKUP('Données projet'!$B$10,Paramètres!$A$1:$I$89,3,0)*0.475*44/12</f>
        <v>#N/A</v>
      </c>
      <c r="AX30" s="21" t="e">
        <f t="shared" si="6"/>
        <v>#N/A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3">
        <f>'Scénario référence'!$B$16*5+'Scénario référence'!$B$17*0+'Scénario référence'!$B$18*5</f>
        <v>5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67">
        <f t="shared" si="1"/>
        <v>183.33333333333334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20.575714285714287</v>
      </c>
      <c r="N31" s="13">
        <f>IF('Données projet'!$A$36&gt;35,N30+M31-V30,IF(A31&lt;'Données projet'!$A$36,$K$205^A31,IF(A31='Données projet'!$A$36,'Données projet'!$B$36,N30+M31-V30)))</f>
        <v>253.45714285714288</v>
      </c>
      <c r="O31" s="13">
        <f>N31*VLOOKUP('Données projet'!$B$9,Paramètres!$A$1:$I$89,3,0)*VLOOKUP('Données projet'!$B$9,Paramètres!$A$1:$I$89,5,0)</f>
        <v>151.56737142857145</v>
      </c>
      <c r="P31" s="13">
        <f t="shared" si="33"/>
        <v>38.934560626064055</v>
      </c>
      <c r="Q31" s="20">
        <f t="shared" si="2"/>
        <v>331.79086499515682</v>
      </c>
      <c r="R31" s="59">
        <f t="shared" si="0"/>
        <v>566.52233441714088</v>
      </c>
      <c r="S31" s="59">
        <f ca="1">AVERAGE(OFFSET($R$3,0,0,'Données projet'!$E$9+1,1))-AVERAGE(OFFSET($H$3,0,0,'Données projet'!$E$9+1,1))</f>
        <v>297.34058997955685</v>
      </c>
      <c r="T31" s="59">
        <f t="shared" si="34"/>
        <v>440.06633724144069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2.0506164713595911</v>
      </c>
      <c r="AA31" s="21">
        <f>EXP(-LN(2)/25)*AA30+(1-EXP(-LN(2)/25))/(LN(2)/25)*Calculateur!V31*Calculateur!X31*VLOOKUP('Données projet'!$B$9,Paramètres!$A$1:$I$89,3,0)*0.475*44/12</f>
        <v>40.701670388842217</v>
      </c>
      <c r="AB31" s="21">
        <f>EXP(-LN(2)/2)*AB30+(1-EXP(-LN(2)/2))/(LN(2)/2)*V31*Y31*VLOOKUP('Données projet'!$B$9,Paramètres!$A$1:$I$89,3,0)*0.475*44/12</f>
        <v>0</v>
      </c>
      <c r="AC31" s="22">
        <f t="shared" si="3"/>
        <v>42.752286860201806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0</v>
      </c>
      <c r="AI31" s="13">
        <f>IF('Données projet'!$A$62&gt;35,AI30+AH31-AQ30,IF(A31&lt;'Données projet'!$A$62,$AF$205^A31,IF(A31='Données projet'!$A$62,'Données projet'!$B$62,AI30+AH31-AQ30)))</f>
        <v>0</v>
      </c>
      <c r="AJ31" s="13" t="e">
        <f>AI31*VLOOKUP('Données projet'!$B$10,Paramètres!$A$1:$I$89,3,0)*VLOOKUP('Données projet'!$B$10,Paramètres!$A$1:$I$89,5,0)</f>
        <v>#N/A</v>
      </c>
      <c r="AK31" s="13" t="e">
        <f t="shared" si="35"/>
        <v>#N/A</v>
      </c>
      <c r="AL31" s="20" t="e">
        <f t="shared" si="4"/>
        <v>#N/A</v>
      </c>
      <c r="AM31" s="59" t="e">
        <f t="shared" si="5"/>
        <v>#N/A</v>
      </c>
      <c r="AN31" s="59" t="e">
        <f ca="1">AVERAGE(OFFSET($AM$3,0,0,'Données projet'!$E$10+1,1))-AVERAGE(OFFSET($H$3,0,0,'Données projet'!$E$10+1,1))</f>
        <v>#N/A</v>
      </c>
      <c r="AO31" s="59" t="e">
        <f t="shared" si="36"/>
        <v>#N/A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 t="e">
        <f>EXP(-LN(2)/35)*AU30+(1-EXP(-LN(2)/35))/(LN(2)/35)*AQ31*AR31*VLOOKUP('Données projet'!$B$10,Paramètres!$A$1:$I$89,3,0)*0.475*44/12</f>
        <v>#N/A</v>
      </c>
      <c r="AV31" s="21" t="e">
        <f>EXP(-LN(2)/25)*AV30+(1-EXP(-LN(2)/25))/(LN(2)/25)*Calculateur!AQ31*Calculateur!AS31*VLOOKUP('Données projet'!$B$10,Paramètres!$A$1:$I$89,3,0)*0.475*44/12</f>
        <v>#N/A</v>
      </c>
      <c r="AW31" s="21" t="e">
        <f>EXP(-LN(2)/2)*AW30+(1-EXP(-LN(2)/2))/(LN(2)/2)*AQ31*AT31*VLOOKUP('Données projet'!$B$10,Paramètres!$A$1:$I$89,3,0)*0.475*44/12</f>
        <v>#N/A</v>
      </c>
      <c r="AX31" s="21" t="e">
        <f t="shared" si="6"/>
        <v>#N/A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3">
        <f>'Scénario référence'!$B$16*5+'Scénario référence'!$B$17*0+'Scénario référence'!$B$18*5</f>
        <v>5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67">
        <f t="shared" si="1"/>
        <v>183.33333333333334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20.575714285714287</v>
      </c>
      <c r="N32" s="13">
        <f>IF('Données projet'!$A$36&gt;35,N31+M32-V31,IF(A32&lt;'Données projet'!$A$36,$K$205^A32,IF(A32='Données projet'!$A$36,'Données projet'!$B$36,N31+M32-V31)))</f>
        <v>274.03285714285715</v>
      </c>
      <c r="O32" s="13">
        <f>N32*VLOOKUP('Données projet'!$B$9,Paramètres!$A$1:$I$89,3,0)*VLOOKUP('Données projet'!$B$9,Paramètres!$A$1:$I$89,5,0)</f>
        <v>163.87164857142858</v>
      </c>
      <c r="P32" s="13">
        <f t="shared" si="33"/>
        <v>41.714557659402736</v>
      </c>
      <c r="Q32" s="20">
        <f t="shared" si="2"/>
        <v>358.06264251869788</v>
      </c>
      <c r="R32" s="59">
        <f t="shared" si="0"/>
        <v>594.99053984147372</v>
      </c>
      <c r="S32" s="59">
        <f ca="1">AVERAGE(OFFSET($R$3,0,0,'Données projet'!$E$9+1,1))-AVERAGE(OFFSET($H$3,0,0,'Données projet'!$E$9+1,1))</f>
        <v>297.34058997955685</v>
      </c>
      <c r="T32" s="59">
        <f t="shared" si="34"/>
        <v>440.06633724144069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2.0104051331087756</v>
      </c>
      <c r="AA32" s="21">
        <f>EXP(-LN(2)/25)*AA31+(1-EXP(-LN(2)/25))/(LN(2)/25)*Calculateur!V32*Calculateur!X32*VLOOKUP('Données projet'!$B$9,Paramètres!$A$1:$I$89,3,0)*0.475*44/12</f>
        <v>39.588681071651507</v>
      </c>
      <c r="AB32" s="21">
        <f>EXP(-LN(2)/2)*AB31+(1-EXP(-LN(2)/2))/(LN(2)/2)*V32*Y32*VLOOKUP('Données projet'!$B$9,Paramètres!$A$1:$I$89,3,0)*0.475*44/12</f>
        <v>0</v>
      </c>
      <c r="AC32" s="22">
        <f t="shared" si="3"/>
        <v>41.599086204760283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0</v>
      </c>
      <c r="AI32" s="13">
        <f>IF('Données projet'!$A$62&gt;35,AI31+AH32-AQ31,IF(A32&lt;'Données projet'!$A$62,$AF$205^A32,IF(A32='Données projet'!$A$62,'Données projet'!$B$62,AI31+AH32-AQ31)))</f>
        <v>0</v>
      </c>
      <c r="AJ32" s="13" t="e">
        <f>AI32*VLOOKUP('Données projet'!$B$10,Paramètres!$A$1:$I$89,3,0)*VLOOKUP('Données projet'!$B$10,Paramètres!$A$1:$I$89,5,0)</f>
        <v>#N/A</v>
      </c>
      <c r="AK32" s="13" t="e">
        <f t="shared" si="35"/>
        <v>#N/A</v>
      </c>
      <c r="AL32" s="20" t="e">
        <f t="shared" si="4"/>
        <v>#N/A</v>
      </c>
      <c r="AM32" s="59" t="e">
        <f t="shared" si="5"/>
        <v>#N/A</v>
      </c>
      <c r="AN32" s="59" t="e">
        <f ca="1">AVERAGE(OFFSET($AM$3,0,0,'Données projet'!$E$10+1,1))-AVERAGE(OFFSET($H$3,0,0,'Données projet'!$E$10+1,1))</f>
        <v>#N/A</v>
      </c>
      <c r="AO32" s="59" t="e">
        <f t="shared" si="36"/>
        <v>#N/A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 t="e">
        <f>EXP(-LN(2)/35)*AU31+(1-EXP(-LN(2)/35))/(LN(2)/35)*AQ32*AR32*VLOOKUP('Données projet'!$B$10,Paramètres!$A$1:$I$89,3,0)*0.475*44/12</f>
        <v>#N/A</v>
      </c>
      <c r="AV32" s="21" t="e">
        <f>EXP(-LN(2)/25)*AV31+(1-EXP(-LN(2)/25))/(LN(2)/25)*Calculateur!AQ32*Calculateur!AS32*VLOOKUP('Données projet'!$B$10,Paramètres!$A$1:$I$89,3,0)*0.475*44/12</f>
        <v>#N/A</v>
      </c>
      <c r="AW32" s="21" t="e">
        <f>EXP(-LN(2)/2)*AW31+(1-EXP(-LN(2)/2))/(LN(2)/2)*AQ32*AT32*VLOOKUP('Données projet'!$B$10,Paramètres!$A$1:$I$89,3,0)*0.475*44/12</f>
        <v>#N/A</v>
      </c>
      <c r="AX32" s="21" t="e">
        <f t="shared" si="6"/>
        <v>#N/A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3">
        <f>'Scénario référence'!$B$16*5+'Scénario référence'!$B$17*0+'Scénario référence'!$B$18*5</f>
        <v>5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67">
        <f t="shared" si="1"/>
        <v>183.33333333333334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20.575714285714287</v>
      </c>
      <c r="N33" s="13">
        <f>IF('Données projet'!$A$36&gt;35,N32+M33-V32,IF(A33&lt;'Données projet'!$A$36,$K$205^A33,IF(A33='Données projet'!$A$36,'Données projet'!$B$36,N32+M33-V32)))</f>
        <v>294.60857142857145</v>
      </c>
      <c r="O33" s="13">
        <f>N33*VLOOKUP('Données projet'!$B$9,Paramètres!$A$1:$I$89,3,0)*VLOOKUP('Données projet'!$B$9,Paramètres!$A$1:$I$89,5,0)</f>
        <v>176.17592571428574</v>
      </c>
      <c r="P33" s="13">
        <f t="shared" si="33"/>
        <v>44.470339725943226</v>
      </c>
      <c r="Q33" s="20">
        <f t="shared" si="2"/>
        <v>384.29224564173211</v>
      </c>
      <c r="R33" s="59">
        <f t="shared" si="0"/>
        <v>623.39967057477406</v>
      </c>
      <c r="S33" s="59">
        <f ca="1">AVERAGE(OFFSET($R$3,0,0,'Données projet'!$E$9+1,1))-AVERAGE(OFFSET($H$3,0,0,'Données projet'!$E$9+1,1))</f>
        <v>297.34058997955685</v>
      </c>
      <c r="T33" s="59">
        <f t="shared" si="34"/>
        <v>440.06633724144069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1.970982314674564</v>
      </c>
      <c r="AA33" s="21">
        <f>EXP(-LN(2)/25)*AA32+(1-EXP(-LN(2)/25))/(LN(2)/25)*Calculateur!V33*Calculateur!X33*VLOOKUP('Données projet'!$B$9,Paramètres!$A$1:$I$89,3,0)*0.475*44/12</f>
        <v>38.506126505868941</v>
      </c>
      <c r="AB33" s="21">
        <f>EXP(-LN(2)/2)*AB32+(1-EXP(-LN(2)/2))/(LN(2)/2)*V33*Y33*VLOOKUP('Données projet'!$B$9,Paramètres!$A$1:$I$89,3,0)*0.475*44/12</f>
        <v>0</v>
      </c>
      <c r="AC33" s="22">
        <f t="shared" si="3"/>
        <v>40.477108820543506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0</v>
      </c>
      <c r="AI33" s="13">
        <f>IF('Données projet'!$A$62&gt;35,AI32+AH33-AQ32,IF(A33&lt;'Données projet'!$A$62,$AF$205^A33,IF(A33='Données projet'!$A$62,'Données projet'!$B$62,AI32+AH33-AQ32)))</f>
        <v>0</v>
      </c>
      <c r="AJ33" s="13" t="e">
        <f>AI33*VLOOKUP('Données projet'!$B$10,Paramètres!$A$1:$I$89,3,0)*VLOOKUP('Données projet'!$B$10,Paramètres!$A$1:$I$89,5,0)</f>
        <v>#N/A</v>
      </c>
      <c r="AK33" s="13" t="e">
        <f t="shared" si="35"/>
        <v>#N/A</v>
      </c>
      <c r="AL33" s="20" t="e">
        <f t="shared" si="4"/>
        <v>#N/A</v>
      </c>
      <c r="AM33" s="59" t="e">
        <f t="shared" si="5"/>
        <v>#N/A</v>
      </c>
      <c r="AN33" s="59" t="e">
        <f ca="1">AVERAGE(OFFSET($AM$3,0,0,'Données projet'!$E$10+1,1))-AVERAGE(OFFSET($H$3,0,0,'Données projet'!$E$10+1,1))</f>
        <v>#N/A</v>
      </c>
      <c r="AO33" s="59" t="e">
        <f t="shared" si="36"/>
        <v>#N/A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 t="e">
        <f>EXP(-LN(2)/35)*AU32+(1-EXP(-LN(2)/35))/(LN(2)/35)*AQ33*AR33*VLOOKUP('Données projet'!$B$10,Paramètres!$A$1:$I$89,3,0)*0.475*44/12</f>
        <v>#N/A</v>
      </c>
      <c r="AV33" s="21" t="e">
        <f>EXP(-LN(2)/25)*AV32+(1-EXP(-LN(2)/25))/(LN(2)/25)*Calculateur!AQ33*Calculateur!AS33*VLOOKUP('Données projet'!$B$10,Paramètres!$A$1:$I$89,3,0)*0.475*44/12</f>
        <v>#N/A</v>
      </c>
      <c r="AW33" s="21" t="e">
        <f>EXP(-LN(2)/2)*AW32+(1-EXP(-LN(2)/2))/(LN(2)/2)*AQ33*AT33*VLOOKUP('Données projet'!$B$10,Paramètres!$A$1:$I$89,3,0)*0.475*44/12</f>
        <v>#N/A</v>
      </c>
      <c r="AX33" s="21" t="e">
        <f t="shared" si="6"/>
        <v>#N/A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3">
        <f>'Scénario référence'!$B$16*5+'Scénario référence'!$B$17*0+'Scénario référence'!$B$18*5</f>
        <v>5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67">
        <f t="shared" si="1"/>
        <v>183.33333333333334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20.575714285714287</v>
      </c>
      <c r="N34" s="13">
        <f>IF('Données projet'!$A$36&gt;35,N33+M34-V33,IF(A34&lt;'Données projet'!$A$36,$K$205^A34,IF(A34='Données projet'!$A$36,'Données projet'!$B$36,N33+M34-V33)))</f>
        <v>315.18428571428575</v>
      </c>
      <c r="O34" s="13">
        <f>N34*VLOOKUP('Données projet'!$B$9,Paramètres!$A$1:$I$89,3,0)*VLOOKUP('Données projet'!$B$9,Paramètres!$A$1:$I$89,5,0)</f>
        <v>188.4802028571429</v>
      </c>
      <c r="P34" s="13">
        <f t="shared" si="33"/>
        <v>47.203790390431891</v>
      </c>
      <c r="Q34" s="20">
        <f t="shared" si="2"/>
        <v>410.48295490619279</v>
      </c>
      <c r="R34" s="59">
        <f t="shared" si="0"/>
        <v>650.53107811901032</v>
      </c>
      <c r="S34" s="59">
        <f ca="1">AVERAGE(OFFSET($R$3,0,0,'Données projet'!$E$9+1,1))-AVERAGE(OFFSET($H$3,0,0,'Données projet'!$E$9+1,1))</f>
        <v>297.34058997955685</v>
      </c>
      <c r="T34" s="59">
        <f t="shared" si="34"/>
        <v>440.06633724144069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1.9323325536643023</v>
      </c>
      <c r="AA34" s="21">
        <f>EXP(-LN(2)/25)*AA33+(1-EXP(-LN(2)/25))/(LN(2)/25)*Calculateur!V34*Calculateur!X34*VLOOKUP('Données projet'!$B$9,Paramètres!$A$1:$I$89,3,0)*0.475*44/12</f>
        <v>37.453174451616768</v>
      </c>
      <c r="AB34" s="21">
        <f>EXP(-LN(2)/2)*AB33+(1-EXP(-LN(2)/2))/(LN(2)/2)*V34*Y34*VLOOKUP('Données projet'!$B$9,Paramètres!$A$1:$I$89,3,0)*0.475*44/12</f>
        <v>0</v>
      </c>
      <c r="AC34" s="22">
        <f t="shared" si="3"/>
        <v>39.38550700528107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0</v>
      </c>
      <c r="AJ34" s="13" t="e">
        <f>AI34*VLOOKUP('Données projet'!$B$10,Paramètres!$A$1:$I$89,3,0)*VLOOKUP('Données projet'!$B$10,Paramètres!$A$1:$I$89,5,0)</f>
        <v>#N/A</v>
      </c>
      <c r="AK34" s="13" t="e">
        <f t="shared" si="35"/>
        <v>#N/A</v>
      </c>
      <c r="AL34" s="20" t="e">
        <f t="shared" si="4"/>
        <v>#N/A</v>
      </c>
      <c r="AM34" s="59" t="e">
        <f t="shared" si="5"/>
        <v>#N/A</v>
      </c>
      <c r="AN34" s="59" t="e">
        <f ca="1">AVERAGE(OFFSET($AM$3,0,0,'Données projet'!$E$10+1,1))-AVERAGE(OFFSET($H$3,0,0,'Données projet'!$E$10+1,1))</f>
        <v>#N/A</v>
      </c>
      <c r="AO34" s="59" t="e">
        <f t="shared" si="36"/>
        <v>#N/A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 t="e">
        <f>EXP(-LN(2)/35)*AU33+(1-EXP(-LN(2)/35))/(LN(2)/35)*AQ34*AR34*VLOOKUP('Données projet'!$B$10,Paramètres!$A$1:$I$89,3,0)*0.475*44/12</f>
        <v>#N/A</v>
      </c>
      <c r="AV34" s="21" t="e">
        <f>EXP(-LN(2)/25)*AV33+(1-EXP(-LN(2)/25))/(LN(2)/25)*Calculateur!AQ34*Calculateur!AS34*VLOOKUP('Données projet'!$B$10,Paramètres!$A$1:$I$89,3,0)*0.475*44/12</f>
        <v>#N/A</v>
      </c>
      <c r="AW34" s="21" t="e">
        <f>EXP(-LN(2)/2)*AW33+(1-EXP(-LN(2)/2))/(LN(2)/2)*AQ34*AT34*VLOOKUP('Données projet'!$B$10,Paramètres!$A$1:$I$89,3,0)*0.475*44/12</f>
        <v>#N/A</v>
      </c>
      <c r="AX34" s="21" t="e">
        <f t="shared" si="6"/>
        <v>#N/A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3">
        <f>'Scénario référence'!$B$16*5+'Scénario référence'!$B$17*0+'Scénario référence'!$B$18*5</f>
        <v>5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67">
        <f t="shared" si="1"/>
        <v>183.33333333333334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>
        <f>VLOOKUP(A35,'Données projet'!$A$35:$I$55,2,0)</f>
        <v>335.76</v>
      </c>
      <c r="L35" s="12">
        <f>VLOOKUP(A35,'Données projet'!$A$35:$I$55,9,0)</f>
        <v>20.575714285714287</v>
      </c>
      <c r="M35" s="12">
        <f t="array" ref="M35">INDEX(L:L,MIN(IF(ISNUMBER(L35:L231),ROW(L35:L231),"")))</f>
        <v>20.575714285714287</v>
      </c>
      <c r="N35" s="13">
        <f>IF('Données projet'!$A$36&gt;35,N34+M35-V34,IF(A35&lt;'Données projet'!$A$36,$K$205^A35,IF(A35='Données projet'!$A$36,'Données projet'!$B$36,N34+M35-V34)))</f>
        <v>335.76000000000005</v>
      </c>
      <c r="O35" s="13">
        <f>N35*VLOOKUP('Données projet'!$B$9,Paramètres!$A$1:$I$89,3,0)*VLOOKUP('Données projet'!$B$9,Paramètres!$A$1:$I$89,5,0)</f>
        <v>200.78448000000006</v>
      </c>
      <c r="P35" s="13">
        <f t="shared" si="33"/>
        <v>49.916533385625819</v>
      </c>
      <c r="Q35" s="20">
        <f t="shared" ref="Q35:Q66" si="53">(O35+P35)*0.475*44/12</f>
        <v>436.63759831329838</v>
      </c>
      <c r="R35" s="59">
        <f t="shared" si="0"/>
        <v>677.61010079382368</v>
      </c>
      <c r="S35" s="59">
        <f ca="1">AVERAGE(OFFSET($R$3,0,0,'Données projet'!$E$9+1,1))-AVERAGE(OFFSET($H$3,0,0,'Données projet'!$E$9+1,1))</f>
        <v>297.34058997955685</v>
      </c>
      <c r="T35" s="59">
        <f t="shared" si="34"/>
        <v>440.06633724144069</v>
      </c>
      <c r="U35" s="15">
        <f>IF(ISNA(VLOOKUP(A35,'Données projet'!$A$35:$I$55,3,0)),0,VLOOKUP(A35,'Données projet'!$A$35:$I$55,3,0))</f>
        <v>4</v>
      </c>
      <c r="V35" s="15">
        <f>IF(ISNA(VLOOKUP(A35,'Données projet'!$A$35:$I$55,4,0)),0,VLOOKUP(A35,'Données projet'!$A$35:$I$55,4,0))</f>
        <v>76.42</v>
      </c>
      <c r="W35" s="16">
        <f>IF(ISNA(VLOOKUP(A35,'Données projet'!$A$35:$I$55,5,0)),0%,VLOOKUP(A35,'Données projet'!$A$35:$I$55,5,0)*VLOOKUP('Données projet'!$B$9,Paramètres!$A$1:$I$89,7,0))</f>
        <v>0.13500000000000001</v>
      </c>
      <c r="X35" s="16">
        <f>IF(ISNA(VLOOKUP(A35,'Données projet'!$A$35:$I$55,6,0)),0%,VLOOKUP(A35,'Données projet'!$A$35:$I$55,6,0)*VLOOKUP('Données projet'!$B$9,Paramètres!$A$1:$I$89,7,0))</f>
        <v>0.22500000000000001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10.078529666318422</v>
      </c>
      <c r="AA35" s="21">
        <f>EXP(-LN(2)/25)*AA34+(1-EXP(-LN(2)/25))/(LN(2)/25)*Calculateur!V35*Calculateur!X35*VLOOKUP('Données projet'!$B$9,Paramètres!$A$1:$I$89,3,0)*0.475*44/12</f>
        <v>50.015457257904416</v>
      </c>
      <c r="AB35" s="21">
        <f>EXP(-LN(2)/2)*AB34+(1-EXP(-LN(2)/2))/(LN(2)/2)*V35*Y35*VLOOKUP('Données projet'!$B$9,Paramètres!$A$1:$I$89,3,0)*0.475*44/12</f>
        <v>0</v>
      </c>
      <c r="AC35" s="22">
        <f t="shared" si="3"/>
        <v>60.09398692422284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0</v>
      </c>
      <c r="AJ35" s="13" t="e">
        <f>AI35*VLOOKUP('Données projet'!$B$10,Paramètres!$A$1:$I$89,3,0)*VLOOKUP('Données projet'!$B$10,Paramètres!$A$1:$I$89,5,0)</f>
        <v>#N/A</v>
      </c>
      <c r="AK35" s="13" t="e">
        <f t="shared" si="35"/>
        <v>#N/A</v>
      </c>
      <c r="AL35" s="20" t="e">
        <f t="shared" si="4"/>
        <v>#N/A</v>
      </c>
      <c r="AM35" s="59" t="e">
        <f t="shared" si="5"/>
        <v>#N/A</v>
      </c>
      <c r="AN35" s="59" t="e">
        <f ca="1">AVERAGE(OFFSET($AM$3,0,0,'Données projet'!$E$10+1,1))-AVERAGE(OFFSET($H$3,0,0,'Données projet'!$E$10+1,1))</f>
        <v>#N/A</v>
      </c>
      <c r="AO35" s="59" t="e">
        <f t="shared" si="36"/>
        <v>#N/A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 t="e">
        <f>EXP(-LN(2)/35)*AU34+(1-EXP(-LN(2)/35))/(LN(2)/35)*AQ35*AR35*VLOOKUP('Données projet'!$B$10,Paramètres!$A$1:$I$89,3,0)*0.475*44/12</f>
        <v>#N/A</v>
      </c>
      <c r="AV35" s="21" t="e">
        <f>EXP(-LN(2)/25)*AV34+(1-EXP(-LN(2)/25))/(LN(2)/25)*Calculateur!AQ35*Calculateur!AS35*VLOOKUP('Données projet'!$B$10,Paramètres!$A$1:$I$89,3,0)*0.475*44/12</f>
        <v>#N/A</v>
      </c>
      <c r="AW35" s="21" t="e">
        <f>EXP(-LN(2)/2)*AW34+(1-EXP(-LN(2)/2))/(LN(2)/2)*AQ35*AT35*VLOOKUP('Données projet'!$B$10,Paramètres!$A$1:$I$89,3,0)*0.475*44/12</f>
        <v>#N/A</v>
      </c>
      <c r="AX35" s="21" t="e">
        <f t="shared" si="6"/>
        <v>#N/A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3">
        <f>'Scénario référence'!$B$16*5+'Scénario référence'!$B$17*0+'Scénario référence'!$B$18*5</f>
        <v>5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3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67">
        <f t="shared" si="1"/>
        <v>183.33333333333334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18.811538461538461</v>
      </c>
      <c r="N36" s="13">
        <f>IF('Données projet'!$A$36&gt;35,N35+M36-V35,IF(A36&lt;'Données projet'!$A$36,$K$205^A36,IF(A36='Données projet'!$A$36,'Données projet'!$B$36,N35+M36-V35)))</f>
        <v>278.15153846153851</v>
      </c>
      <c r="O36" s="13">
        <f>N36*VLOOKUP('Données projet'!$B$9,Paramètres!$A$1:$I$89,3,0)*VLOOKUP('Données projet'!$B$9,Paramètres!$A$1:$I$89,5,0)</f>
        <v>166.33462000000006</v>
      </c>
      <c r="P36" s="13">
        <f t="shared" si="33"/>
        <v>42.26806189712719</v>
      </c>
      <c r="Q36" s="20">
        <f t="shared" si="53"/>
        <v>363.31633763749659</v>
      </c>
      <c r="R36" s="59">
        <f t="shared" si="0"/>
        <v>605.1971834720373</v>
      </c>
      <c r="S36" s="59">
        <f ca="1">AVERAGE(OFFSET($R$3,0,0,'Données projet'!$E$9+1,1))-AVERAGE(OFFSET($H$3,0,0,'Données projet'!$E$9+1,1))</f>
        <v>297.34058997955685</v>
      </c>
      <c r="T36" s="59">
        <f t="shared" si="34"/>
        <v>440.06633724144069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9.880895846858019</v>
      </c>
      <c r="AA36" s="21">
        <f>EXP(-LN(2)/25)*AA35+(1-EXP(-LN(2)/25))/(LN(2)/25)*Calculateur!V36*Calculateur!X36*VLOOKUP('Données projet'!$B$9,Paramètres!$A$1:$I$89,3,0)*0.475*44/12</f>
        <v>48.647781948988431</v>
      </c>
      <c r="AB36" s="21">
        <f>EXP(-LN(2)/2)*AB35+(1-EXP(-LN(2)/2))/(LN(2)/2)*V36*Y36*VLOOKUP('Données projet'!$B$9,Paramètres!$A$1:$I$89,3,0)*0.475*44/12</f>
        <v>0</v>
      </c>
      <c r="AC36" s="22">
        <f t="shared" si="3"/>
        <v>58.528677795846448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0</v>
      </c>
      <c r="AJ36" s="13" t="e">
        <f>AI36*VLOOKUP('Données projet'!$B$10,Paramètres!$A$1:$I$89,3,0)*VLOOKUP('Données projet'!$B$10,Paramètres!$A$1:$I$89,5,0)</f>
        <v>#N/A</v>
      </c>
      <c r="AK36" s="13" t="e">
        <f t="shared" si="35"/>
        <v>#N/A</v>
      </c>
      <c r="AL36" s="20" t="e">
        <f t="shared" si="4"/>
        <v>#N/A</v>
      </c>
      <c r="AM36" s="59" t="e">
        <f t="shared" si="5"/>
        <v>#N/A</v>
      </c>
      <c r="AN36" s="59" t="e">
        <f ca="1">AVERAGE(OFFSET($AM$3,0,0,'Données projet'!$E$10+1,1))-AVERAGE(OFFSET($H$3,0,0,'Données projet'!$E$10+1,1))</f>
        <v>#N/A</v>
      </c>
      <c r="AO36" s="59" t="e">
        <f t="shared" si="36"/>
        <v>#N/A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 t="e">
        <f>EXP(-LN(2)/35)*AU35+(1-EXP(-LN(2)/35))/(LN(2)/35)*AQ36*AR36*VLOOKUP('Données projet'!$B$10,Paramètres!$A$1:$I$89,3,0)*0.475*44/12</f>
        <v>#N/A</v>
      </c>
      <c r="AV36" s="21" t="e">
        <f>EXP(-LN(2)/25)*AV35+(1-EXP(-LN(2)/25))/(LN(2)/25)*Calculateur!AQ36*Calculateur!AS36*VLOOKUP('Données projet'!$B$10,Paramètres!$A$1:$I$89,3,0)*0.475*44/12</f>
        <v>#N/A</v>
      </c>
      <c r="AW36" s="21" t="e">
        <f>EXP(-LN(2)/2)*AW35+(1-EXP(-LN(2)/2))/(LN(2)/2)*AQ36*AT36*VLOOKUP('Données projet'!$B$10,Paramètres!$A$1:$I$89,3,0)*0.475*44/12</f>
        <v>#N/A</v>
      </c>
      <c r="AX36" s="21" t="e">
        <f t="shared" si="6"/>
        <v>#N/A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3">
        <f>'Scénario référence'!$B$16*5+'Scénario référence'!$B$17*0+'Scénario référence'!$B$18*5</f>
        <v>5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3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67">
        <f t="shared" si="1"/>
        <v>183.33333333333334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18.811538461538461</v>
      </c>
      <c r="N37" s="13">
        <f>IF('Données projet'!$A$36&gt;35,N36+M37-V36,IF(A37&lt;'Données projet'!$A$36,$K$205^A37,IF(A37='Données projet'!$A$36,'Données projet'!$B$36,N36+M37-V36)))</f>
        <v>296.96307692307698</v>
      </c>
      <c r="O37" s="13">
        <f>N37*VLOOKUP('Données projet'!$B$9,Paramètres!$A$1:$I$89,3,0)*VLOOKUP('Données projet'!$B$9,Paramètres!$A$1:$I$89,5,0)</f>
        <v>177.58392000000006</v>
      </c>
      <c r="P37" s="13">
        <f t="shared" si="33"/>
        <v>44.784230847088935</v>
      </c>
      <c r="Q37" s="20">
        <f t="shared" si="53"/>
        <v>387.29119605868004</v>
      </c>
      <c r="R37" s="59">
        <f t="shared" si="0"/>
        <v>630.06462752079563</v>
      </c>
      <c r="S37" s="59">
        <f ca="1">AVERAGE(OFFSET($R$3,0,0,'Données projet'!$E$9+1,1))-AVERAGE(OFFSET($H$3,0,0,'Données projet'!$E$9+1,1))</f>
        <v>297.34058997955685</v>
      </c>
      <c r="T37" s="59">
        <f t="shared" si="34"/>
        <v>440.06633724144069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9.6871375060525082</v>
      </c>
      <c r="AA37" s="21">
        <f>EXP(-LN(2)/25)*AA36+(1-EXP(-LN(2)/25))/(LN(2)/25)*Calculateur!V37*Calculateur!X37*VLOOKUP('Données projet'!$B$9,Paramètres!$A$1:$I$89,3,0)*0.475*44/12</f>
        <v>47.317505793317679</v>
      </c>
      <c r="AB37" s="21">
        <f>EXP(-LN(2)/2)*AB36+(1-EXP(-LN(2)/2))/(LN(2)/2)*V37*Y37*VLOOKUP('Données projet'!$B$9,Paramètres!$A$1:$I$89,3,0)*0.475*44/12</f>
        <v>0</v>
      </c>
      <c r="AC37" s="22">
        <f t="shared" si="3"/>
        <v>57.004643299370187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0</v>
      </c>
      <c r="AJ37" s="13" t="e">
        <f>AI37*VLOOKUP('Données projet'!$B$10,Paramètres!$A$1:$I$89,3,0)*VLOOKUP('Données projet'!$B$10,Paramètres!$A$1:$I$89,5,0)</f>
        <v>#N/A</v>
      </c>
      <c r="AK37" s="13" t="e">
        <f t="shared" si="35"/>
        <v>#N/A</v>
      </c>
      <c r="AL37" s="20" t="e">
        <f t="shared" si="4"/>
        <v>#N/A</v>
      </c>
      <c r="AM37" s="59" t="e">
        <f t="shared" si="5"/>
        <v>#N/A</v>
      </c>
      <c r="AN37" s="59" t="e">
        <f ca="1">AVERAGE(OFFSET($AM$3,0,0,'Données projet'!$E$10+1,1))-AVERAGE(OFFSET($H$3,0,0,'Données projet'!$E$10+1,1))</f>
        <v>#N/A</v>
      </c>
      <c r="AO37" s="59" t="e">
        <f t="shared" si="36"/>
        <v>#N/A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 t="e">
        <f>EXP(-LN(2)/35)*AU36+(1-EXP(-LN(2)/35))/(LN(2)/35)*AQ37*AR37*VLOOKUP('Données projet'!$B$10,Paramètres!$A$1:$I$89,3,0)*0.475*44/12</f>
        <v>#N/A</v>
      </c>
      <c r="AV37" s="21" t="e">
        <f>EXP(-LN(2)/25)*AV36+(1-EXP(-LN(2)/25))/(LN(2)/25)*Calculateur!AQ37*Calculateur!AS37*VLOOKUP('Données projet'!$B$10,Paramètres!$A$1:$I$89,3,0)*0.475*44/12</f>
        <v>#N/A</v>
      </c>
      <c r="AW37" s="21" t="e">
        <f>EXP(-LN(2)/2)*AW36+(1-EXP(-LN(2)/2))/(LN(2)/2)*AQ37*AT37*VLOOKUP('Données projet'!$B$10,Paramètres!$A$1:$I$89,3,0)*0.475*44/12</f>
        <v>#N/A</v>
      </c>
      <c r="AX37" s="21" t="e">
        <f t="shared" si="6"/>
        <v>#N/A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3">
        <f>'Scénario référence'!$B$16*5+'Scénario référence'!$B$17*0+'Scénario référence'!$B$18*5</f>
        <v>5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3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67">
        <f t="shared" si="1"/>
        <v>183.33333333333334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18.811538461538461</v>
      </c>
      <c r="N38" s="13">
        <f>IF('Données projet'!$A$36&gt;35,N37+M38-V37,IF(A38&lt;'Données projet'!$A$36,$K$205^A38,IF(A38='Données projet'!$A$36,'Données projet'!$B$36,N37+M38-V37)))</f>
        <v>315.77461538461546</v>
      </c>
      <c r="O38" s="13">
        <f>N38*VLOOKUP('Données projet'!$B$9,Paramètres!$A$1:$I$89,3,0)*VLOOKUP('Données projet'!$B$9,Paramètres!$A$1:$I$89,5,0)</f>
        <v>188.83322000000004</v>
      </c>
      <c r="P38" s="13">
        <f t="shared" si="33"/>
        <v>47.281901952869688</v>
      </c>
      <c r="Q38" s="20">
        <f t="shared" si="53"/>
        <v>411.23383740124814</v>
      </c>
      <c r="R38" s="59">
        <f t="shared" si="0"/>
        <v>654.88437012582267</v>
      </c>
      <c r="S38" s="59">
        <f ca="1">AVERAGE(OFFSET($R$3,0,0,'Données projet'!$E$9+1,1))-AVERAGE(OFFSET($H$3,0,0,'Données projet'!$E$9+1,1))</f>
        <v>297.34058997955685</v>
      </c>
      <c r="T38" s="59">
        <f t="shared" si="34"/>
        <v>440.06633724144069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9.4971786481292746</v>
      </c>
      <c r="AA38" s="21">
        <f>EXP(-LN(2)/25)*AA37+(1-EXP(-LN(2)/25))/(LN(2)/25)*Calculateur!V38*Calculateur!X38*VLOOKUP('Données projet'!$B$9,Paramètres!$A$1:$I$89,3,0)*0.475*44/12</f>
        <v>46.023606109079921</v>
      </c>
      <c r="AB38" s="21">
        <f>EXP(-LN(2)/2)*AB37+(1-EXP(-LN(2)/2))/(LN(2)/2)*V38*Y38*VLOOKUP('Données projet'!$B$9,Paramètres!$A$1:$I$89,3,0)*0.475*44/12</f>
        <v>0</v>
      </c>
      <c r="AC38" s="22">
        <f t="shared" si="3"/>
        <v>55.520784757209199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0</v>
      </c>
      <c r="AJ38" s="13" t="e">
        <f>AI38*VLOOKUP('Données projet'!$B$10,Paramètres!$A$1:$I$89,3,0)*VLOOKUP('Données projet'!$B$10,Paramètres!$A$1:$I$89,5,0)</f>
        <v>#N/A</v>
      </c>
      <c r="AK38" s="13" t="e">
        <f t="shared" si="35"/>
        <v>#N/A</v>
      </c>
      <c r="AL38" s="20" t="e">
        <f t="shared" si="4"/>
        <v>#N/A</v>
      </c>
      <c r="AM38" s="59" t="e">
        <f t="shared" si="5"/>
        <v>#N/A</v>
      </c>
      <c r="AN38" s="59" t="e">
        <f ca="1">AVERAGE(OFFSET($AM$3,0,0,'Données projet'!$E$10+1,1))-AVERAGE(OFFSET($H$3,0,0,'Données projet'!$E$10+1,1))</f>
        <v>#N/A</v>
      </c>
      <c r="AO38" s="59" t="e">
        <f t="shared" si="36"/>
        <v>#N/A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 t="e">
        <f>EXP(-LN(2)/35)*AU37+(1-EXP(-LN(2)/35))/(LN(2)/35)*AQ38*AR38*VLOOKUP('Données projet'!$B$10,Paramètres!$A$1:$I$89,3,0)*0.475*44/12</f>
        <v>#N/A</v>
      </c>
      <c r="AV38" s="21" t="e">
        <f>EXP(-LN(2)/25)*AV37+(1-EXP(-LN(2)/25))/(LN(2)/25)*Calculateur!AQ38*Calculateur!AS38*VLOOKUP('Données projet'!$B$10,Paramètres!$A$1:$I$89,3,0)*0.475*44/12</f>
        <v>#N/A</v>
      </c>
      <c r="AW38" s="21" t="e">
        <f>EXP(-LN(2)/2)*AW37+(1-EXP(-LN(2)/2))/(LN(2)/2)*AQ38*AT38*VLOOKUP('Données projet'!$B$10,Paramètres!$A$1:$I$89,3,0)*0.475*44/12</f>
        <v>#N/A</v>
      </c>
      <c r="AX38" s="21" t="e">
        <f t="shared" si="6"/>
        <v>#N/A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3">
        <f>'Scénario référence'!$B$16*5+'Scénario référence'!$B$17*0+'Scénario référence'!$B$18*5</f>
        <v>5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3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67">
        <f t="shared" si="1"/>
        <v>183.33333333333334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18.811538461538461</v>
      </c>
      <c r="N39" s="13">
        <f>IF('Données projet'!$A$36&gt;35,N38+M39-V38,IF(A39&lt;'Données projet'!$A$36,$K$205^A39,IF(A39='Données projet'!$A$36,'Données projet'!$B$36,N38+M39-V38)))</f>
        <v>334.58615384615393</v>
      </c>
      <c r="O39" s="13">
        <f>N39*VLOOKUP('Données projet'!$B$9,Paramètres!$A$1:$I$89,3,0)*VLOOKUP('Données projet'!$B$9,Paramètres!$A$1:$I$89,5,0)</f>
        <v>200.08252000000007</v>
      </c>
      <c r="P39" s="13">
        <f t="shared" si="33"/>
        <v>49.762302688326976</v>
      </c>
      <c r="Q39" s="20">
        <f t="shared" si="53"/>
        <v>435.14639951550294</v>
      </c>
      <c r="R39" s="59">
        <f t="shared" si="0"/>
        <v>679.65881775653736</v>
      </c>
      <c r="S39" s="59">
        <f ca="1">AVERAGE(OFFSET($R$3,0,0,'Données projet'!$E$9+1,1))-AVERAGE(OFFSET($H$3,0,0,'Données projet'!$E$9+1,1))</f>
        <v>297.34058997955685</v>
      </c>
      <c r="T39" s="59">
        <f t="shared" si="34"/>
        <v>440.06633724144069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9.3109447675464523</v>
      </c>
      <c r="AA39" s="21">
        <f>EXP(-LN(2)/25)*AA38+(1-EXP(-LN(2)/25))/(LN(2)/25)*Calculateur!V39*Calculateur!X39*VLOOKUP('Données projet'!$B$9,Paramètres!$A$1:$I$89,3,0)*0.475*44/12</f>
        <v>44.765088179750876</v>
      </c>
      <c r="AB39" s="21">
        <f>EXP(-LN(2)/2)*AB38+(1-EXP(-LN(2)/2))/(LN(2)/2)*V39*Y39*VLOOKUP('Données projet'!$B$9,Paramètres!$A$1:$I$89,3,0)*0.475*44/12</f>
        <v>0</v>
      </c>
      <c r="AC39" s="22">
        <f t="shared" si="3"/>
        <v>54.076032947297328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0</v>
      </c>
      <c r="AJ39" s="13" t="e">
        <f>AI39*VLOOKUP('Données projet'!$B$10,Paramètres!$A$1:$I$89,3,0)*VLOOKUP('Données projet'!$B$10,Paramètres!$A$1:$I$89,5,0)</f>
        <v>#N/A</v>
      </c>
      <c r="AK39" s="13" t="e">
        <f t="shared" si="35"/>
        <v>#N/A</v>
      </c>
      <c r="AL39" s="20" t="e">
        <f t="shared" si="4"/>
        <v>#N/A</v>
      </c>
      <c r="AM39" s="59" t="e">
        <f t="shared" si="5"/>
        <v>#N/A</v>
      </c>
      <c r="AN39" s="59" t="e">
        <f ca="1">AVERAGE(OFFSET($AM$3,0,0,'Données projet'!$E$10+1,1))-AVERAGE(OFFSET($H$3,0,0,'Données projet'!$E$10+1,1))</f>
        <v>#N/A</v>
      </c>
      <c r="AO39" s="59" t="e">
        <f t="shared" si="36"/>
        <v>#N/A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 t="e">
        <f>EXP(-LN(2)/35)*AU38+(1-EXP(-LN(2)/35))/(LN(2)/35)*AQ39*AR39*VLOOKUP('Données projet'!$B$10,Paramètres!$A$1:$I$89,3,0)*0.475*44/12</f>
        <v>#N/A</v>
      </c>
      <c r="AV39" s="21" t="e">
        <f>EXP(-LN(2)/25)*AV38+(1-EXP(-LN(2)/25))/(LN(2)/25)*Calculateur!AQ39*Calculateur!AS39*VLOOKUP('Données projet'!$B$10,Paramètres!$A$1:$I$89,3,0)*0.475*44/12</f>
        <v>#N/A</v>
      </c>
      <c r="AW39" s="21" t="e">
        <f>EXP(-LN(2)/2)*AW38+(1-EXP(-LN(2)/2))/(LN(2)/2)*AQ39*AT39*VLOOKUP('Données projet'!$B$10,Paramètres!$A$1:$I$89,3,0)*0.475*44/12</f>
        <v>#N/A</v>
      </c>
      <c r="AX39" s="21" t="e">
        <f t="shared" si="6"/>
        <v>#N/A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3">
        <f>'Scénario référence'!$B$16*5+'Scénario référence'!$B$17*0+'Scénario référence'!$B$18*5</f>
        <v>5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3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67">
        <f t="shared" si="1"/>
        <v>183.33333333333334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18.811538461538461</v>
      </c>
      <c r="N40" s="13">
        <f>IF('Données projet'!$A$36&gt;35,N39+M40-V39,IF(A40&lt;'Données projet'!$A$36,$K$205^A40,IF(A40='Données projet'!$A$36,'Données projet'!$B$36,N39+M40-V39)))</f>
        <v>353.39769230769241</v>
      </c>
      <c r="O40" s="13">
        <f>N40*VLOOKUP('Données projet'!$B$9,Paramètres!$A$1:$I$89,3,0)*VLOOKUP('Données projet'!$B$9,Paramètres!$A$1:$I$89,5,0)</f>
        <v>211.33182000000008</v>
      </c>
      <c r="P40" s="13">
        <f t="shared" si="33"/>
        <v>52.226514706347821</v>
      </c>
      <c r="Q40" s="20">
        <f t="shared" si="53"/>
        <v>459.03076628022262</v>
      </c>
      <c r="R40" s="59">
        <f t="shared" si="0"/>
        <v>704.39011825089369</v>
      </c>
      <c r="S40" s="59">
        <f ca="1">AVERAGE(OFFSET($R$3,0,0,'Données projet'!$E$9+1,1))-AVERAGE(OFFSET($H$3,0,0,'Données projet'!$E$9+1,1))</f>
        <v>297.34058997955685</v>
      </c>
      <c r="T40" s="59">
        <f t="shared" si="34"/>
        <v>440.06633724144069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9.128362819770409</v>
      </c>
      <c r="AA40" s="21">
        <f>EXP(-LN(2)/25)*AA39+(1-EXP(-LN(2)/25))/(LN(2)/25)*Calculateur!V40*Calculateur!X40*VLOOKUP('Données projet'!$B$9,Paramètres!$A$1:$I$89,3,0)*0.475*44/12</f>
        <v>43.540984489381913</v>
      </c>
      <c r="AB40" s="21">
        <f>EXP(-LN(2)/2)*AB39+(1-EXP(-LN(2)/2))/(LN(2)/2)*V40*Y40*VLOOKUP('Données projet'!$B$9,Paramètres!$A$1:$I$89,3,0)*0.475*44/12</f>
        <v>0</v>
      </c>
      <c r="AC40" s="22">
        <f t="shared" si="3"/>
        <v>52.669347309152322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0</v>
      </c>
      <c r="AJ40" s="13" t="e">
        <f>AI40*VLOOKUP('Données projet'!$B$10,Paramètres!$A$1:$I$89,3,0)*VLOOKUP('Données projet'!$B$10,Paramètres!$A$1:$I$89,5,0)</f>
        <v>#N/A</v>
      </c>
      <c r="AK40" s="13" t="e">
        <f t="shared" si="35"/>
        <v>#N/A</v>
      </c>
      <c r="AL40" s="20" t="e">
        <f t="shared" si="4"/>
        <v>#N/A</v>
      </c>
      <c r="AM40" s="59" t="e">
        <f t="shared" si="5"/>
        <v>#N/A</v>
      </c>
      <c r="AN40" s="59" t="e">
        <f ca="1">AVERAGE(OFFSET($AM$3,0,0,'Données projet'!$E$10+1,1))-AVERAGE(OFFSET($H$3,0,0,'Données projet'!$E$10+1,1))</f>
        <v>#N/A</v>
      </c>
      <c r="AO40" s="59" t="e">
        <f t="shared" si="36"/>
        <v>#N/A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 t="e">
        <f>EXP(-LN(2)/35)*AU39+(1-EXP(-LN(2)/35))/(LN(2)/35)*AQ40*AR40*VLOOKUP('Données projet'!$B$10,Paramètres!$A$1:$I$89,3,0)*0.475*44/12</f>
        <v>#N/A</v>
      </c>
      <c r="AV40" s="21" t="e">
        <f>EXP(-LN(2)/25)*AV39+(1-EXP(-LN(2)/25))/(LN(2)/25)*Calculateur!AQ40*Calculateur!AS40*VLOOKUP('Données projet'!$B$10,Paramètres!$A$1:$I$89,3,0)*0.475*44/12</f>
        <v>#N/A</v>
      </c>
      <c r="AW40" s="21" t="e">
        <f>EXP(-LN(2)/2)*AW39+(1-EXP(-LN(2)/2))/(LN(2)/2)*AQ40*AT40*VLOOKUP('Données projet'!$B$10,Paramètres!$A$1:$I$89,3,0)*0.475*44/12</f>
        <v>#N/A</v>
      </c>
      <c r="AX40" s="21" t="e">
        <f t="shared" si="6"/>
        <v>#N/A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3">
        <f>'Scénario référence'!$B$16*5+'Scénario référence'!$B$17*0+'Scénario référence'!$B$18*5</f>
        <v>5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3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67">
        <f t="shared" si="1"/>
        <v>183.33333333333334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18.811538461538461</v>
      </c>
      <c r="N41" s="13">
        <f>IF('Données projet'!$A$36&gt;35,N40+M41-V40,IF(A41&lt;'Données projet'!$A$36,$K$205^A41,IF(A41='Données projet'!$A$36,'Données projet'!$B$36,N40+M41-V40)))</f>
        <v>372.20923076923089</v>
      </c>
      <c r="O41" s="13">
        <f>N41*VLOOKUP('Données projet'!$B$9,Paramètres!$A$1:$I$89,3,0)*VLOOKUP('Données projet'!$B$9,Paramètres!$A$1:$I$89,5,0)</f>
        <v>222.58112000000008</v>
      </c>
      <c r="P41" s="13">
        <f t="shared" si="33"/>
        <v>54.675498002213622</v>
      </c>
      <c r="Q41" s="20">
        <f t="shared" si="53"/>
        <v>482.88860968718888</v>
      </c>
      <c r="R41" s="59">
        <f t="shared" si="0"/>
        <v>729.08020298074757</v>
      </c>
      <c r="S41" s="59">
        <f ca="1">AVERAGE(OFFSET($R$3,0,0,'Données projet'!$E$9+1,1))-AVERAGE(OFFSET($H$3,0,0,'Données projet'!$E$9+1,1))</f>
        <v>297.34058997955685</v>
      </c>
      <c r="T41" s="59">
        <f t="shared" si="34"/>
        <v>440.06633724144069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8.9493611926262613</v>
      </c>
      <c r="AA41" s="21">
        <f>EXP(-LN(2)/25)*AA40+(1-EXP(-LN(2)/25))/(LN(2)/25)*Calculateur!V41*Calculateur!X41*VLOOKUP('Données projet'!$B$9,Paramètres!$A$1:$I$89,3,0)*0.475*44/12</f>
        <v>42.350353978798907</v>
      </c>
      <c r="AB41" s="21">
        <f>EXP(-LN(2)/2)*AB40+(1-EXP(-LN(2)/2))/(LN(2)/2)*V41*Y41*VLOOKUP('Données projet'!$B$9,Paramètres!$A$1:$I$89,3,0)*0.475*44/12</f>
        <v>0</v>
      </c>
      <c r="AC41" s="22">
        <f t="shared" si="3"/>
        <v>51.29971517142517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0</v>
      </c>
      <c r="AJ41" s="13" t="e">
        <f>AI41*VLOOKUP('Données projet'!$B$10,Paramètres!$A$1:$I$89,3,0)*VLOOKUP('Données projet'!$B$10,Paramètres!$A$1:$I$89,5,0)</f>
        <v>#N/A</v>
      </c>
      <c r="AK41" s="13" t="e">
        <f t="shared" si="35"/>
        <v>#N/A</v>
      </c>
      <c r="AL41" s="20" t="e">
        <f t="shared" si="4"/>
        <v>#N/A</v>
      </c>
      <c r="AM41" s="59" t="e">
        <f t="shared" si="5"/>
        <v>#N/A</v>
      </c>
      <c r="AN41" s="59" t="e">
        <f ca="1">AVERAGE(OFFSET($AM$3,0,0,'Données projet'!$E$10+1,1))-AVERAGE(OFFSET($H$3,0,0,'Données projet'!$E$10+1,1))</f>
        <v>#N/A</v>
      </c>
      <c r="AO41" s="59" t="e">
        <f t="shared" si="36"/>
        <v>#N/A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 t="e">
        <f>EXP(-LN(2)/35)*AU40+(1-EXP(-LN(2)/35))/(LN(2)/35)*AQ41*AR41*VLOOKUP('Données projet'!$B$10,Paramètres!$A$1:$I$89,3,0)*0.475*44/12</f>
        <v>#N/A</v>
      </c>
      <c r="AV41" s="21" t="e">
        <f>EXP(-LN(2)/25)*AV40+(1-EXP(-LN(2)/25))/(LN(2)/25)*Calculateur!AQ41*Calculateur!AS41*VLOOKUP('Données projet'!$B$10,Paramètres!$A$1:$I$89,3,0)*0.475*44/12</f>
        <v>#N/A</v>
      </c>
      <c r="AW41" s="21" t="e">
        <f>EXP(-LN(2)/2)*AW40+(1-EXP(-LN(2)/2))/(LN(2)/2)*AQ41*AT41*VLOOKUP('Données projet'!$B$10,Paramètres!$A$1:$I$89,3,0)*0.475*44/12</f>
        <v>#N/A</v>
      </c>
      <c r="AX41" s="21" t="e">
        <f t="shared" si="6"/>
        <v>#N/A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3">
        <f>'Scénario référence'!$B$16*5+'Scénario référence'!$B$17*0+'Scénario référence'!$B$18*5</f>
        <v>5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3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67">
        <f t="shared" si="1"/>
        <v>183.33333333333334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18.811538461538461</v>
      </c>
      <c r="N42" s="13">
        <f>IF('Données projet'!$A$36&gt;35,N41+M42-V41,IF(A42&lt;'Données projet'!$A$36,$K$205^A42,IF(A42='Données projet'!$A$36,'Données projet'!$B$36,N41+M42-V41)))</f>
        <v>391.02076923076936</v>
      </c>
      <c r="O42" s="13">
        <f>N42*VLOOKUP('Données projet'!$B$9,Paramètres!$A$1:$I$89,3,0)*VLOOKUP('Données projet'!$B$9,Paramètres!$A$1:$I$89,5,0)</f>
        <v>233.83042000000009</v>
      </c>
      <c r="P42" s="13">
        <f t="shared" si="33"/>
        <v>57.11011005315418</v>
      </c>
      <c r="Q42" s="20">
        <f t="shared" si="53"/>
        <v>506.72142317591027</v>
      </c>
      <c r="R42" s="59">
        <f t="shared" si="0"/>
        <v>753.73082026601742</v>
      </c>
      <c r="S42" s="59">
        <f ca="1">AVERAGE(OFFSET($R$3,0,0,'Données projet'!$E$9+1,1))-AVERAGE(OFFSET($H$3,0,0,'Données projet'!$E$9+1,1))</f>
        <v>297.34058997955685</v>
      </c>
      <c r="T42" s="59">
        <f t="shared" si="34"/>
        <v>440.06633724144069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8.7738696782101986</v>
      </c>
      <c r="AA42" s="21">
        <f>EXP(-LN(2)/25)*AA41+(1-EXP(-LN(2)/25))/(LN(2)/25)*Calculateur!V42*Calculateur!X42*VLOOKUP('Données projet'!$B$9,Paramètres!$A$1:$I$89,3,0)*0.475*44/12</f>
        <v>41.192281322140332</v>
      </c>
      <c r="AB42" s="21">
        <f>EXP(-LN(2)/2)*AB41+(1-EXP(-LN(2)/2))/(LN(2)/2)*V42*Y42*VLOOKUP('Données projet'!$B$9,Paramètres!$A$1:$I$89,3,0)*0.475*44/12</f>
        <v>0</v>
      </c>
      <c r="AC42" s="22">
        <f t="shared" si="3"/>
        <v>49.966151000350528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0</v>
      </c>
      <c r="AJ42" s="13" t="e">
        <f>AI42*VLOOKUP('Données projet'!$B$10,Paramètres!$A$1:$I$89,3,0)*VLOOKUP('Données projet'!$B$10,Paramètres!$A$1:$I$89,5,0)</f>
        <v>#N/A</v>
      </c>
      <c r="AK42" s="13" t="e">
        <f t="shared" si="35"/>
        <v>#N/A</v>
      </c>
      <c r="AL42" s="20" t="e">
        <f t="shared" si="4"/>
        <v>#N/A</v>
      </c>
      <c r="AM42" s="59" t="e">
        <f t="shared" si="5"/>
        <v>#N/A</v>
      </c>
      <c r="AN42" s="59" t="e">
        <f ca="1">AVERAGE(OFFSET($AM$3,0,0,'Données projet'!$E$10+1,1))-AVERAGE(OFFSET($H$3,0,0,'Données projet'!$E$10+1,1))</f>
        <v>#N/A</v>
      </c>
      <c r="AO42" s="59" t="e">
        <f t="shared" si="36"/>
        <v>#N/A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 t="e">
        <f>EXP(-LN(2)/35)*AU41+(1-EXP(-LN(2)/35))/(LN(2)/35)*AQ42*AR42*VLOOKUP('Données projet'!$B$10,Paramètres!$A$1:$I$89,3,0)*0.475*44/12</f>
        <v>#N/A</v>
      </c>
      <c r="AV42" s="21" t="e">
        <f>EXP(-LN(2)/25)*AV41+(1-EXP(-LN(2)/25))/(LN(2)/25)*Calculateur!AQ42*Calculateur!AS42*VLOOKUP('Données projet'!$B$10,Paramètres!$A$1:$I$89,3,0)*0.475*44/12</f>
        <v>#N/A</v>
      </c>
      <c r="AW42" s="21" t="e">
        <f>EXP(-LN(2)/2)*AW41+(1-EXP(-LN(2)/2))/(LN(2)/2)*AQ42*AT42*VLOOKUP('Données projet'!$B$10,Paramètres!$A$1:$I$89,3,0)*0.475*44/12</f>
        <v>#N/A</v>
      </c>
      <c r="AX42" s="21" t="e">
        <f t="shared" si="6"/>
        <v>#N/A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3">
        <f>'Scénario référence'!$B$16*5+'Scénario référence'!$B$17*0+'Scénario référence'!$B$18*5</f>
        <v>5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3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67">
        <f t="shared" si="1"/>
        <v>183.33333333333334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18.811538461538461</v>
      </c>
      <c r="N43" s="13">
        <f>IF('Données projet'!$A$36&gt;35,N42+M43-V42,IF(A43&lt;'Données projet'!$A$36,$K$205^A43,IF(A43='Données projet'!$A$36,'Données projet'!$B$36,N42+M43-V42)))</f>
        <v>409.83230769230784</v>
      </c>
      <c r="O43" s="13">
        <f>N43*VLOOKUP('Données projet'!$B$9,Paramètres!$A$1:$I$89,3,0)*VLOOKUP('Données projet'!$B$9,Paramètres!$A$1:$I$89,5,0)</f>
        <v>245.07972000000012</v>
      </c>
      <c r="P43" s="13">
        <f t="shared" si="33"/>
        <v>59.531121170362454</v>
      </c>
      <c r="Q43" s="20">
        <f t="shared" si="53"/>
        <v>530.53054837171476</v>
      </c>
      <c r="R43" s="59">
        <f t="shared" si="0"/>
        <v>778.34356219083554</v>
      </c>
      <c r="S43" s="59">
        <f ca="1">AVERAGE(OFFSET($R$3,0,0,'Données projet'!$E$9+1,1))-AVERAGE(OFFSET($H$3,0,0,'Données projet'!$E$9+1,1))</f>
        <v>297.34058997955685</v>
      </c>
      <c r="T43" s="59">
        <f t="shared" si="34"/>
        <v>440.06633724144069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8.6018194453525805</v>
      </c>
      <c r="AA43" s="21">
        <f>EXP(-LN(2)/25)*AA42+(1-EXP(-LN(2)/25))/(LN(2)/25)*Calculateur!V43*Calculateur!X43*VLOOKUP('Données projet'!$B$9,Paramètres!$A$1:$I$89,3,0)*0.475*44/12</f>
        <v>40.065876223178478</v>
      </c>
      <c r="AB43" s="21">
        <f>EXP(-LN(2)/2)*AB42+(1-EXP(-LN(2)/2))/(LN(2)/2)*V43*Y43*VLOOKUP('Données projet'!$B$9,Paramètres!$A$1:$I$89,3,0)*0.475*44/12</f>
        <v>0</v>
      </c>
      <c r="AC43" s="22">
        <f t="shared" si="3"/>
        <v>48.66769566853106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0</v>
      </c>
      <c r="AJ43" s="13" t="e">
        <f>AI43*VLOOKUP('Données projet'!$B$10,Paramètres!$A$1:$I$89,3,0)*VLOOKUP('Données projet'!$B$10,Paramètres!$A$1:$I$89,5,0)</f>
        <v>#N/A</v>
      </c>
      <c r="AK43" s="13" t="e">
        <f t="shared" si="35"/>
        <v>#N/A</v>
      </c>
      <c r="AL43" s="20" t="e">
        <f t="shared" si="4"/>
        <v>#N/A</v>
      </c>
      <c r="AM43" s="59" t="e">
        <f t="shared" si="5"/>
        <v>#N/A</v>
      </c>
      <c r="AN43" s="59" t="e">
        <f ca="1">AVERAGE(OFFSET($AM$3,0,0,'Données projet'!$E$10+1,1))-AVERAGE(OFFSET($H$3,0,0,'Données projet'!$E$10+1,1))</f>
        <v>#N/A</v>
      </c>
      <c r="AO43" s="59" t="e">
        <f t="shared" si="36"/>
        <v>#N/A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 t="e">
        <f>EXP(-LN(2)/35)*AU42+(1-EXP(-LN(2)/35))/(LN(2)/35)*AQ43*AR43*VLOOKUP('Données projet'!$B$10,Paramètres!$A$1:$I$89,3,0)*0.475*44/12</f>
        <v>#N/A</v>
      </c>
      <c r="AV43" s="21" t="e">
        <f>EXP(-LN(2)/25)*AV42+(1-EXP(-LN(2)/25))/(LN(2)/25)*Calculateur!AQ43*Calculateur!AS43*VLOOKUP('Données projet'!$B$10,Paramètres!$A$1:$I$89,3,0)*0.475*44/12</f>
        <v>#N/A</v>
      </c>
      <c r="AW43" s="21" t="e">
        <f>EXP(-LN(2)/2)*AW42+(1-EXP(-LN(2)/2))/(LN(2)/2)*AQ43*AT43*VLOOKUP('Données projet'!$B$10,Paramètres!$A$1:$I$89,3,0)*0.475*44/12</f>
        <v>#N/A</v>
      </c>
      <c r="AX43" s="21" t="e">
        <f t="shared" si="6"/>
        <v>#N/A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3">
        <f>'Scénario référence'!$B$16*5+'Scénario référence'!$B$17*0+'Scénario référence'!$B$18*5</f>
        <v>5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3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67">
        <f t="shared" si="1"/>
        <v>183.33333333333334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18.811538461538461</v>
      </c>
      <c r="N44" s="13">
        <f>IF('Données projet'!$A$36&gt;35,N43+M44-V43,IF(A44&lt;'Données projet'!$A$36,$K$205^A44,IF(A44='Données projet'!$A$36,'Données projet'!$B$36,N43+M44-V43)))</f>
        <v>428.64384615384631</v>
      </c>
      <c r="O44" s="13">
        <f>N44*VLOOKUP('Données projet'!$B$9,Paramètres!$A$1:$I$89,3,0)*VLOOKUP('Données projet'!$B$9,Paramètres!$A$1:$I$89,5,0)</f>
        <v>256.32902000000013</v>
      </c>
      <c r="P44" s="13">
        <f t="shared" si="33"/>
        <v>61.939226952630833</v>
      </c>
      <c r="Q44" s="20">
        <f t="shared" si="53"/>
        <v>554.31719677583226</v>
      </c>
      <c r="R44" s="59">
        <f t="shared" si="0"/>
        <v>802.91988637033626</v>
      </c>
      <c r="S44" s="59">
        <f ca="1">AVERAGE(OFFSET($R$3,0,0,'Données projet'!$E$9+1,1))-AVERAGE(OFFSET($H$3,0,0,'Données projet'!$E$9+1,1))</f>
        <v>297.34058997955685</v>
      </c>
      <c r="T44" s="59">
        <f t="shared" si="34"/>
        <v>440.06633724144069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8.4331430126210201</v>
      </c>
      <c r="AA44" s="21">
        <f>EXP(-LN(2)/25)*AA43+(1-EXP(-LN(2)/25))/(LN(2)/25)*Calculateur!V44*Calculateur!X44*VLOOKUP('Données projet'!$B$9,Paramètres!$A$1:$I$89,3,0)*0.475*44/12</f>
        <v>38.970272730882805</v>
      </c>
      <c r="AB44" s="21">
        <f>EXP(-LN(2)/2)*AB43+(1-EXP(-LN(2)/2))/(LN(2)/2)*V44*Y44*VLOOKUP('Données projet'!$B$9,Paramètres!$A$1:$I$89,3,0)*0.475*44/12</f>
        <v>0</v>
      </c>
      <c r="AC44" s="22">
        <f t="shared" si="3"/>
        <v>47.403415743503828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0</v>
      </c>
      <c r="AJ44" s="13" t="e">
        <f>AI44*VLOOKUP('Données projet'!$B$10,Paramètres!$A$1:$I$89,3,0)*VLOOKUP('Données projet'!$B$10,Paramètres!$A$1:$I$89,5,0)</f>
        <v>#N/A</v>
      </c>
      <c r="AK44" s="13" t="e">
        <f t="shared" si="35"/>
        <v>#N/A</v>
      </c>
      <c r="AL44" s="20" t="e">
        <f t="shared" si="4"/>
        <v>#N/A</v>
      </c>
      <c r="AM44" s="59" t="e">
        <f t="shared" si="5"/>
        <v>#N/A</v>
      </c>
      <c r="AN44" s="59" t="e">
        <f ca="1">AVERAGE(OFFSET($AM$3,0,0,'Données projet'!$E$10+1,1))-AVERAGE(OFFSET($H$3,0,0,'Données projet'!$E$10+1,1))</f>
        <v>#N/A</v>
      </c>
      <c r="AO44" s="59" t="e">
        <f t="shared" si="36"/>
        <v>#N/A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 t="e">
        <f>EXP(-LN(2)/35)*AU43+(1-EXP(-LN(2)/35))/(LN(2)/35)*AQ44*AR44*VLOOKUP('Données projet'!$B$10,Paramètres!$A$1:$I$89,3,0)*0.475*44/12</f>
        <v>#N/A</v>
      </c>
      <c r="AV44" s="21" t="e">
        <f>EXP(-LN(2)/25)*AV43+(1-EXP(-LN(2)/25))/(LN(2)/25)*Calculateur!AQ44*Calculateur!AS44*VLOOKUP('Données projet'!$B$10,Paramètres!$A$1:$I$89,3,0)*0.475*44/12</f>
        <v>#N/A</v>
      </c>
      <c r="AW44" s="21" t="e">
        <f>EXP(-LN(2)/2)*AW43+(1-EXP(-LN(2)/2))/(LN(2)/2)*AQ44*AT44*VLOOKUP('Données projet'!$B$10,Paramètres!$A$1:$I$89,3,0)*0.475*44/12</f>
        <v>#N/A</v>
      </c>
      <c r="AX44" s="21" t="e">
        <f t="shared" si="6"/>
        <v>#N/A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3">
        <f>'Scénario référence'!$B$16*5+'Scénario référence'!$B$17*0+'Scénario référence'!$B$18*5</f>
        <v>5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3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67">
        <f t="shared" si="1"/>
        <v>183.33333333333334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18.811538461538461</v>
      </c>
      <c r="N45" s="13">
        <f>IF('Données projet'!$A$36&gt;35,N44+M45-V44,IF(A45&lt;'Données projet'!$A$36,$K$205^A45,IF(A45='Données projet'!$A$36,'Données projet'!$B$36,N44+M45-V44)))</f>
        <v>447.45538461538479</v>
      </c>
      <c r="O45" s="13">
        <f>N45*VLOOKUP('Données projet'!$B$9,Paramètres!$A$1:$I$89,3,0)*VLOOKUP('Données projet'!$B$9,Paramètres!$A$1:$I$89,5,0)</f>
        <v>267.57832000000013</v>
      </c>
      <c r="P45" s="13">
        <f t="shared" si="33"/>
        <v>64.335058492109823</v>
      </c>
      <c r="Q45" s="20">
        <f t="shared" si="53"/>
        <v>578.08246754042477</v>
      </c>
      <c r="R45" s="59">
        <f t="shared" si="0"/>
        <v>827.46113380105953</v>
      </c>
      <c r="S45" s="59">
        <f ca="1">AVERAGE(OFFSET($R$3,0,0,'Données projet'!$E$9+1,1))-AVERAGE(OFFSET($H$3,0,0,'Données projet'!$E$9+1,1))</f>
        <v>297.34058997955685</v>
      </c>
      <c r="T45" s="59">
        <f t="shared" si="34"/>
        <v>440.06633724144069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8.2677742218528607</v>
      </c>
      <c r="AA45" s="21">
        <f>EXP(-LN(2)/25)*AA44+(1-EXP(-LN(2)/25))/(LN(2)/25)*Calculateur!V45*Calculateur!X45*VLOOKUP('Données projet'!$B$9,Paramètres!$A$1:$I$89,3,0)*0.475*44/12</f>
        <v>37.904628573699242</v>
      </c>
      <c r="AB45" s="21">
        <f>EXP(-LN(2)/2)*AB44+(1-EXP(-LN(2)/2))/(LN(2)/2)*V45*Y45*VLOOKUP('Données projet'!$B$9,Paramètres!$A$1:$I$89,3,0)*0.475*44/12</f>
        <v>0</v>
      </c>
      <c r="AC45" s="22">
        <f t="shared" si="3"/>
        <v>46.172402795552102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0</v>
      </c>
      <c r="AJ45" s="13" t="e">
        <f>AI45*VLOOKUP('Données projet'!$B$10,Paramètres!$A$1:$I$89,3,0)*VLOOKUP('Données projet'!$B$10,Paramètres!$A$1:$I$89,5,0)</f>
        <v>#N/A</v>
      </c>
      <c r="AK45" s="13" t="e">
        <f t="shared" si="35"/>
        <v>#N/A</v>
      </c>
      <c r="AL45" s="20" t="e">
        <f t="shared" si="4"/>
        <v>#N/A</v>
      </c>
      <c r="AM45" s="59" t="e">
        <f t="shared" si="5"/>
        <v>#N/A</v>
      </c>
      <c r="AN45" s="59" t="e">
        <f ca="1">AVERAGE(OFFSET($AM$3,0,0,'Données projet'!$E$10+1,1))-AVERAGE(OFFSET($H$3,0,0,'Données projet'!$E$10+1,1))</f>
        <v>#N/A</v>
      </c>
      <c r="AO45" s="59" t="e">
        <f t="shared" si="36"/>
        <v>#N/A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 t="e">
        <f>EXP(-LN(2)/35)*AU44+(1-EXP(-LN(2)/35))/(LN(2)/35)*AQ45*AR45*VLOOKUP('Données projet'!$B$10,Paramètres!$A$1:$I$89,3,0)*0.475*44/12</f>
        <v>#N/A</v>
      </c>
      <c r="AV45" s="21" t="e">
        <f>EXP(-LN(2)/25)*AV44+(1-EXP(-LN(2)/25))/(LN(2)/25)*Calculateur!AQ45*Calculateur!AS45*VLOOKUP('Données projet'!$B$10,Paramètres!$A$1:$I$89,3,0)*0.475*44/12</f>
        <v>#N/A</v>
      </c>
      <c r="AW45" s="21" t="e">
        <f>EXP(-LN(2)/2)*AW44+(1-EXP(-LN(2)/2))/(LN(2)/2)*AQ45*AT45*VLOOKUP('Données projet'!$B$10,Paramètres!$A$1:$I$89,3,0)*0.475*44/12</f>
        <v>#N/A</v>
      </c>
      <c r="AX45" s="21" t="e">
        <f t="shared" si="6"/>
        <v>#N/A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3">
        <f>'Scénario référence'!$B$16*5+'Scénario référence'!$B$17*0+'Scénario référence'!$B$18*5</f>
        <v>5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3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67">
        <f t="shared" si="1"/>
        <v>183.33333333333334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18.811538461538461</v>
      </c>
      <c r="N46" s="13">
        <f>IF('Données projet'!$A$36&gt;35,N45+M46-V45,IF(A46&lt;'Données projet'!$A$36,$K$205^A46,IF(A46='Données projet'!$A$36,'Données projet'!$B$36,N45+M46-V45)))</f>
        <v>466.26692307692326</v>
      </c>
      <c r="O46" s="13">
        <f>N46*VLOOKUP('Données projet'!$B$9,Paramètres!$A$1:$I$89,3,0)*VLOOKUP('Données projet'!$B$9,Paramètres!$A$1:$I$89,5,0)</f>
        <v>278.82762000000014</v>
      </c>
      <c r="P46" s="13">
        <f t="shared" si="33"/>
        <v>66.719190815445643</v>
      </c>
      <c r="Q46" s="20">
        <f t="shared" si="53"/>
        <v>601.82736217023478</v>
      </c>
      <c r="R46" s="59">
        <f t="shared" si="0"/>
        <v>851.96854363666682</v>
      </c>
      <c r="S46" s="59">
        <f ca="1">AVERAGE(OFFSET($R$3,0,0,'Données projet'!$E$9+1,1))-AVERAGE(OFFSET($H$3,0,0,'Données projet'!$E$9+1,1))</f>
        <v>297.34058997955685</v>
      </c>
      <c r="T46" s="59">
        <f t="shared" si="34"/>
        <v>440.06633724144069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8.1056482122066615</v>
      </c>
      <c r="AA46" s="21">
        <f>EXP(-LN(2)/25)*AA45+(1-EXP(-LN(2)/25))/(LN(2)/25)*Calculateur!V46*Calculateur!X46*VLOOKUP('Données projet'!$B$9,Paramètres!$A$1:$I$89,3,0)*0.475*44/12</f>
        <v>36.868124512033653</v>
      </c>
      <c r="AB46" s="21">
        <f>EXP(-LN(2)/2)*AB45+(1-EXP(-LN(2)/2))/(LN(2)/2)*V46*Y46*VLOOKUP('Données projet'!$B$9,Paramètres!$A$1:$I$89,3,0)*0.475*44/12</f>
        <v>0</v>
      </c>
      <c r="AC46" s="22">
        <f t="shared" si="3"/>
        <v>44.973772724240312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0</v>
      </c>
      <c r="AJ46" s="13" t="e">
        <f>AI46*VLOOKUP('Données projet'!$B$10,Paramètres!$A$1:$I$89,3,0)*VLOOKUP('Données projet'!$B$10,Paramètres!$A$1:$I$89,5,0)</f>
        <v>#N/A</v>
      </c>
      <c r="AK46" s="13" t="e">
        <f t="shared" si="35"/>
        <v>#N/A</v>
      </c>
      <c r="AL46" s="20" t="e">
        <f t="shared" si="4"/>
        <v>#N/A</v>
      </c>
      <c r="AM46" s="59" t="e">
        <f t="shared" si="5"/>
        <v>#N/A</v>
      </c>
      <c r="AN46" s="59" t="e">
        <f ca="1">AVERAGE(OFFSET($AM$3,0,0,'Données projet'!$E$10+1,1))-AVERAGE(OFFSET($H$3,0,0,'Données projet'!$E$10+1,1))</f>
        <v>#N/A</v>
      </c>
      <c r="AO46" s="59" t="e">
        <f t="shared" si="36"/>
        <v>#N/A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 t="e">
        <f>EXP(-LN(2)/35)*AU45+(1-EXP(-LN(2)/35))/(LN(2)/35)*AQ46*AR46*VLOOKUP('Données projet'!$B$10,Paramètres!$A$1:$I$89,3,0)*0.475*44/12</f>
        <v>#N/A</v>
      </c>
      <c r="AV46" s="21" t="e">
        <f>EXP(-LN(2)/25)*AV45+(1-EXP(-LN(2)/25))/(LN(2)/25)*Calculateur!AQ46*Calculateur!AS46*VLOOKUP('Données projet'!$B$10,Paramètres!$A$1:$I$89,3,0)*0.475*44/12</f>
        <v>#N/A</v>
      </c>
      <c r="AW46" s="21" t="e">
        <f>EXP(-LN(2)/2)*AW45+(1-EXP(-LN(2)/2))/(LN(2)/2)*AQ46*AT46*VLOOKUP('Données projet'!$B$10,Paramètres!$A$1:$I$89,3,0)*0.475*44/12</f>
        <v>#N/A</v>
      </c>
      <c r="AX46" s="21" t="e">
        <f t="shared" si="6"/>
        <v>#N/A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3">
        <f>'Scénario référence'!$B$16*5+'Scénario référence'!$B$17*0+'Scénario référence'!$B$18*5</f>
        <v>5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3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67">
        <f t="shared" si="1"/>
        <v>183.33333333333334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18.811538461538461</v>
      </c>
      <c r="N47" s="13">
        <f>IF('Données projet'!$A$36&gt;35,N46+M47-V46,IF(A47&lt;'Données projet'!$A$36,$K$205^A47,IF(A47='Données projet'!$A$36,'Données projet'!$B$36,N46+M47-V46)))</f>
        <v>485.07846153846174</v>
      </c>
      <c r="O47" s="13">
        <f>N47*VLOOKUP('Données projet'!$B$9,Paramètres!$A$1:$I$89,3,0)*VLOOKUP('Données projet'!$B$9,Paramètres!$A$1:$I$89,5,0)</f>
        <v>290.07692000000014</v>
      </c>
      <c r="P47" s="13">
        <f t="shared" si="33"/>
        <v>69.092149924334223</v>
      </c>
      <c r="Q47" s="20">
        <f t="shared" si="53"/>
        <v>625.55279678488239</v>
      </c>
      <c r="R47" s="59">
        <f t="shared" si="0"/>
        <v>876.44326552301982</v>
      </c>
      <c r="S47" s="59">
        <f ca="1">AVERAGE(OFFSET($R$3,0,0,'Données projet'!$E$9+1,1))-AVERAGE(OFFSET($H$3,0,0,'Données projet'!$E$9+1,1))</f>
        <v>297.34058997955685</v>
      </c>
      <c r="T47" s="59">
        <f t="shared" si="34"/>
        <v>440.06633724144069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7.9467013947225231</v>
      </c>
      <c r="AA47" s="21">
        <f>EXP(-LN(2)/25)*AA46+(1-EXP(-LN(2)/25))/(LN(2)/25)*Calculateur!V47*Calculateur!X47*VLOOKUP('Données projet'!$B$9,Paramètres!$A$1:$I$89,3,0)*0.475*44/12</f>
        <v>35.85996370844169</v>
      </c>
      <c r="AB47" s="21">
        <f>EXP(-LN(2)/2)*AB46+(1-EXP(-LN(2)/2))/(LN(2)/2)*V47*Y47*VLOOKUP('Données projet'!$B$9,Paramètres!$A$1:$I$89,3,0)*0.475*44/12</f>
        <v>0</v>
      </c>
      <c r="AC47" s="22">
        <f t="shared" si="3"/>
        <v>43.806665103164214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0</v>
      </c>
      <c r="AJ47" s="13" t="e">
        <f>AI47*VLOOKUP('Données projet'!$B$10,Paramètres!$A$1:$I$89,3,0)*VLOOKUP('Données projet'!$B$10,Paramètres!$A$1:$I$89,5,0)</f>
        <v>#N/A</v>
      </c>
      <c r="AK47" s="13" t="e">
        <f t="shared" si="35"/>
        <v>#N/A</v>
      </c>
      <c r="AL47" s="20" t="e">
        <f t="shared" si="4"/>
        <v>#N/A</v>
      </c>
      <c r="AM47" s="59" t="e">
        <f t="shared" si="5"/>
        <v>#N/A</v>
      </c>
      <c r="AN47" s="59" t="e">
        <f ca="1">AVERAGE(OFFSET($AM$3,0,0,'Données projet'!$E$10+1,1))-AVERAGE(OFFSET($H$3,0,0,'Données projet'!$E$10+1,1))</f>
        <v>#N/A</v>
      </c>
      <c r="AO47" s="59" t="e">
        <f t="shared" si="36"/>
        <v>#N/A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 t="e">
        <f>EXP(-LN(2)/35)*AU46+(1-EXP(-LN(2)/35))/(LN(2)/35)*AQ47*AR47*VLOOKUP('Données projet'!$B$10,Paramètres!$A$1:$I$89,3,0)*0.475*44/12</f>
        <v>#N/A</v>
      </c>
      <c r="AV47" s="21" t="e">
        <f>EXP(-LN(2)/25)*AV46+(1-EXP(-LN(2)/25))/(LN(2)/25)*Calculateur!AQ47*Calculateur!AS47*VLOOKUP('Données projet'!$B$10,Paramètres!$A$1:$I$89,3,0)*0.475*44/12</f>
        <v>#N/A</v>
      </c>
      <c r="AW47" s="21" t="e">
        <f>EXP(-LN(2)/2)*AW46+(1-EXP(-LN(2)/2))/(LN(2)/2)*AQ47*AT47*VLOOKUP('Données projet'!$B$10,Paramètres!$A$1:$I$89,3,0)*0.475*44/12</f>
        <v>#N/A</v>
      </c>
      <c r="AX47" s="21" t="e">
        <f t="shared" si="6"/>
        <v>#N/A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3">
        <f>'Scénario référence'!$B$16*5+'Scénario référence'!$B$17*0+'Scénario référence'!$B$18*5</f>
        <v>5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3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67">
        <f t="shared" si="1"/>
        <v>183.33333333333334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503.89</v>
      </c>
      <c r="L48" s="12">
        <f>VLOOKUP(A48,'Données projet'!$A$35:$I$55,9,0)</f>
        <v>18.811538461538461</v>
      </c>
      <c r="M48" s="12">
        <f t="array" ref="M48">INDEX(L:L,MIN(IF(ISNUMBER(L48:L244),ROW(L48:L244),"")))</f>
        <v>18.811538461538461</v>
      </c>
      <c r="N48" s="13">
        <f>IF('Données projet'!$A$36&gt;35,N47+M48-V47,IF(A48&lt;'Données projet'!$A$36,$K$205^A48,IF(A48='Données projet'!$A$36,'Données projet'!$B$36,N47+M48-V47)))</f>
        <v>503.89000000000021</v>
      </c>
      <c r="O48" s="13">
        <f>N48*VLOOKUP('Données projet'!$B$9,Paramètres!$A$1:$I$89,3,0)*VLOOKUP('Données projet'!$B$9,Paramètres!$A$1:$I$89,5,0)</f>
        <v>301.32622000000015</v>
      </c>
      <c r="P48" s="13">
        <f t="shared" si="33"/>
        <v>71.45441871320989</v>
      </c>
      <c r="Q48" s="20">
        <f t="shared" si="53"/>
        <v>649.25961242550738</v>
      </c>
      <c r="R48" s="59">
        <f t="shared" si="0"/>
        <v>900.88636997634148</v>
      </c>
      <c r="S48" s="59">
        <f ca="1">AVERAGE(OFFSET($R$3,0,0,'Données projet'!$E$9+1,1))-AVERAGE(OFFSET($H$3,0,0,'Données projet'!$E$9+1,1))</f>
        <v>297.34058997955685</v>
      </c>
      <c r="T48" s="59">
        <f t="shared" si="34"/>
        <v>440.06633724144069</v>
      </c>
      <c r="U48" s="15">
        <f>IF(ISNA(VLOOKUP(A48,'Données projet'!$A$35:$I$55,3,0)),0,VLOOKUP(A48,'Données projet'!$A$35:$I$55,3,0))</f>
        <v>5</v>
      </c>
      <c r="V48" s="15">
        <f>IF(ISNA(VLOOKUP(A48,'Données projet'!$A$35:$I$55,4,0)),0,VLOOKUP(A48,'Données projet'!$A$35:$I$55,4,0))</f>
        <v>503.89</v>
      </c>
      <c r="W48" s="16">
        <f>IF(ISNA(VLOOKUP(A48,'Données projet'!$A$35:$I$55,5,0)),0%,VLOOKUP(A48,'Données projet'!$A$35:$I$55,5,0)*VLOOKUP('Données projet'!$B$9,Paramètres!$A$1:$I$89,7,0))</f>
        <v>0.13500000000000001</v>
      </c>
      <c r="X48" s="16">
        <f>IF(ISNA(VLOOKUP(A48,'Données projet'!$A$35:$I$55,6,0)),0%,VLOOKUP(A48,'Données projet'!$A$35:$I$55,6,0)*VLOOKUP('Données projet'!$B$9,Paramètres!$A$1:$I$89,7,0))</f>
        <v>0.22500000000000001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61.754239574815209</v>
      </c>
      <c r="AA48" s="21">
        <f>EXP(-LN(2)/25)*AA47+(1-EXP(-LN(2)/25))/(LN(2)/25)*Calculateur!V48*Calculateur!X48*VLOOKUP('Données projet'!$B$9,Paramètres!$A$1:$I$89,3,0)*0.475*44/12</f>
        <v>124.46419412401119</v>
      </c>
      <c r="AB48" s="21">
        <f>EXP(-LN(2)/2)*AB47+(1-EXP(-LN(2)/2))/(LN(2)/2)*V48*Y48*VLOOKUP('Données projet'!$B$9,Paramètres!$A$1:$I$89,3,0)*0.475*44/12</f>
        <v>0</v>
      </c>
      <c r="AC48" s="22">
        <f t="shared" si="3"/>
        <v>186.2184336988264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0</v>
      </c>
      <c r="AJ48" s="13" t="e">
        <f>AI48*VLOOKUP('Données projet'!$B$10,Paramètres!$A$1:$I$89,3,0)*VLOOKUP('Données projet'!$B$10,Paramètres!$A$1:$I$89,5,0)</f>
        <v>#N/A</v>
      </c>
      <c r="AK48" s="13" t="e">
        <f t="shared" si="35"/>
        <v>#N/A</v>
      </c>
      <c r="AL48" s="20" t="e">
        <f t="shared" si="4"/>
        <v>#N/A</v>
      </c>
      <c r="AM48" s="59" t="e">
        <f t="shared" si="5"/>
        <v>#N/A</v>
      </c>
      <c r="AN48" s="59" t="e">
        <f ca="1">AVERAGE(OFFSET($AM$3,0,0,'Données projet'!$E$10+1,1))-AVERAGE(OFFSET($H$3,0,0,'Données projet'!$E$10+1,1))</f>
        <v>#N/A</v>
      </c>
      <c r="AO48" s="59" t="e">
        <f t="shared" si="36"/>
        <v>#N/A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 t="e">
        <f>EXP(-LN(2)/35)*AU47+(1-EXP(-LN(2)/35))/(LN(2)/35)*AQ48*AR48*VLOOKUP('Données projet'!$B$10,Paramètres!$A$1:$I$89,3,0)*0.475*44/12</f>
        <v>#N/A</v>
      </c>
      <c r="AV48" s="21" t="e">
        <f>EXP(-LN(2)/25)*AV47+(1-EXP(-LN(2)/25))/(LN(2)/25)*Calculateur!AQ48*Calculateur!AS48*VLOOKUP('Données projet'!$B$10,Paramètres!$A$1:$I$89,3,0)*0.475*44/12</f>
        <v>#N/A</v>
      </c>
      <c r="AW48" s="21" t="e">
        <f>EXP(-LN(2)/2)*AW47+(1-EXP(-LN(2)/2))/(LN(2)/2)*AQ48*AT48*VLOOKUP('Données projet'!$B$10,Paramètres!$A$1:$I$89,3,0)*0.475*44/12</f>
        <v>#N/A</v>
      </c>
      <c r="AX48" s="21" t="e">
        <f t="shared" si="6"/>
        <v>#N/A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3">
        <f>'Scénario référence'!$B$16*5+'Scénario référence'!$B$17*0+'Scénario référence'!$B$18*5</f>
        <v>5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3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67">
        <f t="shared" si="1"/>
        <v>183.33333333333334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2.2737367544323206E-13</v>
      </c>
      <c r="O49" s="13">
        <f>N49*VLOOKUP('Données projet'!$B$9,Paramètres!$A$1:$I$89,3,0)*VLOOKUP('Données projet'!$B$9,Paramètres!$A$1:$I$89,5,0)</f>
        <v>1.3596945791505279E-13</v>
      </c>
      <c r="P49" s="13">
        <f t="shared" si="33"/>
        <v>1.9708830566360721E-12</v>
      </c>
      <c r="Q49" s="20">
        <f t="shared" si="53"/>
        <v>3.669434796176543E-12</v>
      </c>
      <c r="R49" s="59">
        <f t="shared" si="0"/>
        <v>252.35027339872931</v>
      </c>
      <c r="S49" s="59">
        <f ca="1">AVERAGE(OFFSET($R$3,0,0,'Données projet'!$E$9+1,1))-AVERAGE(OFFSET($H$3,0,0,'Données projet'!$E$9+1,1))</f>
        <v>297.34058997955685</v>
      </c>
      <c r="T49" s="59">
        <f t="shared" si="34"/>
        <v>440.06633724144069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60.543276603119978</v>
      </c>
      <c r="AA49" s="21">
        <f>EXP(-LN(2)/25)*AA48+(1-EXP(-LN(2)/25))/(LN(2)/25)*Calculateur!V49*Calculateur!X49*VLOOKUP('Données projet'!$B$9,Paramètres!$A$1:$I$89,3,0)*0.475*44/12</f>
        <v>121.06071419040259</v>
      </c>
      <c r="AB49" s="21">
        <f>EXP(-LN(2)/2)*AB48+(1-EXP(-LN(2)/2))/(LN(2)/2)*V49*Y49*VLOOKUP('Données projet'!$B$9,Paramètres!$A$1:$I$89,3,0)*0.475*44/12</f>
        <v>0</v>
      </c>
      <c r="AC49" s="22">
        <f t="shared" si="3"/>
        <v>181.60399079352257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0</v>
      </c>
      <c r="AJ49" s="13" t="e">
        <f>AI49*VLOOKUP('Données projet'!$B$10,Paramètres!$A$1:$I$89,3,0)*VLOOKUP('Données projet'!$B$10,Paramètres!$A$1:$I$89,5,0)</f>
        <v>#N/A</v>
      </c>
      <c r="AK49" s="13" t="e">
        <f t="shared" si="35"/>
        <v>#N/A</v>
      </c>
      <c r="AL49" s="20" t="e">
        <f t="shared" si="4"/>
        <v>#N/A</v>
      </c>
      <c r="AM49" s="59" t="e">
        <f t="shared" si="5"/>
        <v>#N/A</v>
      </c>
      <c r="AN49" s="59" t="e">
        <f ca="1">AVERAGE(OFFSET($AM$3,0,0,'Données projet'!$E$10+1,1))-AVERAGE(OFFSET($H$3,0,0,'Données projet'!$E$10+1,1))</f>
        <v>#N/A</v>
      </c>
      <c r="AO49" s="59" t="e">
        <f t="shared" si="36"/>
        <v>#N/A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 t="e">
        <f>EXP(-LN(2)/35)*AU48+(1-EXP(-LN(2)/35))/(LN(2)/35)*AQ49*AR49*VLOOKUP('Données projet'!$B$10,Paramètres!$A$1:$I$89,3,0)*0.475*44/12</f>
        <v>#N/A</v>
      </c>
      <c r="AV49" s="21" t="e">
        <f>EXP(-LN(2)/25)*AV48+(1-EXP(-LN(2)/25))/(LN(2)/25)*Calculateur!AQ49*Calculateur!AS49*VLOOKUP('Données projet'!$B$10,Paramètres!$A$1:$I$89,3,0)*0.475*44/12</f>
        <v>#N/A</v>
      </c>
      <c r="AW49" s="21" t="e">
        <f>EXP(-LN(2)/2)*AW48+(1-EXP(-LN(2)/2))/(LN(2)/2)*AQ49*AT49*VLOOKUP('Données projet'!$B$10,Paramètres!$A$1:$I$89,3,0)*0.475*44/12</f>
        <v>#N/A</v>
      </c>
      <c r="AX49" s="21" t="e">
        <f t="shared" si="6"/>
        <v>#N/A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3">
        <f>'Scénario référence'!$B$16*5+'Scénario référence'!$B$17*0+'Scénario référence'!$B$18*5</f>
        <v>5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3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67">
        <f t="shared" si="1"/>
        <v>183.33333333333334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2.2737367544323206E-13</v>
      </c>
      <c r="O50" s="13">
        <f>N50*VLOOKUP('Données projet'!$B$9,Paramètres!$A$1:$I$89,3,0)*VLOOKUP('Données projet'!$B$9,Paramètres!$A$1:$I$89,5,0)</f>
        <v>1.3596945791505279E-13</v>
      </c>
      <c r="P50" s="13">
        <f t="shared" si="33"/>
        <v>1.9708830566360721E-12</v>
      </c>
      <c r="Q50" s="20">
        <f t="shared" si="53"/>
        <v>3.669434796176543E-12</v>
      </c>
      <c r="R50" s="59">
        <f t="shared" si="0"/>
        <v>253.06123786419906</v>
      </c>
      <c r="S50" s="59">
        <f ca="1">AVERAGE(OFFSET($R$3,0,0,'Données projet'!$E$9+1,1))-AVERAGE(OFFSET($H$3,0,0,'Données projet'!$E$9+1,1))</f>
        <v>297.34058997955685</v>
      </c>
      <c r="T50" s="59">
        <f t="shared" si="34"/>
        <v>440.06633724144069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59.356059876685208</v>
      </c>
      <c r="AA50" s="21">
        <f>EXP(-LN(2)/25)*AA49+(1-EXP(-LN(2)/25))/(LN(2)/25)*Calculateur!V50*Calculateur!X50*VLOOKUP('Données projet'!$B$9,Paramètres!$A$1:$I$89,3,0)*0.475*44/12</f>
        <v>117.75030259455976</v>
      </c>
      <c r="AB50" s="21">
        <f>EXP(-LN(2)/2)*AB49+(1-EXP(-LN(2)/2))/(LN(2)/2)*V50*Y50*VLOOKUP('Données projet'!$B$9,Paramètres!$A$1:$I$89,3,0)*0.475*44/12</f>
        <v>0</v>
      </c>
      <c r="AC50" s="22">
        <f t="shared" si="3"/>
        <v>177.10636247124495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0</v>
      </c>
      <c r="AJ50" s="13" t="e">
        <f>AI50*VLOOKUP('Données projet'!$B$10,Paramètres!$A$1:$I$89,3,0)*VLOOKUP('Données projet'!$B$10,Paramètres!$A$1:$I$89,5,0)</f>
        <v>#N/A</v>
      </c>
      <c r="AK50" s="13" t="e">
        <f t="shared" si="35"/>
        <v>#N/A</v>
      </c>
      <c r="AL50" s="20" t="e">
        <f t="shared" si="4"/>
        <v>#N/A</v>
      </c>
      <c r="AM50" s="59" t="e">
        <f t="shared" si="5"/>
        <v>#N/A</v>
      </c>
      <c r="AN50" s="59" t="e">
        <f ca="1">AVERAGE(OFFSET($AM$3,0,0,'Données projet'!$E$10+1,1))-AVERAGE(OFFSET($H$3,0,0,'Données projet'!$E$10+1,1))</f>
        <v>#N/A</v>
      </c>
      <c r="AO50" s="59" t="e">
        <f t="shared" si="36"/>
        <v>#N/A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 t="e">
        <f>EXP(-LN(2)/35)*AU49+(1-EXP(-LN(2)/35))/(LN(2)/35)*AQ50*AR50*VLOOKUP('Données projet'!$B$10,Paramètres!$A$1:$I$89,3,0)*0.475*44/12</f>
        <v>#N/A</v>
      </c>
      <c r="AV50" s="21" t="e">
        <f>EXP(-LN(2)/25)*AV49+(1-EXP(-LN(2)/25))/(LN(2)/25)*Calculateur!AQ50*Calculateur!AS50*VLOOKUP('Données projet'!$B$10,Paramètres!$A$1:$I$89,3,0)*0.475*44/12</f>
        <v>#N/A</v>
      </c>
      <c r="AW50" s="21" t="e">
        <f>EXP(-LN(2)/2)*AW49+(1-EXP(-LN(2)/2))/(LN(2)/2)*AQ50*AT50*VLOOKUP('Données projet'!$B$10,Paramètres!$A$1:$I$89,3,0)*0.475*44/12</f>
        <v>#N/A</v>
      </c>
      <c r="AX50" s="21" t="e">
        <f t="shared" si="6"/>
        <v>#N/A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3">
        <f>'Scénario référence'!$B$16*5+'Scénario référence'!$B$17*0+'Scénario référence'!$B$18*5</f>
        <v>5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3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67">
        <f t="shared" si="1"/>
        <v>183.33333333333334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2.2737367544323206E-13</v>
      </c>
      <c r="O51" s="13">
        <f>N51*VLOOKUP('Données projet'!$B$9,Paramètres!$A$1:$I$89,3,0)*VLOOKUP('Données projet'!$B$9,Paramètres!$A$1:$I$89,5,0)</f>
        <v>1.3596945791505279E-13</v>
      </c>
      <c r="P51" s="13">
        <f t="shared" si="33"/>
        <v>1.9708830566360721E-12</v>
      </c>
      <c r="Q51" s="20">
        <f t="shared" si="53"/>
        <v>3.669434796176543E-12</v>
      </c>
      <c r="R51" s="59">
        <f t="shared" si="0"/>
        <v>253.75986868567136</v>
      </c>
      <c r="S51" s="59">
        <f ca="1">AVERAGE(OFFSET($R$3,0,0,'Données projet'!$E$9+1,1))-AVERAGE(OFFSET($H$3,0,0,'Données projet'!$E$9+1,1))</f>
        <v>297.34058997955685</v>
      </c>
      <c r="T51" s="59">
        <f t="shared" si="34"/>
        <v>440.06633724144069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58.192123746125127</v>
      </c>
      <c r="AA51" s="21">
        <f>EXP(-LN(2)/25)*AA50+(1-EXP(-LN(2)/25))/(LN(2)/25)*Calculateur!V51*Calculateur!X51*VLOOKUP('Données projet'!$B$9,Paramètres!$A$1:$I$89,3,0)*0.475*44/12</f>
        <v>114.53041437789223</v>
      </c>
      <c r="AB51" s="21">
        <f>EXP(-LN(2)/2)*AB50+(1-EXP(-LN(2)/2))/(LN(2)/2)*V51*Y51*VLOOKUP('Données projet'!$B$9,Paramètres!$A$1:$I$89,3,0)*0.475*44/12</f>
        <v>0</v>
      </c>
      <c r="AC51" s="22">
        <f t="shared" si="3"/>
        <v>172.72253812401735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0</v>
      </c>
      <c r="AJ51" s="13" t="e">
        <f>AI51*VLOOKUP('Données projet'!$B$10,Paramètres!$A$1:$I$89,3,0)*VLOOKUP('Données projet'!$B$10,Paramètres!$A$1:$I$89,5,0)</f>
        <v>#N/A</v>
      </c>
      <c r="AK51" s="13" t="e">
        <f t="shared" si="35"/>
        <v>#N/A</v>
      </c>
      <c r="AL51" s="20" t="e">
        <f t="shared" si="4"/>
        <v>#N/A</v>
      </c>
      <c r="AM51" s="59" t="e">
        <f t="shared" si="5"/>
        <v>#N/A</v>
      </c>
      <c r="AN51" s="59" t="e">
        <f ca="1">AVERAGE(OFFSET($AM$3,0,0,'Données projet'!$E$10+1,1))-AVERAGE(OFFSET($H$3,0,0,'Données projet'!$E$10+1,1))</f>
        <v>#N/A</v>
      </c>
      <c r="AO51" s="59" t="e">
        <f t="shared" si="36"/>
        <v>#N/A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 t="e">
        <f>EXP(-LN(2)/35)*AU50+(1-EXP(-LN(2)/35))/(LN(2)/35)*AQ51*AR51*VLOOKUP('Données projet'!$B$10,Paramètres!$A$1:$I$89,3,0)*0.475*44/12</f>
        <v>#N/A</v>
      </c>
      <c r="AV51" s="21" t="e">
        <f>EXP(-LN(2)/25)*AV50+(1-EXP(-LN(2)/25))/(LN(2)/25)*Calculateur!AQ51*Calculateur!AS51*VLOOKUP('Données projet'!$B$10,Paramètres!$A$1:$I$89,3,0)*0.475*44/12</f>
        <v>#N/A</v>
      </c>
      <c r="AW51" s="21" t="e">
        <f>EXP(-LN(2)/2)*AW50+(1-EXP(-LN(2)/2))/(LN(2)/2)*AQ51*AT51*VLOOKUP('Données projet'!$B$10,Paramètres!$A$1:$I$89,3,0)*0.475*44/12</f>
        <v>#N/A</v>
      </c>
      <c r="AX51" s="21" t="e">
        <f t="shared" si="6"/>
        <v>#N/A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3">
        <f>'Scénario référence'!$B$16*5+'Scénario référence'!$B$17*0+'Scénario référence'!$B$18*5</f>
        <v>5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3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67">
        <f t="shared" si="1"/>
        <v>183.33333333333334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2.2737367544323206E-13</v>
      </c>
      <c r="O52" s="13">
        <f>N52*VLOOKUP('Données projet'!$B$9,Paramètres!$A$1:$I$89,3,0)*VLOOKUP('Données projet'!$B$9,Paramètres!$A$1:$I$89,5,0)</f>
        <v>1.3596945791505279E-13</v>
      </c>
      <c r="P52" s="13">
        <f t="shared" si="33"/>
        <v>1.9708830566360721E-12</v>
      </c>
      <c r="Q52" s="20">
        <f t="shared" si="53"/>
        <v>3.669434796176543E-12</v>
      </c>
      <c r="R52" s="59">
        <f t="shared" si="0"/>
        <v>254.44637982429563</v>
      </c>
      <c r="S52" s="59">
        <f ca="1">AVERAGE(OFFSET($R$3,0,0,'Données projet'!$E$9+1,1))-AVERAGE(OFFSET($H$3,0,0,'Données projet'!$E$9+1,1))</f>
        <v>297.34058997955685</v>
      </c>
      <c r="T52" s="59">
        <f t="shared" si="34"/>
        <v>440.06633724144069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57.051011693154386</v>
      </c>
      <c r="AA52" s="21">
        <f>EXP(-LN(2)/25)*AA51+(1-EXP(-LN(2)/25))/(LN(2)/25)*Calculateur!V52*Calculateur!X52*VLOOKUP('Données projet'!$B$9,Paramètres!$A$1:$I$89,3,0)*0.475*44/12</f>
        <v>111.39857417383604</v>
      </c>
      <c r="AB52" s="21">
        <f>EXP(-LN(2)/2)*AB51+(1-EXP(-LN(2)/2))/(LN(2)/2)*V52*Y52*VLOOKUP('Données projet'!$B$9,Paramètres!$A$1:$I$89,3,0)*0.475*44/12</f>
        <v>0</v>
      </c>
      <c r="AC52" s="22">
        <f t="shared" si="3"/>
        <v>168.44958586699042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0</v>
      </c>
      <c r="AJ52" s="13" t="e">
        <f>AI52*VLOOKUP('Données projet'!$B$10,Paramètres!$A$1:$I$89,3,0)*VLOOKUP('Données projet'!$B$10,Paramètres!$A$1:$I$89,5,0)</f>
        <v>#N/A</v>
      </c>
      <c r="AK52" s="13" t="e">
        <f t="shared" si="35"/>
        <v>#N/A</v>
      </c>
      <c r="AL52" s="20" t="e">
        <f t="shared" si="4"/>
        <v>#N/A</v>
      </c>
      <c r="AM52" s="59" t="e">
        <f t="shared" si="5"/>
        <v>#N/A</v>
      </c>
      <c r="AN52" s="59" t="e">
        <f ca="1">AVERAGE(OFFSET($AM$3,0,0,'Données projet'!$E$10+1,1))-AVERAGE(OFFSET($H$3,0,0,'Données projet'!$E$10+1,1))</f>
        <v>#N/A</v>
      </c>
      <c r="AO52" s="59" t="e">
        <f t="shared" si="36"/>
        <v>#N/A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 t="e">
        <f>EXP(-LN(2)/35)*AU51+(1-EXP(-LN(2)/35))/(LN(2)/35)*AQ52*AR52*VLOOKUP('Données projet'!$B$10,Paramètres!$A$1:$I$89,3,0)*0.475*44/12</f>
        <v>#N/A</v>
      </c>
      <c r="AV52" s="21" t="e">
        <f>EXP(-LN(2)/25)*AV51+(1-EXP(-LN(2)/25))/(LN(2)/25)*Calculateur!AQ52*Calculateur!AS52*VLOOKUP('Données projet'!$B$10,Paramètres!$A$1:$I$89,3,0)*0.475*44/12</f>
        <v>#N/A</v>
      </c>
      <c r="AW52" s="21" t="e">
        <f>EXP(-LN(2)/2)*AW51+(1-EXP(-LN(2)/2))/(LN(2)/2)*AQ52*AT52*VLOOKUP('Données projet'!$B$10,Paramètres!$A$1:$I$89,3,0)*0.475*44/12</f>
        <v>#N/A</v>
      </c>
      <c r="AX52" s="21" t="e">
        <f t="shared" si="6"/>
        <v>#N/A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3">
        <f>'Scénario référence'!$B$16*5+'Scénario référence'!$B$17*0+'Scénario référence'!$B$18*5</f>
        <v>5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3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67">
        <f t="shared" si="1"/>
        <v>183.33333333333334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2.2737367544323206E-13</v>
      </c>
      <c r="O53" s="13">
        <f>N53*VLOOKUP('Données projet'!$B$9,Paramètres!$A$1:$I$89,3,0)*VLOOKUP('Données projet'!$B$9,Paramètres!$A$1:$I$89,5,0)</f>
        <v>1.3596945791505279E-13</v>
      </c>
      <c r="P53" s="13">
        <f t="shared" si="33"/>
        <v>1.9708830566360721E-12</v>
      </c>
      <c r="Q53" s="20">
        <f t="shared" si="53"/>
        <v>3.669434796176543E-12</v>
      </c>
      <c r="R53" s="59">
        <f t="shared" si="0"/>
        <v>255.12098152947377</v>
      </c>
      <c r="S53" s="59">
        <f ca="1">AVERAGE(OFFSET($R$3,0,0,'Données projet'!$E$9+1,1))-AVERAGE(OFFSET($H$3,0,0,'Données projet'!$E$9+1,1))</f>
        <v>297.34058997955685</v>
      </c>
      <c r="T53" s="59">
        <f t="shared" si="34"/>
        <v>440.06633724144069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55.932276151532776</v>
      </c>
      <c r="AA53" s="21">
        <f>EXP(-LN(2)/25)*AA52+(1-EXP(-LN(2)/25))/(LN(2)/25)*Calculateur!V53*Calculateur!X53*VLOOKUP('Données projet'!$B$9,Paramètres!$A$1:$I$89,3,0)*0.475*44/12</f>
        <v>108.35237430485608</v>
      </c>
      <c r="AB53" s="21">
        <f>EXP(-LN(2)/2)*AB52+(1-EXP(-LN(2)/2))/(LN(2)/2)*V53*Y53*VLOOKUP('Données projet'!$B$9,Paramètres!$A$1:$I$89,3,0)*0.475*44/12</f>
        <v>0</v>
      </c>
      <c r="AC53" s="22">
        <f t="shared" si="3"/>
        <v>164.28465045638887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0</v>
      </c>
      <c r="AJ53" s="13" t="e">
        <f>AI53*VLOOKUP('Données projet'!$B$10,Paramètres!$A$1:$I$89,3,0)*VLOOKUP('Données projet'!$B$10,Paramètres!$A$1:$I$89,5,0)</f>
        <v>#N/A</v>
      </c>
      <c r="AK53" s="13" t="e">
        <f t="shared" si="35"/>
        <v>#N/A</v>
      </c>
      <c r="AL53" s="20" t="e">
        <f t="shared" si="4"/>
        <v>#N/A</v>
      </c>
      <c r="AM53" s="59" t="e">
        <f t="shared" si="5"/>
        <v>#N/A</v>
      </c>
      <c r="AN53" s="59" t="e">
        <f ca="1">AVERAGE(OFFSET($AM$3,0,0,'Données projet'!$E$10+1,1))-AVERAGE(OFFSET($H$3,0,0,'Données projet'!$E$10+1,1))</f>
        <v>#N/A</v>
      </c>
      <c r="AO53" s="59" t="e">
        <f t="shared" si="36"/>
        <v>#N/A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 t="e">
        <f>EXP(-LN(2)/35)*AU52+(1-EXP(-LN(2)/35))/(LN(2)/35)*AQ53*AR53*VLOOKUP('Données projet'!$B$10,Paramètres!$A$1:$I$89,3,0)*0.475*44/12</f>
        <v>#N/A</v>
      </c>
      <c r="AV53" s="21" t="e">
        <f>EXP(-LN(2)/25)*AV52+(1-EXP(-LN(2)/25))/(LN(2)/25)*Calculateur!AQ53*Calculateur!AS53*VLOOKUP('Données projet'!$B$10,Paramètres!$A$1:$I$89,3,0)*0.475*44/12</f>
        <v>#N/A</v>
      </c>
      <c r="AW53" s="21" t="e">
        <f>EXP(-LN(2)/2)*AW52+(1-EXP(-LN(2)/2))/(LN(2)/2)*AQ53*AT53*VLOOKUP('Données projet'!$B$10,Paramètres!$A$1:$I$89,3,0)*0.475*44/12</f>
        <v>#N/A</v>
      </c>
      <c r="AX53" s="21" t="e">
        <f t="shared" si="6"/>
        <v>#N/A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3">
        <f>'Scénario référence'!$B$16*5+'Scénario référence'!$B$17*0+'Scénario référence'!$B$18*5</f>
        <v>5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3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67">
        <f t="shared" si="1"/>
        <v>183.33333333333334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2.2737367544323206E-13</v>
      </c>
      <c r="O54" s="13">
        <f>N54*VLOOKUP('Données projet'!$B$9,Paramètres!$A$1:$I$89,3,0)*VLOOKUP('Données projet'!$B$9,Paramètres!$A$1:$I$89,5,0)</f>
        <v>1.3596945791505279E-13</v>
      </c>
      <c r="P54" s="13">
        <f t="shared" si="33"/>
        <v>1.9708830566360721E-12</v>
      </c>
      <c r="Q54" s="20">
        <f t="shared" si="53"/>
        <v>3.669434796176543E-12</v>
      </c>
      <c r="R54" s="59">
        <f t="shared" si="0"/>
        <v>255.78388040325049</v>
      </c>
      <c r="S54" s="59">
        <f ca="1">AVERAGE(OFFSET($R$3,0,0,'Données projet'!$E$9+1,1))-AVERAGE(OFFSET($H$3,0,0,'Données projet'!$E$9+1,1))</f>
        <v>297.34058997955685</v>
      </c>
      <c r="T54" s="59">
        <f t="shared" si="34"/>
        <v>440.06633724144069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54.83547833152106</v>
      </c>
      <c r="AA54" s="21">
        <f>EXP(-LN(2)/25)*AA53+(1-EXP(-LN(2)/25))/(LN(2)/25)*Calculateur!V54*Calculateur!X54*VLOOKUP('Données projet'!$B$9,Paramètres!$A$1:$I$89,3,0)*0.475*44/12</f>
        <v>105.38947293148607</v>
      </c>
      <c r="AB54" s="21">
        <f>EXP(-LN(2)/2)*AB53+(1-EXP(-LN(2)/2))/(LN(2)/2)*V54*Y54*VLOOKUP('Données projet'!$B$9,Paramètres!$A$1:$I$89,3,0)*0.475*44/12</f>
        <v>0</v>
      </c>
      <c r="AC54" s="22">
        <f t="shared" si="3"/>
        <v>160.22495126300714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0</v>
      </c>
      <c r="AJ54" s="13" t="e">
        <f>AI54*VLOOKUP('Données projet'!$B$10,Paramètres!$A$1:$I$89,3,0)*VLOOKUP('Données projet'!$B$10,Paramètres!$A$1:$I$89,5,0)</f>
        <v>#N/A</v>
      </c>
      <c r="AK54" s="13" t="e">
        <f t="shared" si="35"/>
        <v>#N/A</v>
      </c>
      <c r="AL54" s="20" t="e">
        <f t="shared" si="4"/>
        <v>#N/A</v>
      </c>
      <c r="AM54" s="59" t="e">
        <f t="shared" si="5"/>
        <v>#N/A</v>
      </c>
      <c r="AN54" s="59" t="e">
        <f ca="1">AVERAGE(OFFSET($AM$3,0,0,'Données projet'!$E$10+1,1))-AVERAGE(OFFSET($H$3,0,0,'Données projet'!$E$10+1,1))</f>
        <v>#N/A</v>
      </c>
      <c r="AO54" s="59" t="e">
        <f t="shared" si="36"/>
        <v>#N/A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 t="e">
        <f>EXP(-LN(2)/35)*AU53+(1-EXP(-LN(2)/35))/(LN(2)/35)*AQ54*AR54*VLOOKUP('Données projet'!$B$10,Paramètres!$A$1:$I$89,3,0)*0.475*44/12</f>
        <v>#N/A</v>
      </c>
      <c r="AV54" s="21" t="e">
        <f>EXP(-LN(2)/25)*AV53+(1-EXP(-LN(2)/25))/(LN(2)/25)*Calculateur!AQ54*Calculateur!AS54*VLOOKUP('Données projet'!$B$10,Paramètres!$A$1:$I$89,3,0)*0.475*44/12</f>
        <v>#N/A</v>
      </c>
      <c r="AW54" s="21" t="e">
        <f>EXP(-LN(2)/2)*AW53+(1-EXP(-LN(2)/2))/(LN(2)/2)*AQ54*AT54*VLOOKUP('Données projet'!$B$10,Paramètres!$A$1:$I$89,3,0)*0.475*44/12</f>
        <v>#N/A</v>
      </c>
      <c r="AX54" s="21" t="e">
        <f t="shared" si="6"/>
        <v>#N/A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3">
        <f>'Scénario référence'!$B$16*5+'Scénario référence'!$B$17*0+'Scénario référence'!$B$18*5</f>
        <v>5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3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67">
        <f t="shared" si="1"/>
        <v>183.33333333333334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2.2737367544323206E-13</v>
      </c>
      <c r="O55" s="13">
        <f>N55*VLOOKUP('Données projet'!$B$9,Paramètres!$A$1:$I$89,3,0)*VLOOKUP('Données projet'!$B$9,Paramètres!$A$1:$I$89,5,0)</f>
        <v>1.3596945791505279E-13</v>
      </c>
      <c r="P55" s="13">
        <f t="shared" si="33"/>
        <v>1.9708830566360721E-12</v>
      </c>
      <c r="Q55" s="20">
        <f t="shared" si="53"/>
        <v>3.669434796176543E-12</v>
      </c>
      <c r="R55" s="59">
        <f t="shared" si="0"/>
        <v>256.43527946358705</v>
      </c>
      <c r="S55" s="59">
        <f ca="1">AVERAGE(OFFSET($R$3,0,0,'Données projet'!$E$9+1,1))-AVERAGE(OFFSET($H$3,0,0,'Données projet'!$E$9+1,1))</f>
        <v>297.34058997955685</v>
      </c>
      <c r="T55" s="59">
        <f t="shared" si="34"/>
        <v>440.06633724144069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53.76018804777916</v>
      </c>
      <c r="AA55" s="21">
        <f>EXP(-LN(2)/25)*AA54+(1-EXP(-LN(2)/25))/(LN(2)/25)*Calculateur!V55*Calculateur!X55*VLOOKUP('Données projet'!$B$9,Paramètres!$A$1:$I$89,3,0)*0.475*44/12</f>
        <v>102.50759225198307</v>
      </c>
      <c r="AB55" s="21">
        <f>EXP(-LN(2)/2)*AB54+(1-EXP(-LN(2)/2))/(LN(2)/2)*V55*Y55*VLOOKUP('Données projet'!$B$9,Paramètres!$A$1:$I$89,3,0)*0.475*44/12</f>
        <v>0</v>
      </c>
      <c r="AC55" s="22">
        <f t="shared" si="3"/>
        <v>156.26778029976222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0</v>
      </c>
      <c r="AJ55" s="13" t="e">
        <f>AI55*VLOOKUP('Données projet'!$B$10,Paramètres!$A$1:$I$89,3,0)*VLOOKUP('Données projet'!$B$10,Paramètres!$A$1:$I$89,5,0)</f>
        <v>#N/A</v>
      </c>
      <c r="AK55" s="13" t="e">
        <f t="shared" si="35"/>
        <v>#N/A</v>
      </c>
      <c r="AL55" s="20" t="e">
        <f t="shared" si="4"/>
        <v>#N/A</v>
      </c>
      <c r="AM55" s="59" t="e">
        <f t="shared" si="5"/>
        <v>#N/A</v>
      </c>
      <c r="AN55" s="59" t="e">
        <f ca="1">AVERAGE(OFFSET($AM$3,0,0,'Données projet'!$E$10+1,1))-AVERAGE(OFFSET($H$3,0,0,'Données projet'!$E$10+1,1))</f>
        <v>#N/A</v>
      </c>
      <c r="AO55" s="59" t="e">
        <f t="shared" si="36"/>
        <v>#N/A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 t="e">
        <f>EXP(-LN(2)/35)*AU54+(1-EXP(-LN(2)/35))/(LN(2)/35)*AQ55*AR55*VLOOKUP('Données projet'!$B$10,Paramètres!$A$1:$I$89,3,0)*0.475*44/12</f>
        <v>#N/A</v>
      </c>
      <c r="AV55" s="21" t="e">
        <f>EXP(-LN(2)/25)*AV54+(1-EXP(-LN(2)/25))/(LN(2)/25)*Calculateur!AQ55*Calculateur!AS55*VLOOKUP('Données projet'!$B$10,Paramètres!$A$1:$I$89,3,0)*0.475*44/12</f>
        <v>#N/A</v>
      </c>
      <c r="AW55" s="21" t="e">
        <f>EXP(-LN(2)/2)*AW54+(1-EXP(-LN(2)/2))/(LN(2)/2)*AQ55*AT55*VLOOKUP('Données projet'!$B$10,Paramètres!$A$1:$I$89,3,0)*0.475*44/12</f>
        <v>#N/A</v>
      </c>
      <c r="AX55" s="21" t="e">
        <f t="shared" si="6"/>
        <v>#N/A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3">
        <f>'Scénario référence'!$B$16*5+'Scénario référence'!$B$17*0+'Scénario référence'!$B$18*5</f>
        <v>5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3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67">
        <f t="shared" si="1"/>
        <v>183.33333333333334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2.2737367544323206E-13</v>
      </c>
      <c r="O56" s="13">
        <f>N56*VLOOKUP('Données projet'!$B$9,Paramètres!$A$1:$I$89,3,0)*VLOOKUP('Données projet'!$B$9,Paramètres!$A$1:$I$89,5,0)</f>
        <v>1.3596945791505279E-13</v>
      </c>
      <c r="P56" s="13">
        <f t="shared" si="33"/>
        <v>1.9708830566360721E-12</v>
      </c>
      <c r="Q56" s="20">
        <f t="shared" si="53"/>
        <v>3.669434796176543E-12</v>
      </c>
      <c r="R56" s="59">
        <f t="shared" si="0"/>
        <v>257.07537820653693</v>
      </c>
      <c r="S56" s="59">
        <f ca="1">AVERAGE(OFFSET($R$3,0,0,'Données projet'!$E$9+1,1))-AVERAGE(OFFSET($H$3,0,0,'Données projet'!$E$9+1,1))</f>
        <v>297.34058997955685</v>
      </c>
      <c r="T56" s="59">
        <f t="shared" si="34"/>
        <v>440.06633724144069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52.705983550639125</v>
      </c>
      <c r="AA56" s="21">
        <f>EXP(-LN(2)/25)*AA55+(1-EXP(-LN(2)/25))/(LN(2)/25)*Calculateur!V56*Calculateur!X56*VLOOKUP('Données projet'!$B$9,Paramètres!$A$1:$I$89,3,0)*0.475*44/12</f>
        <v>99.704516751212594</v>
      </c>
      <c r="AB56" s="21">
        <f>EXP(-LN(2)/2)*AB55+(1-EXP(-LN(2)/2))/(LN(2)/2)*V56*Y56*VLOOKUP('Données projet'!$B$9,Paramètres!$A$1:$I$89,3,0)*0.475*44/12</f>
        <v>0</v>
      </c>
      <c r="AC56" s="22">
        <f t="shared" si="3"/>
        <v>152.41050030185173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0</v>
      </c>
      <c r="AJ56" s="13" t="e">
        <f>AI56*VLOOKUP('Données projet'!$B$10,Paramètres!$A$1:$I$89,3,0)*VLOOKUP('Données projet'!$B$10,Paramètres!$A$1:$I$89,5,0)</f>
        <v>#N/A</v>
      </c>
      <c r="AK56" s="13" t="e">
        <f t="shared" si="35"/>
        <v>#N/A</v>
      </c>
      <c r="AL56" s="20" t="e">
        <f t="shared" si="4"/>
        <v>#N/A</v>
      </c>
      <c r="AM56" s="59" t="e">
        <f t="shared" si="5"/>
        <v>#N/A</v>
      </c>
      <c r="AN56" s="59" t="e">
        <f ca="1">AVERAGE(OFFSET($AM$3,0,0,'Données projet'!$E$10+1,1))-AVERAGE(OFFSET($H$3,0,0,'Données projet'!$E$10+1,1))</f>
        <v>#N/A</v>
      </c>
      <c r="AO56" s="59" t="e">
        <f t="shared" si="36"/>
        <v>#N/A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 t="e">
        <f>EXP(-LN(2)/35)*AU55+(1-EXP(-LN(2)/35))/(LN(2)/35)*AQ56*AR56*VLOOKUP('Données projet'!$B$10,Paramètres!$A$1:$I$89,3,0)*0.475*44/12</f>
        <v>#N/A</v>
      </c>
      <c r="AV56" s="21" t="e">
        <f>EXP(-LN(2)/25)*AV55+(1-EXP(-LN(2)/25))/(LN(2)/25)*Calculateur!AQ56*Calculateur!AS56*VLOOKUP('Données projet'!$B$10,Paramètres!$A$1:$I$89,3,0)*0.475*44/12</f>
        <v>#N/A</v>
      </c>
      <c r="AW56" s="21" t="e">
        <f>EXP(-LN(2)/2)*AW55+(1-EXP(-LN(2)/2))/(LN(2)/2)*AQ56*AT56*VLOOKUP('Données projet'!$B$10,Paramètres!$A$1:$I$89,3,0)*0.475*44/12</f>
        <v>#N/A</v>
      </c>
      <c r="AX56" s="21" t="e">
        <f t="shared" si="6"/>
        <v>#N/A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3">
        <f>'Scénario référence'!$B$16*5+'Scénario référence'!$B$17*0+'Scénario référence'!$B$18*5</f>
        <v>5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3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67">
        <f t="shared" si="1"/>
        <v>183.33333333333334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2.2737367544323206E-13</v>
      </c>
      <c r="O57" s="13">
        <f>N57*VLOOKUP('Données projet'!$B$9,Paramètres!$A$1:$I$89,3,0)*VLOOKUP('Données projet'!$B$9,Paramètres!$A$1:$I$89,5,0)</f>
        <v>1.3596945791505279E-13</v>
      </c>
      <c r="P57" s="13">
        <f t="shared" si="33"/>
        <v>1.9708830566360721E-12</v>
      </c>
      <c r="Q57" s="20">
        <f t="shared" si="53"/>
        <v>3.669434796176543E-12</v>
      </c>
      <c r="R57" s="59">
        <f t="shared" si="0"/>
        <v>257.70437266734302</v>
      </c>
      <c r="S57" s="59">
        <f ca="1">AVERAGE(OFFSET($R$3,0,0,'Données projet'!$E$9+1,1))-AVERAGE(OFFSET($H$3,0,0,'Données projet'!$E$9+1,1))</f>
        <v>297.34058997955685</v>
      </c>
      <c r="T57" s="59">
        <f t="shared" si="34"/>
        <v>440.06633724144069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51.672451360686757</v>
      </c>
      <c r="AA57" s="21">
        <f>EXP(-LN(2)/25)*AA56+(1-EXP(-LN(2)/25))/(LN(2)/25)*Calculateur!V57*Calculateur!X57*VLOOKUP('Données projet'!$B$9,Paramètres!$A$1:$I$89,3,0)*0.475*44/12</f>
        <v>96.978091497418035</v>
      </c>
      <c r="AB57" s="21">
        <f>EXP(-LN(2)/2)*AB56+(1-EXP(-LN(2)/2))/(LN(2)/2)*V57*Y57*VLOOKUP('Données projet'!$B$9,Paramètres!$A$1:$I$89,3,0)*0.475*44/12</f>
        <v>0</v>
      </c>
      <c r="AC57" s="22">
        <f t="shared" si="3"/>
        <v>148.65054285810479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0</v>
      </c>
      <c r="AJ57" s="13" t="e">
        <f>AI57*VLOOKUP('Données projet'!$B$10,Paramètres!$A$1:$I$89,3,0)*VLOOKUP('Données projet'!$B$10,Paramètres!$A$1:$I$89,5,0)</f>
        <v>#N/A</v>
      </c>
      <c r="AK57" s="13" t="e">
        <f t="shared" si="35"/>
        <v>#N/A</v>
      </c>
      <c r="AL57" s="20" t="e">
        <f t="shared" si="4"/>
        <v>#N/A</v>
      </c>
      <c r="AM57" s="59" t="e">
        <f t="shared" si="5"/>
        <v>#N/A</v>
      </c>
      <c r="AN57" s="59" t="e">
        <f ca="1">AVERAGE(OFFSET($AM$3,0,0,'Données projet'!$E$10+1,1))-AVERAGE(OFFSET($H$3,0,0,'Données projet'!$E$10+1,1))</f>
        <v>#N/A</v>
      </c>
      <c r="AO57" s="59" t="e">
        <f t="shared" si="36"/>
        <v>#N/A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 t="e">
        <f>EXP(-LN(2)/35)*AU56+(1-EXP(-LN(2)/35))/(LN(2)/35)*AQ57*AR57*VLOOKUP('Données projet'!$B$10,Paramètres!$A$1:$I$89,3,0)*0.475*44/12</f>
        <v>#N/A</v>
      </c>
      <c r="AV57" s="21" t="e">
        <f>EXP(-LN(2)/25)*AV56+(1-EXP(-LN(2)/25))/(LN(2)/25)*Calculateur!AQ57*Calculateur!AS57*VLOOKUP('Données projet'!$B$10,Paramètres!$A$1:$I$89,3,0)*0.475*44/12</f>
        <v>#N/A</v>
      </c>
      <c r="AW57" s="21" t="e">
        <f>EXP(-LN(2)/2)*AW56+(1-EXP(-LN(2)/2))/(LN(2)/2)*AQ57*AT57*VLOOKUP('Données projet'!$B$10,Paramètres!$A$1:$I$89,3,0)*0.475*44/12</f>
        <v>#N/A</v>
      </c>
      <c r="AX57" s="21" t="e">
        <f t="shared" si="6"/>
        <v>#N/A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3">
        <f>'Scénario référence'!$B$16*5+'Scénario référence'!$B$17*0+'Scénario référence'!$B$18*5</f>
        <v>5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3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67">
        <f t="shared" si="1"/>
        <v>183.33333333333334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2.2737367544323206E-13</v>
      </c>
      <c r="O58" s="13">
        <f>N58*VLOOKUP('Données projet'!$B$9,Paramètres!$A$1:$I$89,3,0)*VLOOKUP('Données projet'!$B$9,Paramètres!$A$1:$I$89,5,0)</f>
        <v>1.3596945791505279E-13</v>
      </c>
      <c r="P58" s="13">
        <f t="shared" si="33"/>
        <v>1.9708830566360721E-12</v>
      </c>
      <c r="Q58" s="20">
        <f t="shared" si="53"/>
        <v>3.669434796176543E-12</v>
      </c>
      <c r="R58" s="59">
        <f t="shared" si="0"/>
        <v>258.32245548047507</v>
      </c>
      <c r="S58" s="59">
        <f ca="1">AVERAGE(OFFSET($R$3,0,0,'Données projet'!$E$9+1,1))-AVERAGE(OFFSET($H$3,0,0,'Données projet'!$E$9+1,1))</f>
        <v>297.34058997955685</v>
      </c>
      <c r="T58" s="59">
        <f t="shared" si="34"/>
        <v>440.06633724144069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50.659186106586965</v>
      </c>
      <c r="AA58" s="21">
        <f>EXP(-LN(2)/25)*AA57+(1-EXP(-LN(2)/25))/(LN(2)/25)*Calculateur!V58*Calculateur!X58*VLOOKUP('Données projet'!$B$9,Paramètres!$A$1:$I$89,3,0)*0.475*44/12</f>
        <v>94.32622048556496</v>
      </c>
      <c r="AB58" s="21">
        <f>EXP(-LN(2)/2)*AB57+(1-EXP(-LN(2)/2))/(LN(2)/2)*V58*Y58*VLOOKUP('Données projet'!$B$9,Paramètres!$A$1:$I$89,3,0)*0.475*44/12</f>
        <v>0</v>
      </c>
      <c r="AC58" s="22">
        <f t="shared" si="3"/>
        <v>144.98540659215192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0</v>
      </c>
      <c r="AJ58" s="13" t="e">
        <f>AI58*VLOOKUP('Données projet'!$B$10,Paramètres!$A$1:$I$89,3,0)*VLOOKUP('Données projet'!$B$10,Paramètres!$A$1:$I$89,5,0)</f>
        <v>#N/A</v>
      </c>
      <c r="AK58" s="13" t="e">
        <f t="shared" si="35"/>
        <v>#N/A</v>
      </c>
      <c r="AL58" s="20" t="e">
        <f t="shared" si="4"/>
        <v>#N/A</v>
      </c>
      <c r="AM58" s="59" t="e">
        <f t="shared" si="5"/>
        <v>#N/A</v>
      </c>
      <c r="AN58" s="59" t="e">
        <f ca="1">AVERAGE(OFFSET($AM$3,0,0,'Données projet'!$E$10+1,1))-AVERAGE(OFFSET($H$3,0,0,'Données projet'!$E$10+1,1))</f>
        <v>#N/A</v>
      </c>
      <c r="AO58" s="59" t="e">
        <f t="shared" si="36"/>
        <v>#N/A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 t="e">
        <f>EXP(-LN(2)/35)*AU57+(1-EXP(-LN(2)/35))/(LN(2)/35)*AQ58*AR58*VLOOKUP('Données projet'!$B$10,Paramètres!$A$1:$I$89,3,0)*0.475*44/12</f>
        <v>#N/A</v>
      </c>
      <c r="AV58" s="21" t="e">
        <f>EXP(-LN(2)/25)*AV57+(1-EXP(-LN(2)/25))/(LN(2)/25)*Calculateur!AQ58*Calculateur!AS58*VLOOKUP('Données projet'!$B$10,Paramètres!$A$1:$I$89,3,0)*0.475*44/12</f>
        <v>#N/A</v>
      </c>
      <c r="AW58" s="21" t="e">
        <f>EXP(-LN(2)/2)*AW57+(1-EXP(-LN(2)/2))/(LN(2)/2)*AQ58*AT58*VLOOKUP('Données projet'!$B$10,Paramètres!$A$1:$I$89,3,0)*0.475*44/12</f>
        <v>#N/A</v>
      </c>
      <c r="AX58" s="21" t="e">
        <f t="shared" si="6"/>
        <v>#N/A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3">
        <f>'Scénario référence'!$B$16*5+'Scénario référence'!$B$17*0+'Scénario référence'!$B$18*5</f>
        <v>5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3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67">
        <f t="shared" si="1"/>
        <v>183.33333333333334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2.2737367544323206E-13</v>
      </c>
      <c r="O59" s="13">
        <f>N59*VLOOKUP('Données projet'!$B$9,Paramètres!$A$1:$I$89,3,0)*VLOOKUP('Données projet'!$B$9,Paramètres!$A$1:$I$89,5,0)</f>
        <v>1.3596945791505279E-13</v>
      </c>
      <c r="P59" s="13">
        <f t="shared" si="33"/>
        <v>1.9708830566360721E-12</v>
      </c>
      <c r="Q59" s="20">
        <f t="shared" si="53"/>
        <v>3.669434796176543E-12</v>
      </c>
      <c r="R59" s="59">
        <f t="shared" si="0"/>
        <v>258.92981593862544</v>
      </c>
      <c r="S59" s="59">
        <f ca="1">AVERAGE(OFFSET($R$3,0,0,'Données projet'!$E$9+1,1))-AVERAGE(OFFSET($H$3,0,0,'Données projet'!$E$9+1,1))</f>
        <v>297.34058997955685</v>
      </c>
      <c r="T59" s="59">
        <f t="shared" si="34"/>
        <v>440.06633724144069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49.66579036608929</v>
      </c>
      <c r="AA59" s="21">
        <f>EXP(-LN(2)/25)*AA58+(1-EXP(-LN(2)/25))/(LN(2)/25)*Calculateur!V59*Calculateur!X59*VLOOKUP('Données projet'!$B$9,Paramètres!$A$1:$I$89,3,0)*0.475*44/12</f>
        <v>91.746865025986835</v>
      </c>
      <c r="AB59" s="21">
        <f>EXP(-LN(2)/2)*AB58+(1-EXP(-LN(2)/2))/(LN(2)/2)*V59*Y59*VLOOKUP('Données projet'!$B$9,Paramètres!$A$1:$I$89,3,0)*0.475*44/12</f>
        <v>0</v>
      </c>
      <c r="AC59" s="22">
        <f t="shared" si="3"/>
        <v>141.41265539207612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0</v>
      </c>
      <c r="AJ59" s="13" t="e">
        <f>AI59*VLOOKUP('Données projet'!$B$10,Paramètres!$A$1:$I$89,3,0)*VLOOKUP('Données projet'!$B$10,Paramètres!$A$1:$I$89,5,0)</f>
        <v>#N/A</v>
      </c>
      <c r="AK59" s="13" t="e">
        <f t="shared" si="35"/>
        <v>#N/A</v>
      </c>
      <c r="AL59" s="20" t="e">
        <f t="shared" si="4"/>
        <v>#N/A</v>
      </c>
      <c r="AM59" s="59" t="e">
        <f t="shared" si="5"/>
        <v>#N/A</v>
      </c>
      <c r="AN59" s="59" t="e">
        <f ca="1">AVERAGE(OFFSET($AM$3,0,0,'Données projet'!$E$10+1,1))-AVERAGE(OFFSET($H$3,0,0,'Données projet'!$E$10+1,1))</f>
        <v>#N/A</v>
      </c>
      <c r="AO59" s="59" t="e">
        <f t="shared" si="36"/>
        <v>#N/A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 t="e">
        <f>EXP(-LN(2)/35)*AU58+(1-EXP(-LN(2)/35))/(LN(2)/35)*AQ59*AR59*VLOOKUP('Données projet'!$B$10,Paramètres!$A$1:$I$89,3,0)*0.475*44/12</f>
        <v>#N/A</v>
      </c>
      <c r="AV59" s="21" t="e">
        <f>EXP(-LN(2)/25)*AV58+(1-EXP(-LN(2)/25))/(LN(2)/25)*Calculateur!AQ59*Calculateur!AS59*VLOOKUP('Données projet'!$B$10,Paramètres!$A$1:$I$89,3,0)*0.475*44/12</f>
        <v>#N/A</v>
      </c>
      <c r="AW59" s="21" t="e">
        <f>EXP(-LN(2)/2)*AW58+(1-EXP(-LN(2)/2))/(LN(2)/2)*AQ59*AT59*VLOOKUP('Données projet'!$B$10,Paramètres!$A$1:$I$89,3,0)*0.475*44/12</f>
        <v>#N/A</v>
      </c>
      <c r="AX59" s="21" t="e">
        <f t="shared" si="6"/>
        <v>#N/A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3">
        <f>'Scénario référence'!$B$16*5+'Scénario référence'!$B$17*0+'Scénario référence'!$B$18*5</f>
        <v>5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3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67">
        <f t="shared" si="1"/>
        <v>183.33333333333334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2.2737367544323206E-13</v>
      </c>
      <c r="O60" s="13">
        <f>N60*VLOOKUP('Données projet'!$B$9,Paramètres!$A$1:$I$89,3,0)*VLOOKUP('Données projet'!$B$9,Paramètres!$A$1:$I$89,5,0)</f>
        <v>1.3596945791505279E-13</v>
      </c>
      <c r="P60" s="13">
        <f t="shared" si="33"/>
        <v>1.9708830566360721E-12</v>
      </c>
      <c r="Q60" s="20">
        <f t="shared" si="53"/>
        <v>3.669434796176543E-12</v>
      </c>
      <c r="R60" s="59">
        <f t="shared" si="0"/>
        <v>259.52664005068141</v>
      </c>
      <c r="S60" s="59">
        <f ca="1">AVERAGE(OFFSET($R$3,0,0,'Données projet'!$E$9+1,1))-AVERAGE(OFFSET($H$3,0,0,'Données projet'!$E$9+1,1))</f>
        <v>297.34058997955685</v>
      </c>
      <c r="T60" s="59">
        <f t="shared" si="34"/>
        <v>440.06633724144069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48.691874510151202</v>
      </c>
      <c r="AA60" s="21">
        <f>EXP(-LN(2)/25)*AA59+(1-EXP(-LN(2)/25))/(LN(2)/25)*Calculateur!V60*Calculateur!X60*VLOOKUP('Données projet'!$B$9,Paramètres!$A$1:$I$89,3,0)*0.475*44/12</f>
        <v>89.238042177093277</v>
      </c>
      <c r="AB60" s="21">
        <f>EXP(-LN(2)/2)*AB59+(1-EXP(-LN(2)/2))/(LN(2)/2)*V60*Y60*VLOOKUP('Données projet'!$B$9,Paramètres!$A$1:$I$89,3,0)*0.475*44/12</f>
        <v>0</v>
      </c>
      <c r="AC60" s="22">
        <f t="shared" si="3"/>
        <v>137.92991668724449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0</v>
      </c>
      <c r="AJ60" s="13" t="e">
        <f>AI60*VLOOKUP('Données projet'!$B$10,Paramètres!$A$1:$I$89,3,0)*VLOOKUP('Données projet'!$B$10,Paramètres!$A$1:$I$89,5,0)</f>
        <v>#N/A</v>
      </c>
      <c r="AK60" s="13" t="e">
        <f t="shared" si="35"/>
        <v>#N/A</v>
      </c>
      <c r="AL60" s="20" t="e">
        <f t="shared" si="4"/>
        <v>#N/A</v>
      </c>
      <c r="AM60" s="59" t="e">
        <f t="shared" si="5"/>
        <v>#N/A</v>
      </c>
      <c r="AN60" s="59" t="e">
        <f ca="1">AVERAGE(OFFSET($AM$3,0,0,'Données projet'!$E$10+1,1))-AVERAGE(OFFSET($H$3,0,0,'Données projet'!$E$10+1,1))</f>
        <v>#N/A</v>
      </c>
      <c r="AO60" s="59" t="e">
        <f t="shared" si="36"/>
        <v>#N/A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 t="e">
        <f>EXP(-LN(2)/35)*AU59+(1-EXP(-LN(2)/35))/(LN(2)/35)*AQ60*AR60*VLOOKUP('Données projet'!$B$10,Paramètres!$A$1:$I$89,3,0)*0.475*44/12</f>
        <v>#N/A</v>
      </c>
      <c r="AV60" s="21" t="e">
        <f>EXP(-LN(2)/25)*AV59+(1-EXP(-LN(2)/25))/(LN(2)/25)*Calculateur!AQ60*Calculateur!AS60*VLOOKUP('Données projet'!$B$10,Paramètres!$A$1:$I$89,3,0)*0.475*44/12</f>
        <v>#N/A</v>
      </c>
      <c r="AW60" s="21" t="e">
        <f>EXP(-LN(2)/2)*AW59+(1-EXP(-LN(2)/2))/(LN(2)/2)*AQ60*AT60*VLOOKUP('Données projet'!$B$10,Paramètres!$A$1:$I$89,3,0)*0.475*44/12</f>
        <v>#N/A</v>
      </c>
      <c r="AX60" s="21" t="e">
        <f t="shared" si="6"/>
        <v>#N/A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3">
        <f>'Scénario référence'!$B$16*5+'Scénario référence'!$B$17*0+'Scénario référence'!$B$18*5</f>
        <v>5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3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67">
        <f t="shared" si="1"/>
        <v>183.33333333333334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2.2737367544323206E-13</v>
      </c>
      <c r="O61" s="13">
        <f>N61*VLOOKUP('Données projet'!$B$9,Paramètres!$A$1:$I$89,3,0)*VLOOKUP('Données projet'!$B$9,Paramètres!$A$1:$I$89,5,0)</f>
        <v>1.3596945791505279E-13</v>
      </c>
      <c r="P61" s="13">
        <f t="shared" si="33"/>
        <v>1.9708830566360721E-12</v>
      </c>
      <c r="Q61" s="20">
        <f t="shared" si="53"/>
        <v>3.669434796176543E-12</v>
      </c>
      <c r="R61" s="59">
        <f t="shared" si="0"/>
        <v>260.11311059869212</v>
      </c>
      <c r="S61" s="59">
        <f ca="1">AVERAGE(OFFSET($R$3,0,0,'Données projet'!$E$9+1,1))-AVERAGE(OFFSET($H$3,0,0,'Données projet'!$E$9+1,1))</f>
        <v>297.34058997955685</v>
      </c>
      <c r="T61" s="59">
        <f t="shared" si="34"/>
        <v>440.06633724144069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47.737056550118041</v>
      </c>
      <c r="AA61" s="21">
        <f>EXP(-LN(2)/25)*AA60+(1-EXP(-LN(2)/25))/(LN(2)/25)*Calculateur!V61*Calculateur!X61*VLOOKUP('Données projet'!$B$9,Paramètres!$A$1:$I$89,3,0)*0.475*44/12</f>
        <v>86.797823220935982</v>
      </c>
      <c r="AB61" s="21">
        <f>EXP(-LN(2)/2)*AB60+(1-EXP(-LN(2)/2))/(LN(2)/2)*V61*Y61*VLOOKUP('Données projet'!$B$9,Paramètres!$A$1:$I$89,3,0)*0.475*44/12</f>
        <v>0</v>
      </c>
      <c r="AC61" s="22">
        <f t="shared" si="3"/>
        <v>134.53487977105402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0</v>
      </c>
      <c r="AJ61" s="13" t="e">
        <f>AI61*VLOOKUP('Données projet'!$B$10,Paramètres!$A$1:$I$89,3,0)*VLOOKUP('Données projet'!$B$10,Paramètres!$A$1:$I$89,5,0)</f>
        <v>#N/A</v>
      </c>
      <c r="AK61" s="13" t="e">
        <f t="shared" si="35"/>
        <v>#N/A</v>
      </c>
      <c r="AL61" s="20" t="e">
        <f t="shared" si="4"/>
        <v>#N/A</v>
      </c>
      <c r="AM61" s="59" t="e">
        <f t="shared" si="5"/>
        <v>#N/A</v>
      </c>
      <c r="AN61" s="59" t="e">
        <f ca="1">AVERAGE(OFFSET($AM$3,0,0,'Données projet'!$E$10+1,1))-AVERAGE(OFFSET($H$3,0,0,'Données projet'!$E$10+1,1))</f>
        <v>#N/A</v>
      </c>
      <c r="AO61" s="59" t="e">
        <f t="shared" si="36"/>
        <v>#N/A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 t="e">
        <f>EXP(-LN(2)/35)*AU60+(1-EXP(-LN(2)/35))/(LN(2)/35)*AQ61*AR61*VLOOKUP('Données projet'!$B$10,Paramètres!$A$1:$I$89,3,0)*0.475*44/12</f>
        <v>#N/A</v>
      </c>
      <c r="AV61" s="21" t="e">
        <f>EXP(-LN(2)/25)*AV60+(1-EXP(-LN(2)/25))/(LN(2)/25)*Calculateur!AQ61*Calculateur!AS61*VLOOKUP('Données projet'!$B$10,Paramètres!$A$1:$I$89,3,0)*0.475*44/12</f>
        <v>#N/A</v>
      </c>
      <c r="AW61" s="21" t="e">
        <f>EXP(-LN(2)/2)*AW60+(1-EXP(-LN(2)/2))/(LN(2)/2)*AQ61*AT61*VLOOKUP('Données projet'!$B$10,Paramètres!$A$1:$I$89,3,0)*0.475*44/12</f>
        <v>#N/A</v>
      </c>
      <c r="AX61" s="21" t="e">
        <f t="shared" si="6"/>
        <v>#N/A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3">
        <f>'Scénario référence'!$B$16*5+'Scénario référence'!$B$17*0+'Scénario référence'!$B$18*5</f>
        <v>5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3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67">
        <f t="shared" si="1"/>
        <v>183.33333333333334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2.2737367544323206E-13</v>
      </c>
      <c r="O62" s="13">
        <f>N62*VLOOKUP('Données projet'!$B$9,Paramètres!$A$1:$I$89,3,0)*VLOOKUP('Données projet'!$B$9,Paramètres!$A$1:$I$89,5,0)</f>
        <v>1.3596945791505279E-13</v>
      </c>
      <c r="P62" s="13">
        <f t="shared" si="33"/>
        <v>1.9708830566360721E-12</v>
      </c>
      <c r="Q62" s="20">
        <f t="shared" si="53"/>
        <v>3.669434796176543E-12</v>
      </c>
      <c r="R62" s="59">
        <f t="shared" si="0"/>
        <v>260.68940719384648</v>
      </c>
      <c r="S62" s="59">
        <f ca="1">AVERAGE(OFFSET($R$3,0,0,'Données projet'!$E$9+1,1))-AVERAGE(OFFSET($H$3,0,0,'Données projet'!$E$9+1,1))</f>
        <v>297.34058997955685</v>
      </c>
      <c r="T62" s="59">
        <f t="shared" si="34"/>
        <v>440.06633724144069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46.800961987899683</v>
      </c>
      <c r="AA62" s="21">
        <f>EXP(-LN(2)/25)*AA61+(1-EXP(-LN(2)/25))/(LN(2)/25)*Calculateur!V62*Calculateur!X62*VLOOKUP('Données projet'!$B$9,Paramètres!$A$1:$I$89,3,0)*0.475*44/12</f>
        <v>84.42433218046034</v>
      </c>
      <c r="AB62" s="21">
        <f>EXP(-LN(2)/2)*AB61+(1-EXP(-LN(2)/2))/(LN(2)/2)*V62*Y62*VLOOKUP('Données projet'!$B$9,Paramètres!$A$1:$I$89,3,0)*0.475*44/12</f>
        <v>0</v>
      </c>
      <c r="AC62" s="22">
        <f t="shared" si="3"/>
        <v>131.22529416836002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0</v>
      </c>
      <c r="AJ62" s="13" t="e">
        <f>AI62*VLOOKUP('Données projet'!$B$10,Paramètres!$A$1:$I$89,3,0)*VLOOKUP('Données projet'!$B$10,Paramètres!$A$1:$I$89,5,0)</f>
        <v>#N/A</v>
      </c>
      <c r="AK62" s="13" t="e">
        <f t="shared" si="35"/>
        <v>#N/A</v>
      </c>
      <c r="AL62" s="20" t="e">
        <f t="shared" si="4"/>
        <v>#N/A</v>
      </c>
      <c r="AM62" s="59" t="e">
        <f t="shared" si="5"/>
        <v>#N/A</v>
      </c>
      <c r="AN62" s="59" t="e">
        <f ca="1">AVERAGE(OFFSET($AM$3,0,0,'Données projet'!$E$10+1,1))-AVERAGE(OFFSET($H$3,0,0,'Données projet'!$E$10+1,1))</f>
        <v>#N/A</v>
      </c>
      <c r="AO62" s="59" t="e">
        <f t="shared" si="36"/>
        <v>#N/A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 t="e">
        <f>EXP(-LN(2)/35)*AU61+(1-EXP(-LN(2)/35))/(LN(2)/35)*AQ62*AR62*VLOOKUP('Données projet'!$B$10,Paramètres!$A$1:$I$89,3,0)*0.475*44/12</f>
        <v>#N/A</v>
      </c>
      <c r="AV62" s="21" t="e">
        <f>EXP(-LN(2)/25)*AV61+(1-EXP(-LN(2)/25))/(LN(2)/25)*Calculateur!AQ62*Calculateur!AS62*VLOOKUP('Données projet'!$B$10,Paramètres!$A$1:$I$89,3,0)*0.475*44/12</f>
        <v>#N/A</v>
      </c>
      <c r="AW62" s="21" t="e">
        <f>EXP(-LN(2)/2)*AW61+(1-EXP(-LN(2)/2))/(LN(2)/2)*AQ62*AT62*VLOOKUP('Données projet'!$B$10,Paramètres!$A$1:$I$89,3,0)*0.475*44/12</f>
        <v>#N/A</v>
      </c>
      <c r="AX62" s="21" t="e">
        <f t="shared" si="6"/>
        <v>#N/A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3">
        <f>'Scénario référence'!$B$16*5+'Scénario référence'!$B$17*0+'Scénario référence'!$B$18*5</f>
        <v>5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3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67">
        <f t="shared" si="1"/>
        <v>183.33333333333334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2.2737367544323206E-13</v>
      </c>
      <c r="O63" s="13">
        <f>N63*VLOOKUP('Données projet'!$B$9,Paramètres!$A$1:$I$89,3,0)*VLOOKUP('Données projet'!$B$9,Paramètres!$A$1:$I$89,5,0)</f>
        <v>1.3596945791505279E-13</v>
      </c>
      <c r="P63" s="13">
        <f t="shared" si="33"/>
        <v>1.9708830566360721E-12</v>
      </c>
      <c r="Q63" s="20">
        <f t="shared" si="53"/>
        <v>3.669434796176543E-12</v>
      </c>
      <c r="R63" s="59">
        <f t="shared" si="0"/>
        <v>261.25570633148118</v>
      </c>
      <c r="S63" s="59">
        <f ca="1">AVERAGE(OFFSET($R$3,0,0,'Données projet'!$E$9+1,1))-AVERAGE(OFFSET($H$3,0,0,'Données projet'!$E$9+1,1))</f>
        <v>297.34058997955685</v>
      </c>
      <c r="T63" s="59">
        <f t="shared" si="34"/>
        <v>440.06633724144069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45.883223669085119</v>
      </c>
      <c r="AA63" s="21">
        <f>EXP(-LN(2)/25)*AA62+(1-EXP(-LN(2)/25))/(LN(2)/25)*Calculateur!V63*Calculateur!X63*VLOOKUP('Données projet'!$B$9,Paramètres!$A$1:$I$89,3,0)*0.475*44/12</f>
        <v>82.115744377302974</v>
      </c>
      <c r="AB63" s="21">
        <f>EXP(-LN(2)/2)*AB62+(1-EXP(-LN(2)/2))/(LN(2)/2)*V63*Y63*VLOOKUP('Données projet'!$B$9,Paramètres!$A$1:$I$89,3,0)*0.475*44/12</f>
        <v>0</v>
      </c>
      <c r="AC63" s="22">
        <f t="shared" si="3"/>
        <v>127.99896804638809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0</v>
      </c>
      <c r="AJ63" s="13" t="e">
        <f>AI63*VLOOKUP('Données projet'!$B$10,Paramètres!$A$1:$I$89,3,0)*VLOOKUP('Données projet'!$B$10,Paramètres!$A$1:$I$89,5,0)</f>
        <v>#N/A</v>
      </c>
      <c r="AK63" s="13" t="e">
        <f t="shared" si="35"/>
        <v>#N/A</v>
      </c>
      <c r="AL63" s="20" t="e">
        <f t="shared" si="4"/>
        <v>#N/A</v>
      </c>
      <c r="AM63" s="59" t="e">
        <f t="shared" si="5"/>
        <v>#N/A</v>
      </c>
      <c r="AN63" s="59" t="e">
        <f ca="1">AVERAGE(OFFSET($AM$3,0,0,'Données projet'!$E$10+1,1))-AVERAGE(OFFSET($H$3,0,0,'Données projet'!$E$10+1,1))</f>
        <v>#N/A</v>
      </c>
      <c r="AO63" s="59" t="e">
        <f t="shared" si="36"/>
        <v>#N/A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 t="e">
        <f>EXP(-LN(2)/35)*AU62+(1-EXP(-LN(2)/35))/(LN(2)/35)*AQ63*AR63*VLOOKUP('Données projet'!$B$10,Paramètres!$A$1:$I$89,3,0)*0.475*44/12</f>
        <v>#N/A</v>
      </c>
      <c r="AV63" s="21" t="e">
        <f>EXP(-LN(2)/25)*AV62+(1-EXP(-LN(2)/25))/(LN(2)/25)*Calculateur!AQ63*Calculateur!AS63*VLOOKUP('Données projet'!$B$10,Paramètres!$A$1:$I$89,3,0)*0.475*44/12</f>
        <v>#N/A</v>
      </c>
      <c r="AW63" s="21" t="e">
        <f>EXP(-LN(2)/2)*AW62+(1-EXP(-LN(2)/2))/(LN(2)/2)*AQ63*AT63*VLOOKUP('Données projet'!$B$10,Paramètres!$A$1:$I$89,3,0)*0.475*44/12</f>
        <v>#N/A</v>
      </c>
      <c r="AX63" s="21" t="e">
        <f t="shared" si="6"/>
        <v>#N/A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3">
        <f>'Scénario référence'!$B$16*5+'Scénario référence'!$B$17*0+'Scénario référence'!$B$18*5</f>
        <v>5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3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67">
        <f t="shared" si="1"/>
        <v>183.33333333333334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2.2737367544323206E-13</v>
      </c>
      <c r="O64" s="13">
        <f>N64*VLOOKUP('Données projet'!$B$9,Paramètres!$A$1:$I$89,3,0)*VLOOKUP('Données projet'!$B$9,Paramètres!$A$1:$I$89,5,0)</f>
        <v>1.3596945791505279E-13</v>
      </c>
      <c r="P64" s="13">
        <f t="shared" si="33"/>
        <v>1.9708830566360721E-12</v>
      </c>
      <c r="Q64" s="20">
        <f t="shared" si="53"/>
        <v>3.669434796176543E-12</v>
      </c>
      <c r="R64" s="59">
        <f t="shared" si="0"/>
        <v>261.81218144513304</v>
      </c>
      <c r="S64" s="59">
        <f ca="1">AVERAGE(OFFSET($R$3,0,0,'Données projet'!$E$9+1,1))-AVERAGE(OFFSET($H$3,0,0,'Données projet'!$E$9+1,1))</f>
        <v>297.34058997955685</v>
      </c>
      <c r="T64" s="59">
        <f t="shared" si="34"/>
        <v>440.06633724144069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44.983481638937413</v>
      </c>
      <c r="AA64" s="21">
        <f>EXP(-LN(2)/25)*AA63+(1-EXP(-LN(2)/25))/(LN(2)/25)*Calculateur!V64*Calculateur!X64*VLOOKUP('Données projet'!$B$9,Paramètres!$A$1:$I$89,3,0)*0.475*44/12</f>
        <v>79.870285029026306</v>
      </c>
      <c r="AB64" s="21">
        <f>EXP(-LN(2)/2)*AB63+(1-EXP(-LN(2)/2))/(LN(2)/2)*V64*Y64*VLOOKUP('Données projet'!$B$9,Paramètres!$A$1:$I$89,3,0)*0.475*44/12</f>
        <v>0</v>
      </c>
      <c r="AC64" s="22">
        <f t="shared" si="3"/>
        <v>124.85376666796373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0</v>
      </c>
      <c r="AJ64" s="13" t="e">
        <f>AI64*VLOOKUP('Données projet'!$B$10,Paramètres!$A$1:$I$89,3,0)*VLOOKUP('Données projet'!$B$10,Paramètres!$A$1:$I$89,5,0)</f>
        <v>#N/A</v>
      </c>
      <c r="AK64" s="13" t="e">
        <f t="shared" si="35"/>
        <v>#N/A</v>
      </c>
      <c r="AL64" s="20" t="e">
        <f t="shared" si="4"/>
        <v>#N/A</v>
      </c>
      <c r="AM64" s="59" t="e">
        <f t="shared" si="5"/>
        <v>#N/A</v>
      </c>
      <c r="AN64" s="59" t="e">
        <f ca="1">AVERAGE(OFFSET($AM$3,0,0,'Données projet'!$E$10+1,1))-AVERAGE(OFFSET($H$3,0,0,'Données projet'!$E$10+1,1))</f>
        <v>#N/A</v>
      </c>
      <c r="AO64" s="59" t="e">
        <f t="shared" si="36"/>
        <v>#N/A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 t="e">
        <f>EXP(-LN(2)/35)*AU63+(1-EXP(-LN(2)/35))/(LN(2)/35)*AQ64*AR64*VLOOKUP('Données projet'!$B$10,Paramètres!$A$1:$I$89,3,0)*0.475*44/12</f>
        <v>#N/A</v>
      </c>
      <c r="AV64" s="21" t="e">
        <f>EXP(-LN(2)/25)*AV63+(1-EXP(-LN(2)/25))/(LN(2)/25)*Calculateur!AQ64*Calculateur!AS64*VLOOKUP('Données projet'!$B$10,Paramètres!$A$1:$I$89,3,0)*0.475*44/12</f>
        <v>#N/A</v>
      </c>
      <c r="AW64" s="21" t="e">
        <f>EXP(-LN(2)/2)*AW63+(1-EXP(-LN(2)/2))/(LN(2)/2)*AQ64*AT64*VLOOKUP('Données projet'!$B$10,Paramètres!$A$1:$I$89,3,0)*0.475*44/12</f>
        <v>#N/A</v>
      </c>
      <c r="AX64" s="21" t="e">
        <f t="shared" si="6"/>
        <v>#N/A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3">
        <f>'Scénario référence'!$B$16*5+'Scénario référence'!$B$17*0+'Scénario référence'!$B$18*5</f>
        <v>5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3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67">
        <f t="shared" si="1"/>
        <v>183.33333333333334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2.2737367544323206E-13</v>
      </c>
      <c r="O65" s="13">
        <f>N65*VLOOKUP('Données projet'!$B$9,Paramètres!$A$1:$I$89,3,0)*VLOOKUP('Données projet'!$B$9,Paramètres!$A$1:$I$89,5,0)</f>
        <v>1.3596945791505279E-13</v>
      </c>
      <c r="P65" s="13">
        <f t="shared" si="33"/>
        <v>1.9708830566360721E-12</v>
      </c>
      <c r="Q65" s="20">
        <f t="shared" si="53"/>
        <v>3.669434796176543E-12</v>
      </c>
      <c r="R65" s="59">
        <f t="shared" si="0"/>
        <v>262.35900295965502</v>
      </c>
      <c r="S65" s="59">
        <f ca="1">AVERAGE(OFFSET($R$3,0,0,'Données projet'!$E$9+1,1))-AVERAGE(OFFSET($H$3,0,0,'Données projet'!$E$9+1,1))</f>
        <v>297.34058997955685</v>
      </c>
      <c r="T65" s="59">
        <f t="shared" si="34"/>
        <v>440.06633724144069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44.101383001212447</v>
      </c>
      <c r="AA65" s="21">
        <f>EXP(-LN(2)/25)*AA64+(1-EXP(-LN(2)/25))/(LN(2)/25)*Calculateur!V65*Calculateur!X65*VLOOKUP('Données projet'!$B$9,Paramètres!$A$1:$I$89,3,0)*0.475*44/12</f>
        <v>77.68622788471184</v>
      </c>
      <c r="AB65" s="21">
        <f>EXP(-LN(2)/2)*AB64+(1-EXP(-LN(2)/2))/(LN(2)/2)*V65*Y65*VLOOKUP('Données projet'!$B$9,Paramètres!$A$1:$I$89,3,0)*0.475*44/12</f>
        <v>0</v>
      </c>
      <c r="AC65" s="22">
        <f t="shared" si="3"/>
        <v>121.78761088592429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0</v>
      </c>
      <c r="AJ65" s="13" t="e">
        <f>AI65*VLOOKUP('Données projet'!$B$10,Paramètres!$A$1:$I$89,3,0)*VLOOKUP('Données projet'!$B$10,Paramètres!$A$1:$I$89,5,0)</f>
        <v>#N/A</v>
      </c>
      <c r="AK65" s="13" t="e">
        <f t="shared" si="35"/>
        <v>#N/A</v>
      </c>
      <c r="AL65" s="20" t="e">
        <f t="shared" si="4"/>
        <v>#N/A</v>
      </c>
      <c r="AM65" s="59" t="e">
        <f t="shared" si="5"/>
        <v>#N/A</v>
      </c>
      <c r="AN65" s="59" t="e">
        <f ca="1">AVERAGE(OFFSET($AM$3,0,0,'Données projet'!$E$10+1,1))-AVERAGE(OFFSET($H$3,0,0,'Données projet'!$E$10+1,1))</f>
        <v>#N/A</v>
      </c>
      <c r="AO65" s="59" t="e">
        <f t="shared" si="36"/>
        <v>#N/A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 t="e">
        <f>EXP(-LN(2)/35)*AU64+(1-EXP(-LN(2)/35))/(LN(2)/35)*AQ65*AR65*VLOOKUP('Données projet'!$B$10,Paramètres!$A$1:$I$89,3,0)*0.475*44/12</f>
        <v>#N/A</v>
      </c>
      <c r="AV65" s="21" t="e">
        <f>EXP(-LN(2)/25)*AV64+(1-EXP(-LN(2)/25))/(LN(2)/25)*Calculateur!AQ65*Calculateur!AS65*VLOOKUP('Données projet'!$B$10,Paramètres!$A$1:$I$89,3,0)*0.475*44/12</f>
        <v>#N/A</v>
      </c>
      <c r="AW65" s="21" t="e">
        <f>EXP(-LN(2)/2)*AW64+(1-EXP(-LN(2)/2))/(LN(2)/2)*AQ65*AT65*VLOOKUP('Données projet'!$B$10,Paramètres!$A$1:$I$89,3,0)*0.475*44/12</f>
        <v>#N/A</v>
      </c>
      <c r="AX65" s="21" t="e">
        <f t="shared" si="6"/>
        <v>#N/A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3">
        <f>'Scénario référence'!$B$16*5+'Scénario référence'!$B$17*0+'Scénario référence'!$B$18*5</f>
        <v>5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3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67">
        <f t="shared" si="1"/>
        <v>183.33333333333334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2.2737367544323206E-13</v>
      </c>
      <c r="O66" s="13">
        <f>N66*VLOOKUP('Données projet'!$B$9,Paramètres!$A$1:$I$89,3,0)*VLOOKUP('Données projet'!$B$9,Paramètres!$A$1:$I$89,5,0)</f>
        <v>1.3596945791505279E-13</v>
      </c>
      <c r="P66" s="13">
        <f t="shared" si="33"/>
        <v>1.9708830566360721E-12</v>
      </c>
      <c r="Q66" s="20">
        <f t="shared" si="53"/>
        <v>3.669434796176543E-12</v>
      </c>
      <c r="R66" s="59">
        <f t="shared" si="0"/>
        <v>262.89633834340981</v>
      </c>
      <c r="S66" s="59">
        <f ca="1">AVERAGE(OFFSET($R$3,0,0,'Données projet'!$E$9+1,1))-AVERAGE(OFFSET($H$3,0,0,'Données projet'!$E$9+1,1))</f>
        <v>297.34058997955685</v>
      </c>
      <c r="T66" s="59">
        <f t="shared" si="34"/>
        <v>440.06633724144069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43.236581779746231</v>
      </c>
      <c r="AA66" s="21">
        <f>EXP(-LN(2)/25)*AA65+(1-EXP(-LN(2)/25))/(LN(2)/25)*Calculateur!V66*Calculateur!X66*VLOOKUP('Données projet'!$B$9,Paramètres!$A$1:$I$89,3,0)*0.475*44/12</f>
        <v>75.561893897863229</v>
      </c>
      <c r="AB66" s="21">
        <f>EXP(-LN(2)/2)*AB65+(1-EXP(-LN(2)/2))/(LN(2)/2)*V66*Y66*VLOOKUP('Données projet'!$B$9,Paramètres!$A$1:$I$89,3,0)*0.475*44/12</f>
        <v>0</v>
      </c>
      <c r="AC66" s="22">
        <f t="shared" si="3"/>
        <v>118.79847567760946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 t="e">
        <f>AI66*VLOOKUP('Données projet'!$B$10,Paramètres!$A$1:$I$89,3,0)*VLOOKUP('Données projet'!$B$10,Paramètres!$A$1:$I$89,5,0)</f>
        <v>#N/A</v>
      </c>
      <c r="AK66" s="13" t="e">
        <f t="shared" si="35"/>
        <v>#N/A</v>
      </c>
      <c r="AL66" s="20" t="e">
        <f t="shared" si="4"/>
        <v>#N/A</v>
      </c>
      <c r="AM66" s="59" t="e">
        <f t="shared" si="5"/>
        <v>#N/A</v>
      </c>
      <c r="AN66" s="59" t="e">
        <f ca="1">AVERAGE(OFFSET($AM$3,0,0,'Données projet'!$E$10+1,1))-AVERAGE(OFFSET($H$3,0,0,'Données projet'!$E$10+1,1))</f>
        <v>#N/A</v>
      </c>
      <c r="AO66" s="59" t="e">
        <f t="shared" si="36"/>
        <v>#N/A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 t="e">
        <f>EXP(-LN(2)/35)*AU65+(1-EXP(-LN(2)/35))/(LN(2)/35)*AQ66*AR66*VLOOKUP('Données projet'!$B$10,Paramètres!$A$1:$I$89,3,0)*0.475*44/12</f>
        <v>#N/A</v>
      </c>
      <c r="AV66" s="21" t="e">
        <f>EXP(-LN(2)/25)*AV65+(1-EXP(-LN(2)/25))/(LN(2)/25)*Calculateur!AQ66*Calculateur!AS66*VLOOKUP('Données projet'!$B$10,Paramètres!$A$1:$I$89,3,0)*0.475*44/12</f>
        <v>#N/A</v>
      </c>
      <c r="AW66" s="21" t="e">
        <f>EXP(-LN(2)/2)*AW65+(1-EXP(-LN(2)/2))/(LN(2)/2)*AQ66*AT66*VLOOKUP('Données projet'!$B$10,Paramètres!$A$1:$I$89,3,0)*0.475*44/12</f>
        <v>#N/A</v>
      </c>
      <c r="AX66" s="21" t="e">
        <f t="shared" si="6"/>
        <v>#N/A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3">
        <f>'Scénario référence'!$B$16*5+'Scénario référence'!$B$17*0+'Scénario référence'!$B$18*5</f>
        <v>5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3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67">
        <f t="shared" si="1"/>
        <v>183.33333333333334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2.2737367544323206E-13</v>
      </c>
      <c r="O67" s="13">
        <f>N67*VLOOKUP('Données projet'!$B$9,Paramètres!$A$1:$I$89,3,0)*VLOOKUP('Données projet'!$B$9,Paramètres!$A$1:$I$89,5,0)</f>
        <v>1.3596945791505279E-13</v>
      </c>
      <c r="P67" s="13">
        <f t="shared" si="33"/>
        <v>1.9708830566360721E-12</v>
      </c>
      <c r="Q67" s="20">
        <f t="shared" ref="Q67:Q98" si="54">(O67+P67)*0.475*44/12</f>
        <v>3.669434796176543E-12</v>
      </c>
      <c r="R67" s="59">
        <f t="shared" ref="R67:R130" si="55">Q67+(I67+J67)*44/12</f>
        <v>263.42435215955845</v>
      </c>
      <c r="S67" s="59">
        <f ca="1">AVERAGE(OFFSET($R$3,0,0,'Données projet'!$E$9+1,1))-AVERAGE(OFFSET($H$3,0,0,'Données projet'!$E$9+1,1))</f>
        <v>297.34058997955685</v>
      </c>
      <c r="T67" s="59">
        <f t="shared" si="34"/>
        <v>440.06633724144069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42.388738782756306</v>
      </c>
      <c r="AA67" s="21">
        <f>EXP(-LN(2)/25)*AA66+(1-EXP(-LN(2)/25))/(LN(2)/25)*Calculateur!V67*Calculateur!X67*VLOOKUP('Données projet'!$B$9,Paramètres!$A$1:$I$89,3,0)*0.475*44/12</f>
        <v>73.495649935598863</v>
      </c>
      <c r="AB67" s="21">
        <f>EXP(-LN(2)/2)*AB66+(1-EXP(-LN(2)/2))/(LN(2)/2)*V67*Y67*VLOOKUP('Données projet'!$B$9,Paramètres!$A$1:$I$89,3,0)*0.475*44/12</f>
        <v>0</v>
      </c>
      <c r="AC67" s="22">
        <f t="shared" si="3"/>
        <v>115.88438871835517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 t="e">
        <f>AI67*VLOOKUP('Données projet'!$B$10,Paramètres!$A$1:$I$89,3,0)*VLOOKUP('Données projet'!$B$10,Paramètres!$A$1:$I$89,5,0)</f>
        <v>#N/A</v>
      </c>
      <c r="AK67" s="13" t="e">
        <f t="shared" si="35"/>
        <v>#N/A</v>
      </c>
      <c r="AL67" s="20" t="e">
        <f t="shared" si="4"/>
        <v>#N/A</v>
      </c>
      <c r="AM67" s="59" t="e">
        <f t="shared" si="5"/>
        <v>#N/A</v>
      </c>
      <c r="AN67" s="59" t="e">
        <f ca="1">AVERAGE(OFFSET($AM$3,0,0,'Données projet'!$E$10+1,1))-AVERAGE(OFFSET($H$3,0,0,'Données projet'!$E$10+1,1))</f>
        <v>#N/A</v>
      </c>
      <c r="AO67" s="59" t="e">
        <f t="shared" si="36"/>
        <v>#N/A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 t="e">
        <f>EXP(-LN(2)/35)*AU66+(1-EXP(-LN(2)/35))/(LN(2)/35)*AQ67*AR67*VLOOKUP('Données projet'!$B$10,Paramètres!$A$1:$I$89,3,0)*0.475*44/12</f>
        <v>#N/A</v>
      </c>
      <c r="AV67" s="21" t="e">
        <f>EXP(-LN(2)/25)*AV66+(1-EXP(-LN(2)/25))/(LN(2)/25)*Calculateur!AQ67*Calculateur!AS67*VLOOKUP('Données projet'!$B$10,Paramètres!$A$1:$I$89,3,0)*0.475*44/12</f>
        <v>#N/A</v>
      </c>
      <c r="AW67" s="21" t="e">
        <f>EXP(-LN(2)/2)*AW66+(1-EXP(-LN(2)/2))/(LN(2)/2)*AQ67*AT67*VLOOKUP('Données projet'!$B$10,Paramètres!$A$1:$I$89,3,0)*0.475*44/12</f>
        <v>#N/A</v>
      </c>
      <c r="AX67" s="21" t="e">
        <f t="shared" si="6"/>
        <v>#N/A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3">
        <f>'Scénario référence'!$B$16*5+'Scénario référence'!$B$17*0+'Scénario référence'!$B$18*5</f>
        <v>5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3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67">
        <f t="shared" ref="H68:H131" si="56">(B68+E68+F68)*44/12+(C68+D68)*0.475*44/12</f>
        <v>183.33333333333334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2.2737367544323206E-13</v>
      </c>
      <c r="O68" s="13">
        <f>N68*VLOOKUP('Données projet'!$B$9,Paramètres!$A$1:$I$89,3,0)*VLOOKUP('Données projet'!$B$9,Paramètres!$A$1:$I$89,5,0)</f>
        <v>1.3596945791505279E-13</v>
      </c>
      <c r="P68" s="13">
        <f t="shared" si="33"/>
        <v>1.9708830566360721E-12</v>
      </c>
      <c r="Q68" s="20">
        <f t="shared" si="54"/>
        <v>3.669434796176543E-12</v>
      </c>
      <c r="R68" s="59">
        <f t="shared" si="55"/>
        <v>263.9432061164589</v>
      </c>
      <c r="S68" s="59">
        <f ca="1">AVERAGE(OFFSET($R$3,0,0,'Données projet'!$E$9+1,1))-AVERAGE(OFFSET($H$3,0,0,'Données projet'!$E$9+1,1))</f>
        <v>297.34058997955685</v>
      </c>
      <c r="T68" s="59">
        <f t="shared" si="34"/>
        <v>440.06633724144069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41.557521469804186</v>
      </c>
      <c r="AA68" s="21">
        <f>EXP(-LN(2)/25)*AA67+(1-EXP(-LN(2)/25))/(LN(2)/25)*Calculateur!V68*Calculateur!X68*VLOOKUP('Données projet'!$B$9,Paramètres!$A$1:$I$89,3,0)*0.475*44/12</f>
        <v>71.485907523141663</v>
      </c>
      <c r="AB68" s="21">
        <f>EXP(-LN(2)/2)*AB67+(1-EXP(-LN(2)/2))/(LN(2)/2)*V68*Y68*VLOOKUP('Données projet'!$B$9,Paramètres!$A$1:$I$89,3,0)*0.475*44/12</f>
        <v>0</v>
      </c>
      <c r="AC68" s="22">
        <f t="shared" ref="AC68:AC131" si="57">SUM(Z68:AB68)</f>
        <v>113.04342899294585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 t="e">
        <f>AI68*VLOOKUP('Données projet'!$B$10,Paramètres!$A$1:$I$89,3,0)*VLOOKUP('Données projet'!$B$10,Paramètres!$A$1:$I$89,5,0)</f>
        <v>#N/A</v>
      </c>
      <c r="AK68" s="13" t="e">
        <f t="shared" si="35"/>
        <v>#N/A</v>
      </c>
      <c r="AL68" s="20" t="e">
        <f t="shared" ref="AL68:AL131" si="58">(AJ68+AK68)*0.475*44/12</f>
        <v>#N/A</v>
      </c>
      <c r="AM68" s="59" t="e">
        <f t="shared" ref="AM68:AM131" si="59">AL68+(AD68+AE68)*44/12</f>
        <v>#N/A</v>
      </c>
      <c r="AN68" s="59" t="e">
        <f ca="1">AVERAGE(OFFSET($AM$3,0,0,'Données projet'!$E$10+1,1))-AVERAGE(OFFSET($H$3,0,0,'Données projet'!$E$10+1,1))</f>
        <v>#N/A</v>
      </c>
      <c r="AO68" s="59" t="e">
        <f t="shared" si="36"/>
        <v>#N/A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 t="e">
        <f>EXP(-LN(2)/35)*AU67+(1-EXP(-LN(2)/35))/(LN(2)/35)*AQ68*AR68*VLOOKUP('Données projet'!$B$10,Paramètres!$A$1:$I$89,3,0)*0.475*44/12</f>
        <v>#N/A</v>
      </c>
      <c r="AV68" s="21" t="e">
        <f>EXP(-LN(2)/25)*AV67+(1-EXP(-LN(2)/25))/(LN(2)/25)*Calculateur!AQ68*Calculateur!AS68*VLOOKUP('Données projet'!$B$10,Paramètres!$A$1:$I$89,3,0)*0.475*44/12</f>
        <v>#N/A</v>
      </c>
      <c r="AW68" s="21" t="e">
        <f>EXP(-LN(2)/2)*AW67+(1-EXP(-LN(2)/2))/(LN(2)/2)*AQ68*AT68*VLOOKUP('Données projet'!$B$10,Paramètres!$A$1:$I$89,3,0)*0.475*44/12</f>
        <v>#N/A</v>
      </c>
      <c r="AX68" s="21" t="e">
        <f t="shared" ref="AX68:AX131" si="60">SUM(AU68:AW68)</f>
        <v>#N/A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3">
        <f>'Scénario référence'!$B$16*5+'Scénario référence'!$B$17*0+'Scénario référence'!$B$18*5</f>
        <v>5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86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67">
        <f t="shared" si="56"/>
        <v>183.33333333333334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2.2737367544323206E-13</v>
      </c>
      <c r="O69" s="13">
        <f>N69*VLOOKUP('Données projet'!$B$9,Paramètres!$A$1:$I$89,3,0)*VLOOKUP('Données projet'!$B$9,Paramètres!$A$1:$I$89,5,0)</f>
        <v>1.3596945791505279E-13</v>
      </c>
      <c r="P69" s="13">
        <f t="shared" ref="P69:P132" si="87">EXP(-1.0587+0.8836*LN(O69)+0.284)</f>
        <v>1.9708830566360721E-12</v>
      </c>
      <c r="Q69" s="20">
        <f t="shared" si="54"/>
        <v>3.669434796176543E-12</v>
      </c>
      <c r="R69" s="59">
        <f t="shared" si="55"/>
        <v>264.45305911719078</v>
      </c>
      <c r="S69" s="59">
        <f ca="1">AVERAGE(OFFSET($R$3,0,0,'Données projet'!$E$9+1,1))-AVERAGE(OFFSET($H$3,0,0,'Données projet'!$E$9+1,1))</f>
        <v>297.34058997955685</v>
      </c>
      <c r="T69" s="59">
        <f t="shared" ref="T69:T132" si="88">$T$3</f>
        <v>440.06633724144069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40.742603821366558</v>
      </c>
      <c r="AA69" s="21">
        <f>EXP(-LN(2)/25)*AA68+(1-EXP(-LN(2)/25))/(LN(2)/25)*Calculateur!V69*Calculateur!X69*VLOOKUP('Données projet'!$B$9,Paramètres!$A$1:$I$89,3,0)*0.475*44/12</f>
        <v>69.531121622640853</v>
      </c>
      <c r="AB69" s="21">
        <f>EXP(-LN(2)/2)*AB68+(1-EXP(-LN(2)/2))/(LN(2)/2)*V69*Y69*VLOOKUP('Données projet'!$B$9,Paramètres!$A$1:$I$89,3,0)*0.475*44/12</f>
        <v>0</v>
      </c>
      <c r="AC69" s="22">
        <f t="shared" si="57"/>
        <v>110.27372544400741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 t="e">
        <f>AI69*VLOOKUP('Données projet'!$B$10,Paramètres!$A$1:$I$89,3,0)*VLOOKUP('Données projet'!$B$10,Paramètres!$A$1:$I$89,5,0)</f>
        <v>#N/A</v>
      </c>
      <c r="AK69" s="13" t="e">
        <f t="shared" ref="AK69:AK132" si="89">EXP(-1.0587+0.8836*LN(AJ69)+0.284)</f>
        <v>#N/A</v>
      </c>
      <c r="AL69" s="20" t="e">
        <f t="shared" si="58"/>
        <v>#N/A</v>
      </c>
      <c r="AM69" s="59" t="e">
        <f t="shared" si="59"/>
        <v>#N/A</v>
      </c>
      <c r="AN69" s="59" t="e">
        <f ca="1">AVERAGE(OFFSET($AM$3,0,0,'Données projet'!$E$10+1,1))-AVERAGE(OFFSET($H$3,0,0,'Données projet'!$E$10+1,1))</f>
        <v>#N/A</v>
      </c>
      <c r="AO69" s="59" t="e">
        <f t="shared" ref="AO69:AO132" si="90">$AO$3</f>
        <v>#N/A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 t="e">
        <f>EXP(-LN(2)/35)*AU68+(1-EXP(-LN(2)/35))/(LN(2)/35)*AQ69*AR69*VLOOKUP('Données projet'!$B$10,Paramètres!$A$1:$I$89,3,0)*0.475*44/12</f>
        <v>#N/A</v>
      </c>
      <c r="AV69" s="21" t="e">
        <f>EXP(-LN(2)/25)*AV68+(1-EXP(-LN(2)/25))/(LN(2)/25)*Calculateur!AQ69*Calculateur!AS69*VLOOKUP('Données projet'!$B$10,Paramètres!$A$1:$I$89,3,0)*0.475*44/12</f>
        <v>#N/A</v>
      </c>
      <c r="AW69" s="21" t="e">
        <f>EXP(-LN(2)/2)*AW68+(1-EXP(-LN(2)/2))/(LN(2)/2)*AQ69*AT69*VLOOKUP('Données projet'!$B$10,Paramètres!$A$1:$I$89,3,0)*0.475*44/12</f>
        <v>#N/A</v>
      </c>
      <c r="AX69" s="21" t="e">
        <f t="shared" si="60"/>
        <v>#N/A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3">
        <f>'Scénario référence'!$B$16*5+'Scénario référence'!$B$17*0+'Scénario référence'!$B$18*5</f>
        <v>5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86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67">
        <f t="shared" si="56"/>
        <v>183.33333333333334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2.2737367544323206E-13</v>
      </c>
      <c r="O70" s="13">
        <f>N70*VLOOKUP('Données projet'!$B$9,Paramètres!$A$1:$I$89,3,0)*VLOOKUP('Données projet'!$B$9,Paramètres!$A$1:$I$89,5,0)</f>
        <v>1.3596945791505279E-13</v>
      </c>
      <c r="P70" s="13">
        <f t="shared" si="87"/>
        <v>1.9708830566360721E-12</v>
      </c>
      <c r="Q70" s="20">
        <f t="shared" si="54"/>
        <v>3.669434796176543E-12</v>
      </c>
      <c r="R70" s="59">
        <f t="shared" si="55"/>
        <v>264.9540673082206</v>
      </c>
      <c r="S70" s="59">
        <f ca="1">AVERAGE(OFFSET($R$3,0,0,'Données projet'!$E$9+1,1))-AVERAGE(OFFSET($H$3,0,0,'Données projet'!$E$9+1,1))</f>
        <v>297.34058997955685</v>
      </c>
      <c r="T70" s="59">
        <f t="shared" si="88"/>
        <v>440.06633724144069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39.943666210964103</v>
      </c>
      <c r="AA70" s="21">
        <f>EXP(-LN(2)/25)*AA69+(1-EXP(-LN(2)/25))/(LN(2)/25)*Calculateur!V70*Calculateur!X70*VLOOKUP('Données projet'!$B$9,Paramètres!$A$1:$I$89,3,0)*0.475*44/12</f>
        <v>67.629789445386962</v>
      </c>
      <c r="AB70" s="21">
        <f>EXP(-LN(2)/2)*AB69+(1-EXP(-LN(2)/2))/(LN(2)/2)*V70*Y70*VLOOKUP('Données projet'!$B$9,Paramètres!$A$1:$I$89,3,0)*0.475*44/12</f>
        <v>0</v>
      </c>
      <c r="AC70" s="22">
        <f t="shared" si="57"/>
        <v>107.57345565635106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 t="e">
        <f>AI70*VLOOKUP('Données projet'!$B$10,Paramètres!$A$1:$I$89,3,0)*VLOOKUP('Données projet'!$B$10,Paramètres!$A$1:$I$89,5,0)</f>
        <v>#N/A</v>
      </c>
      <c r="AK70" s="13" t="e">
        <f t="shared" si="89"/>
        <v>#N/A</v>
      </c>
      <c r="AL70" s="20" t="e">
        <f t="shared" si="58"/>
        <v>#N/A</v>
      </c>
      <c r="AM70" s="59" t="e">
        <f t="shared" si="59"/>
        <v>#N/A</v>
      </c>
      <c r="AN70" s="59" t="e">
        <f ca="1">AVERAGE(OFFSET($AM$3,0,0,'Données projet'!$E$10+1,1))-AVERAGE(OFFSET($H$3,0,0,'Données projet'!$E$10+1,1))</f>
        <v>#N/A</v>
      </c>
      <c r="AO70" s="59" t="e">
        <f t="shared" si="90"/>
        <v>#N/A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 t="e">
        <f>EXP(-LN(2)/35)*AU69+(1-EXP(-LN(2)/35))/(LN(2)/35)*AQ70*AR70*VLOOKUP('Données projet'!$B$10,Paramètres!$A$1:$I$89,3,0)*0.475*44/12</f>
        <v>#N/A</v>
      </c>
      <c r="AV70" s="21" t="e">
        <f>EXP(-LN(2)/25)*AV69+(1-EXP(-LN(2)/25))/(LN(2)/25)*Calculateur!AQ70*Calculateur!AS70*VLOOKUP('Données projet'!$B$10,Paramètres!$A$1:$I$89,3,0)*0.475*44/12</f>
        <v>#N/A</v>
      </c>
      <c r="AW70" s="21" t="e">
        <f>EXP(-LN(2)/2)*AW69+(1-EXP(-LN(2)/2))/(LN(2)/2)*AQ70*AT70*VLOOKUP('Données projet'!$B$10,Paramètres!$A$1:$I$89,3,0)*0.475*44/12</f>
        <v>#N/A</v>
      </c>
      <c r="AX70" s="21" t="e">
        <f t="shared" si="60"/>
        <v>#N/A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3">
        <f>'Scénario référence'!$B$16*5+'Scénario référence'!$B$17*0+'Scénario référence'!$B$18*5</f>
        <v>5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86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67">
        <f t="shared" si="56"/>
        <v>183.33333333333334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2.2737367544323206E-13</v>
      </c>
      <c r="O71" s="13">
        <f>N71*VLOOKUP('Données projet'!$B$9,Paramètres!$A$1:$I$89,3,0)*VLOOKUP('Données projet'!$B$9,Paramètres!$A$1:$I$89,5,0)</f>
        <v>1.3596945791505279E-13</v>
      </c>
      <c r="P71" s="13">
        <f t="shared" si="87"/>
        <v>1.9708830566360721E-12</v>
      </c>
      <c r="Q71" s="20">
        <f t="shared" si="54"/>
        <v>3.669434796176543E-12</v>
      </c>
      <c r="R71" s="59">
        <f t="shared" si="55"/>
        <v>265.44638412722253</v>
      </c>
      <c r="S71" s="59">
        <f ca="1">AVERAGE(OFFSET($R$3,0,0,'Données projet'!$E$9+1,1))-AVERAGE(OFFSET($H$3,0,0,'Données projet'!$E$9+1,1))</f>
        <v>297.34058997955685</v>
      </c>
      <c r="T71" s="59">
        <f t="shared" si="88"/>
        <v>440.06633724144069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39.160395279797818</v>
      </c>
      <c r="AA71" s="21">
        <f>EXP(-LN(2)/25)*AA70+(1-EXP(-LN(2)/25))/(LN(2)/25)*Calculateur!V71*Calculateur!X71*VLOOKUP('Données projet'!$B$9,Paramètres!$A$1:$I$89,3,0)*0.475*44/12</f>
        <v>65.780449296506802</v>
      </c>
      <c r="AB71" s="21">
        <f>EXP(-LN(2)/2)*AB70+(1-EXP(-LN(2)/2))/(LN(2)/2)*V71*Y71*VLOOKUP('Données projet'!$B$9,Paramètres!$A$1:$I$89,3,0)*0.475*44/12</f>
        <v>0</v>
      </c>
      <c r="AC71" s="22">
        <f t="shared" si="57"/>
        <v>104.94084457630461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 t="e">
        <f>AI71*VLOOKUP('Données projet'!$B$10,Paramètres!$A$1:$I$89,3,0)*VLOOKUP('Données projet'!$B$10,Paramètres!$A$1:$I$89,5,0)</f>
        <v>#N/A</v>
      </c>
      <c r="AK71" s="13" t="e">
        <f t="shared" si="89"/>
        <v>#N/A</v>
      </c>
      <c r="AL71" s="20" t="e">
        <f t="shared" si="58"/>
        <v>#N/A</v>
      </c>
      <c r="AM71" s="59" t="e">
        <f t="shared" si="59"/>
        <v>#N/A</v>
      </c>
      <c r="AN71" s="59" t="e">
        <f ca="1">AVERAGE(OFFSET($AM$3,0,0,'Données projet'!$E$10+1,1))-AVERAGE(OFFSET($H$3,0,0,'Données projet'!$E$10+1,1))</f>
        <v>#N/A</v>
      </c>
      <c r="AO71" s="59" t="e">
        <f t="shared" si="90"/>
        <v>#N/A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 t="e">
        <f>EXP(-LN(2)/35)*AU70+(1-EXP(-LN(2)/35))/(LN(2)/35)*AQ71*AR71*VLOOKUP('Données projet'!$B$10,Paramètres!$A$1:$I$89,3,0)*0.475*44/12</f>
        <v>#N/A</v>
      </c>
      <c r="AV71" s="21" t="e">
        <f>EXP(-LN(2)/25)*AV70+(1-EXP(-LN(2)/25))/(LN(2)/25)*Calculateur!AQ71*Calculateur!AS71*VLOOKUP('Données projet'!$B$10,Paramètres!$A$1:$I$89,3,0)*0.475*44/12</f>
        <v>#N/A</v>
      </c>
      <c r="AW71" s="21" t="e">
        <f>EXP(-LN(2)/2)*AW70+(1-EXP(-LN(2)/2))/(LN(2)/2)*AQ71*AT71*VLOOKUP('Données projet'!$B$10,Paramètres!$A$1:$I$89,3,0)*0.475*44/12</f>
        <v>#N/A</v>
      </c>
      <c r="AX71" s="21" t="e">
        <f t="shared" si="60"/>
        <v>#N/A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3">
        <f>'Scénario référence'!$B$16*5+'Scénario référence'!$B$17*0+'Scénario référence'!$B$18*5</f>
        <v>5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86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67">
        <f t="shared" si="56"/>
        <v>183.33333333333334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2.2737367544323206E-13</v>
      </c>
      <c r="O72" s="13">
        <f>N72*VLOOKUP('Données projet'!$B$9,Paramètres!$A$1:$I$89,3,0)*VLOOKUP('Données projet'!$B$9,Paramètres!$A$1:$I$89,5,0)</f>
        <v>1.3596945791505279E-13</v>
      </c>
      <c r="P72" s="13">
        <f t="shared" si="87"/>
        <v>1.9708830566360721E-12</v>
      </c>
      <c r="Q72" s="20">
        <f t="shared" si="54"/>
        <v>3.669434796176543E-12</v>
      </c>
      <c r="R72" s="59">
        <f t="shared" si="55"/>
        <v>265.93016035007025</v>
      </c>
      <c r="S72" s="59">
        <f ca="1">AVERAGE(OFFSET($R$3,0,0,'Données projet'!$E$9+1,1))-AVERAGE(OFFSET($H$3,0,0,'Données projet'!$E$9+1,1))</f>
        <v>297.34058997955685</v>
      </c>
      <c r="T72" s="59">
        <f t="shared" si="88"/>
        <v>440.06633724144069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38.392483813843612</v>
      </c>
      <c r="AA72" s="21">
        <f>EXP(-LN(2)/25)*AA71+(1-EXP(-LN(2)/25))/(LN(2)/25)*Calculateur!V72*Calculateur!X72*VLOOKUP('Données projet'!$B$9,Paramètres!$A$1:$I$89,3,0)*0.475*44/12</f>
        <v>63.981679451250336</v>
      </c>
      <c r="AB72" s="21">
        <f>EXP(-LN(2)/2)*AB71+(1-EXP(-LN(2)/2))/(LN(2)/2)*V72*Y72*VLOOKUP('Données projet'!$B$9,Paramètres!$A$1:$I$89,3,0)*0.475*44/12</f>
        <v>0</v>
      </c>
      <c r="AC72" s="22">
        <f t="shared" si="57"/>
        <v>102.37416326509396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 t="e">
        <f>AI72*VLOOKUP('Données projet'!$B$10,Paramètres!$A$1:$I$89,3,0)*VLOOKUP('Données projet'!$B$10,Paramètres!$A$1:$I$89,5,0)</f>
        <v>#N/A</v>
      </c>
      <c r="AK72" s="13" t="e">
        <f t="shared" si="89"/>
        <v>#N/A</v>
      </c>
      <c r="AL72" s="20" t="e">
        <f t="shared" si="58"/>
        <v>#N/A</v>
      </c>
      <c r="AM72" s="59" t="e">
        <f t="shared" si="59"/>
        <v>#N/A</v>
      </c>
      <c r="AN72" s="59" t="e">
        <f ca="1">AVERAGE(OFFSET($AM$3,0,0,'Données projet'!$E$10+1,1))-AVERAGE(OFFSET($H$3,0,0,'Données projet'!$E$10+1,1))</f>
        <v>#N/A</v>
      </c>
      <c r="AO72" s="59" t="e">
        <f t="shared" si="90"/>
        <v>#N/A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 t="e">
        <f>EXP(-LN(2)/35)*AU71+(1-EXP(-LN(2)/35))/(LN(2)/35)*AQ72*AR72*VLOOKUP('Données projet'!$B$10,Paramètres!$A$1:$I$89,3,0)*0.475*44/12</f>
        <v>#N/A</v>
      </c>
      <c r="AV72" s="21" t="e">
        <f>EXP(-LN(2)/25)*AV71+(1-EXP(-LN(2)/25))/(LN(2)/25)*Calculateur!AQ72*Calculateur!AS72*VLOOKUP('Données projet'!$B$10,Paramètres!$A$1:$I$89,3,0)*0.475*44/12</f>
        <v>#N/A</v>
      </c>
      <c r="AW72" s="21" t="e">
        <f>EXP(-LN(2)/2)*AW71+(1-EXP(-LN(2)/2))/(LN(2)/2)*AQ72*AT72*VLOOKUP('Données projet'!$B$10,Paramètres!$A$1:$I$89,3,0)*0.475*44/12</f>
        <v>#N/A</v>
      </c>
      <c r="AX72" s="21" t="e">
        <f t="shared" si="60"/>
        <v>#N/A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3">
        <f>'Scénario référence'!$B$16*5+'Scénario référence'!$B$17*0+'Scénario référence'!$B$18*5</f>
        <v>5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86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67">
        <f t="shared" si="56"/>
        <v>183.33333333333334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2.2737367544323206E-13</v>
      </c>
      <c r="O73" s="13">
        <f>N73*VLOOKUP('Données projet'!$B$9,Paramètres!$A$1:$I$89,3,0)*VLOOKUP('Données projet'!$B$9,Paramètres!$A$1:$I$89,5,0)</f>
        <v>1.3596945791505279E-13</v>
      </c>
      <c r="P73" s="13">
        <f t="shared" si="87"/>
        <v>1.9708830566360721E-12</v>
      </c>
      <c r="Q73" s="20">
        <f t="shared" si="54"/>
        <v>3.669434796176543E-12</v>
      </c>
      <c r="R73" s="59">
        <f t="shared" si="55"/>
        <v>266.40554413701318</v>
      </c>
      <c r="S73" s="59">
        <f ca="1">AVERAGE(OFFSET($R$3,0,0,'Données projet'!$E$9+1,1))-AVERAGE(OFFSET($H$3,0,0,'Données projet'!$E$9+1,1))</f>
        <v>297.34058997955685</v>
      </c>
      <c r="T73" s="59">
        <f t="shared" si="88"/>
        <v>440.06633724144069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37.639630623357014</v>
      </c>
      <c r="AA73" s="21">
        <f>EXP(-LN(2)/25)*AA72+(1-EXP(-LN(2)/25))/(LN(2)/25)*Calculateur!V73*Calculateur!X73*VLOOKUP('Données projet'!$B$9,Paramètres!$A$1:$I$89,3,0)*0.475*44/12</f>
        <v>62.232097062005607</v>
      </c>
      <c r="AB73" s="21">
        <f>EXP(-LN(2)/2)*AB72+(1-EXP(-LN(2)/2))/(LN(2)/2)*V73*Y73*VLOOKUP('Données projet'!$B$9,Paramètres!$A$1:$I$89,3,0)*0.475*44/12</f>
        <v>0</v>
      </c>
      <c r="AC73" s="22">
        <f t="shared" si="57"/>
        <v>99.871727685362629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 t="e">
        <f>AI73*VLOOKUP('Données projet'!$B$10,Paramètres!$A$1:$I$89,3,0)*VLOOKUP('Données projet'!$B$10,Paramètres!$A$1:$I$89,5,0)</f>
        <v>#N/A</v>
      </c>
      <c r="AK73" s="13" t="e">
        <f t="shared" si="89"/>
        <v>#N/A</v>
      </c>
      <c r="AL73" s="20" t="e">
        <f t="shared" si="58"/>
        <v>#N/A</v>
      </c>
      <c r="AM73" s="59" t="e">
        <f t="shared" si="59"/>
        <v>#N/A</v>
      </c>
      <c r="AN73" s="59" t="e">
        <f ca="1">AVERAGE(OFFSET($AM$3,0,0,'Données projet'!$E$10+1,1))-AVERAGE(OFFSET($H$3,0,0,'Données projet'!$E$10+1,1))</f>
        <v>#N/A</v>
      </c>
      <c r="AO73" s="59" t="e">
        <f t="shared" si="90"/>
        <v>#N/A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 t="e">
        <f>EXP(-LN(2)/35)*AU72+(1-EXP(-LN(2)/35))/(LN(2)/35)*AQ73*AR73*VLOOKUP('Données projet'!$B$10,Paramètres!$A$1:$I$89,3,0)*0.475*44/12</f>
        <v>#N/A</v>
      </c>
      <c r="AV73" s="21" t="e">
        <f>EXP(-LN(2)/25)*AV72+(1-EXP(-LN(2)/25))/(LN(2)/25)*Calculateur!AQ73*Calculateur!AS73*VLOOKUP('Données projet'!$B$10,Paramètres!$A$1:$I$89,3,0)*0.475*44/12</f>
        <v>#N/A</v>
      </c>
      <c r="AW73" s="21" t="e">
        <f>EXP(-LN(2)/2)*AW72+(1-EXP(-LN(2)/2))/(LN(2)/2)*AQ73*AT73*VLOOKUP('Données projet'!$B$10,Paramètres!$A$1:$I$89,3,0)*0.475*44/12</f>
        <v>#N/A</v>
      </c>
      <c r="AX73" s="21" t="e">
        <f t="shared" si="60"/>
        <v>#N/A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3">
        <f>'Scénario référence'!$B$16*5+'Scénario référence'!$B$17*0+'Scénario référence'!$B$18*5</f>
        <v>5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86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67">
        <f t="shared" si="56"/>
        <v>183.33333333333334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2.2737367544323206E-13</v>
      </c>
      <c r="O74" s="13">
        <f>N74*VLOOKUP('Données projet'!$B$9,Paramètres!$A$1:$I$89,3,0)*VLOOKUP('Données projet'!$B$9,Paramètres!$A$1:$I$89,5,0)</f>
        <v>1.3596945791505279E-13</v>
      </c>
      <c r="P74" s="13">
        <f t="shared" si="87"/>
        <v>1.9708830566360721E-12</v>
      </c>
      <c r="Q74" s="20">
        <f t="shared" si="54"/>
        <v>3.669434796176543E-12</v>
      </c>
      <c r="R74" s="59">
        <f t="shared" si="55"/>
        <v>266.87268107805164</v>
      </c>
      <c r="S74" s="59">
        <f ca="1">AVERAGE(OFFSET($R$3,0,0,'Données projet'!$E$9+1,1))-AVERAGE(OFFSET($H$3,0,0,'Données projet'!$E$9+1,1))</f>
        <v>297.34058997955685</v>
      </c>
      <c r="T74" s="59">
        <f t="shared" si="88"/>
        <v>440.06633724144069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36.901540424740759</v>
      </c>
      <c r="AA74" s="21">
        <f>EXP(-LN(2)/25)*AA73+(1-EXP(-LN(2)/25))/(LN(2)/25)*Calculateur!V74*Calculateur!X74*VLOOKUP('Données projet'!$B$9,Paramètres!$A$1:$I$89,3,0)*0.475*44/12</f>
        <v>60.53035709520131</v>
      </c>
      <c r="AB74" s="21">
        <f>EXP(-LN(2)/2)*AB73+(1-EXP(-LN(2)/2))/(LN(2)/2)*V74*Y74*VLOOKUP('Données projet'!$B$9,Paramètres!$A$1:$I$89,3,0)*0.475*44/12</f>
        <v>0</v>
      </c>
      <c r="AC74" s="22">
        <f t="shared" si="57"/>
        <v>97.431897519942069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 t="e">
        <f>AI74*VLOOKUP('Données projet'!$B$10,Paramètres!$A$1:$I$89,3,0)*VLOOKUP('Données projet'!$B$10,Paramètres!$A$1:$I$89,5,0)</f>
        <v>#N/A</v>
      </c>
      <c r="AK74" s="13" t="e">
        <f t="shared" si="89"/>
        <v>#N/A</v>
      </c>
      <c r="AL74" s="20" t="e">
        <f t="shared" si="58"/>
        <v>#N/A</v>
      </c>
      <c r="AM74" s="59" t="e">
        <f t="shared" si="59"/>
        <v>#N/A</v>
      </c>
      <c r="AN74" s="59" t="e">
        <f ca="1">AVERAGE(OFFSET($AM$3,0,0,'Données projet'!$E$10+1,1))-AVERAGE(OFFSET($H$3,0,0,'Données projet'!$E$10+1,1))</f>
        <v>#N/A</v>
      </c>
      <c r="AO74" s="59" t="e">
        <f t="shared" si="90"/>
        <v>#N/A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 t="e">
        <f>EXP(-LN(2)/35)*AU73+(1-EXP(-LN(2)/35))/(LN(2)/35)*AQ74*AR74*VLOOKUP('Données projet'!$B$10,Paramètres!$A$1:$I$89,3,0)*0.475*44/12</f>
        <v>#N/A</v>
      </c>
      <c r="AV74" s="21" t="e">
        <f>EXP(-LN(2)/25)*AV73+(1-EXP(-LN(2)/25))/(LN(2)/25)*Calculateur!AQ74*Calculateur!AS74*VLOOKUP('Données projet'!$B$10,Paramètres!$A$1:$I$89,3,0)*0.475*44/12</f>
        <v>#N/A</v>
      </c>
      <c r="AW74" s="21" t="e">
        <f>EXP(-LN(2)/2)*AW73+(1-EXP(-LN(2)/2))/(LN(2)/2)*AQ74*AT74*VLOOKUP('Données projet'!$B$10,Paramètres!$A$1:$I$89,3,0)*0.475*44/12</f>
        <v>#N/A</v>
      </c>
      <c r="AX74" s="21" t="e">
        <f t="shared" si="60"/>
        <v>#N/A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3">
        <f>'Scénario référence'!$B$16*5+'Scénario référence'!$B$17*0+'Scénario référence'!$B$18*5</f>
        <v>5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86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67">
        <f t="shared" si="56"/>
        <v>183.33333333333334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2.2737367544323206E-13</v>
      </c>
      <c r="O75" s="13">
        <f>N75*VLOOKUP('Données projet'!$B$9,Paramètres!$A$1:$I$89,3,0)*VLOOKUP('Données projet'!$B$9,Paramètres!$A$1:$I$89,5,0)</f>
        <v>1.3596945791505279E-13</v>
      </c>
      <c r="P75" s="13">
        <f t="shared" si="87"/>
        <v>1.9708830566360721E-12</v>
      </c>
      <c r="Q75" s="20">
        <f t="shared" si="54"/>
        <v>3.669434796176543E-12</v>
      </c>
      <c r="R75" s="59">
        <f t="shared" si="55"/>
        <v>267.33171423752481</v>
      </c>
      <c r="S75" s="59">
        <f ca="1">AVERAGE(OFFSET($R$3,0,0,'Données projet'!$E$9+1,1))-AVERAGE(OFFSET($H$3,0,0,'Données projet'!$E$9+1,1))</f>
        <v>297.34058997955685</v>
      </c>
      <c r="T75" s="59">
        <f t="shared" si="88"/>
        <v>440.06633724144069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36.177923724728799</v>
      </c>
      <c r="AA75" s="21">
        <f>EXP(-LN(2)/25)*AA74+(1-EXP(-LN(2)/25))/(LN(2)/25)*Calculateur!V75*Calculateur!X75*VLOOKUP('Données projet'!$B$9,Paramètres!$A$1:$I$89,3,0)*0.475*44/12</f>
        <v>58.875151297279892</v>
      </c>
      <c r="AB75" s="21">
        <f>EXP(-LN(2)/2)*AB74+(1-EXP(-LN(2)/2))/(LN(2)/2)*V75*Y75*VLOOKUP('Données projet'!$B$9,Paramètres!$A$1:$I$89,3,0)*0.475*44/12</f>
        <v>0</v>
      </c>
      <c r="AC75" s="22">
        <f t="shared" si="57"/>
        <v>95.053075022008699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 t="e">
        <f>AI75*VLOOKUP('Données projet'!$B$10,Paramètres!$A$1:$I$89,3,0)*VLOOKUP('Données projet'!$B$10,Paramètres!$A$1:$I$89,5,0)</f>
        <v>#N/A</v>
      </c>
      <c r="AK75" s="13" t="e">
        <f t="shared" si="89"/>
        <v>#N/A</v>
      </c>
      <c r="AL75" s="20" t="e">
        <f t="shared" si="58"/>
        <v>#N/A</v>
      </c>
      <c r="AM75" s="59" t="e">
        <f t="shared" si="59"/>
        <v>#N/A</v>
      </c>
      <c r="AN75" s="59" t="e">
        <f ca="1">AVERAGE(OFFSET($AM$3,0,0,'Données projet'!$E$10+1,1))-AVERAGE(OFFSET($H$3,0,0,'Données projet'!$E$10+1,1))</f>
        <v>#N/A</v>
      </c>
      <c r="AO75" s="59" t="e">
        <f t="shared" si="90"/>
        <v>#N/A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 t="e">
        <f>EXP(-LN(2)/35)*AU74+(1-EXP(-LN(2)/35))/(LN(2)/35)*AQ75*AR75*VLOOKUP('Données projet'!$B$10,Paramètres!$A$1:$I$89,3,0)*0.475*44/12</f>
        <v>#N/A</v>
      </c>
      <c r="AV75" s="21" t="e">
        <f>EXP(-LN(2)/25)*AV74+(1-EXP(-LN(2)/25))/(LN(2)/25)*Calculateur!AQ75*Calculateur!AS75*VLOOKUP('Données projet'!$B$10,Paramètres!$A$1:$I$89,3,0)*0.475*44/12</f>
        <v>#N/A</v>
      </c>
      <c r="AW75" s="21" t="e">
        <f>EXP(-LN(2)/2)*AW74+(1-EXP(-LN(2)/2))/(LN(2)/2)*AQ75*AT75*VLOOKUP('Données projet'!$B$10,Paramètres!$A$1:$I$89,3,0)*0.475*44/12</f>
        <v>#N/A</v>
      </c>
      <c r="AX75" s="21" t="e">
        <f t="shared" si="60"/>
        <v>#N/A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3">
        <f>'Scénario référence'!$B$16*5+'Scénario référence'!$B$17*0+'Scénario référence'!$B$18*5</f>
        <v>5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86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67">
        <f t="shared" si="56"/>
        <v>183.33333333333334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2.2737367544323206E-13</v>
      </c>
      <c r="O76" s="13">
        <f>N76*VLOOKUP('Données projet'!$B$9,Paramètres!$A$1:$I$89,3,0)*VLOOKUP('Données projet'!$B$9,Paramètres!$A$1:$I$89,5,0)</f>
        <v>1.3596945791505279E-13</v>
      </c>
      <c r="P76" s="13">
        <f t="shared" si="87"/>
        <v>1.9708830566360721E-12</v>
      </c>
      <c r="Q76" s="20">
        <f t="shared" si="54"/>
        <v>3.669434796176543E-12</v>
      </c>
      <c r="R76" s="59">
        <f t="shared" si="55"/>
        <v>267.78278419792548</v>
      </c>
      <c r="S76" s="59">
        <f ca="1">AVERAGE(OFFSET($R$3,0,0,'Données projet'!$E$9+1,1))-AVERAGE(OFFSET($H$3,0,0,'Données projet'!$E$9+1,1))</f>
        <v>297.34058997955685</v>
      </c>
      <c r="T76" s="59">
        <f t="shared" si="88"/>
        <v>440.06633724144069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35.468496706841471</v>
      </c>
      <c r="AA76" s="21">
        <f>EXP(-LN(2)/25)*AA75+(1-EXP(-LN(2)/25))/(LN(2)/25)*Calculateur!V76*Calculateur!X76*VLOOKUP('Données projet'!$B$9,Paramètres!$A$1:$I$89,3,0)*0.475*44/12</f>
        <v>57.265207188946128</v>
      </c>
      <c r="AB76" s="21">
        <f>EXP(-LN(2)/2)*AB75+(1-EXP(-LN(2)/2))/(LN(2)/2)*V76*Y76*VLOOKUP('Données projet'!$B$9,Paramètres!$A$1:$I$89,3,0)*0.475*44/12</f>
        <v>0</v>
      </c>
      <c r="AC76" s="22">
        <f t="shared" si="57"/>
        <v>92.733703895787599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 t="e">
        <f>AI76*VLOOKUP('Données projet'!$B$10,Paramètres!$A$1:$I$89,3,0)*VLOOKUP('Données projet'!$B$10,Paramètres!$A$1:$I$89,5,0)</f>
        <v>#N/A</v>
      </c>
      <c r="AK76" s="13" t="e">
        <f t="shared" si="89"/>
        <v>#N/A</v>
      </c>
      <c r="AL76" s="20" t="e">
        <f t="shared" si="58"/>
        <v>#N/A</v>
      </c>
      <c r="AM76" s="59" t="e">
        <f t="shared" si="59"/>
        <v>#N/A</v>
      </c>
      <c r="AN76" s="59" t="e">
        <f ca="1">AVERAGE(OFFSET($AM$3,0,0,'Données projet'!$E$10+1,1))-AVERAGE(OFFSET($H$3,0,0,'Données projet'!$E$10+1,1))</f>
        <v>#N/A</v>
      </c>
      <c r="AO76" s="59" t="e">
        <f t="shared" si="90"/>
        <v>#N/A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 t="e">
        <f>EXP(-LN(2)/35)*AU75+(1-EXP(-LN(2)/35))/(LN(2)/35)*AQ76*AR76*VLOOKUP('Données projet'!$B$10,Paramètres!$A$1:$I$89,3,0)*0.475*44/12</f>
        <v>#N/A</v>
      </c>
      <c r="AV76" s="21" t="e">
        <f>EXP(-LN(2)/25)*AV75+(1-EXP(-LN(2)/25))/(LN(2)/25)*Calculateur!AQ76*Calculateur!AS76*VLOOKUP('Données projet'!$B$10,Paramètres!$A$1:$I$89,3,0)*0.475*44/12</f>
        <v>#N/A</v>
      </c>
      <c r="AW76" s="21" t="e">
        <f>EXP(-LN(2)/2)*AW75+(1-EXP(-LN(2)/2))/(LN(2)/2)*AQ76*AT76*VLOOKUP('Données projet'!$B$10,Paramètres!$A$1:$I$89,3,0)*0.475*44/12</f>
        <v>#N/A</v>
      </c>
      <c r="AX76" s="21" t="e">
        <f t="shared" si="60"/>
        <v>#N/A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3">
        <f>'Scénario référence'!$B$16*5+'Scénario référence'!$B$17*0+'Scénario référence'!$B$18*5</f>
        <v>5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86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67">
        <f t="shared" si="56"/>
        <v>183.33333333333334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2.2737367544323206E-13</v>
      </c>
      <c r="O77" s="13">
        <f>N77*VLOOKUP('Données projet'!$B$9,Paramètres!$A$1:$I$89,3,0)*VLOOKUP('Données projet'!$B$9,Paramètres!$A$1:$I$89,5,0)</f>
        <v>1.3596945791505279E-13</v>
      </c>
      <c r="P77" s="13">
        <f t="shared" si="87"/>
        <v>1.9708830566360721E-12</v>
      </c>
      <c r="Q77" s="20">
        <f t="shared" si="54"/>
        <v>3.669434796176543E-12</v>
      </c>
      <c r="R77" s="59">
        <f t="shared" si="55"/>
        <v>268.22602910295456</v>
      </c>
      <c r="S77" s="59">
        <f ca="1">AVERAGE(OFFSET($R$3,0,0,'Données projet'!$E$9+1,1))-AVERAGE(OFFSET($H$3,0,0,'Données projet'!$E$9+1,1))</f>
        <v>297.34058997955685</v>
      </c>
      <c r="T77" s="59">
        <f t="shared" si="88"/>
        <v>440.06633724144069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34.772981120067158</v>
      </c>
      <c r="AA77" s="21">
        <f>EXP(-LN(2)/25)*AA76+(1-EXP(-LN(2)/25))/(LN(2)/25)*Calculateur!V77*Calculateur!X77*VLOOKUP('Données projet'!$B$9,Paramètres!$A$1:$I$89,3,0)*0.475*44/12</f>
        <v>55.699287086918034</v>
      </c>
      <c r="AB77" s="21">
        <f>EXP(-LN(2)/2)*AB76+(1-EXP(-LN(2)/2))/(LN(2)/2)*V77*Y77*VLOOKUP('Données projet'!$B$9,Paramètres!$A$1:$I$89,3,0)*0.475*44/12</f>
        <v>0</v>
      </c>
      <c r="AC77" s="22">
        <f t="shared" si="57"/>
        <v>90.472268206985191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 t="e">
        <f>AI77*VLOOKUP('Données projet'!$B$10,Paramètres!$A$1:$I$89,3,0)*VLOOKUP('Données projet'!$B$10,Paramètres!$A$1:$I$89,5,0)</f>
        <v>#N/A</v>
      </c>
      <c r="AK77" s="13" t="e">
        <f t="shared" si="89"/>
        <v>#N/A</v>
      </c>
      <c r="AL77" s="20" t="e">
        <f t="shared" si="58"/>
        <v>#N/A</v>
      </c>
      <c r="AM77" s="59" t="e">
        <f t="shared" si="59"/>
        <v>#N/A</v>
      </c>
      <c r="AN77" s="59" t="e">
        <f ca="1">AVERAGE(OFFSET($AM$3,0,0,'Données projet'!$E$10+1,1))-AVERAGE(OFFSET($H$3,0,0,'Données projet'!$E$10+1,1))</f>
        <v>#N/A</v>
      </c>
      <c r="AO77" s="59" t="e">
        <f t="shared" si="90"/>
        <v>#N/A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 t="e">
        <f>EXP(-LN(2)/35)*AU76+(1-EXP(-LN(2)/35))/(LN(2)/35)*AQ77*AR77*VLOOKUP('Données projet'!$B$10,Paramètres!$A$1:$I$89,3,0)*0.475*44/12</f>
        <v>#N/A</v>
      </c>
      <c r="AV77" s="21" t="e">
        <f>EXP(-LN(2)/25)*AV76+(1-EXP(-LN(2)/25))/(LN(2)/25)*Calculateur!AQ77*Calculateur!AS77*VLOOKUP('Données projet'!$B$10,Paramètres!$A$1:$I$89,3,0)*0.475*44/12</f>
        <v>#N/A</v>
      </c>
      <c r="AW77" s="21" t="e">
        <f>EXP(-LN(2)/2)*AW76+(1-EXP(-LN(2)/2))/(LN(2)/2)*AQ77*AT77*VLOOKUP('Données projet'!$B$10,Paramètres!$A$1:$I$89,3,0)*0.475*44/12</f>
        <v>#N/A</v>
      </c>
      <c r="AX77" s="21" t="e">
        <f t="shared" si="60"/>
        <v>#N/A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3">
        <f>'Scénario référence'!$B$16*5+'Scénario référence'!$B$17*0+'Scénario référence'!$B$18*5</f>
        <v>5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86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67">
        <f t="shared" si="56"/>
        <v>183.33333333333334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2.2737367544323206E-13</v>
      </c>
      <c r="O78" s="13">
        <f>N78*VLOOKUP('Données projet'!$B$9,Paramètres!$A$1:$I$89,3,0)*VLOOKUP('Données projet'!$B$9,Paramètres!$A$1:$I$89,5,0)</f>
        <v>1.3596945791505279E-13</v>
      </c>
      <c r="P78" s="13">
        <f t="shared" si="87"/>
        <v>1.9708830566360721E-12</v>
      </c>
      <c r="Q78" s="20">
        <f t="shared" si="54"/>
        <v>3.669434796176543E-12</v>
      </c>
      <c r="R78" s="59">
        <f t="shared" si="55"/>
        <v>268.6615846998285</v>
      </c>
      <c r="S78" s="59">
        <f ca="1">AVERAGE(OFFSET($R$3,0,0,'Données projet'!$E$9+1,1))-AVERAGE(OFFSET($H$3,0,0,'Données projet'!$E$9+1,1))</f>
        <v>297.34058997955685</v>
      </c>
      <c r="T78" s="59">
        <f t="shared" si="88"/>
        <v>440.06633724144069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34.091104169726869</v>
      </c>
      <c r="AA78" s="21">
        <f>EXP(-LN(2)/25)*AA77+(1-EXP(-LN(2)/25))/(LN(2)/25)*Calculateur!V78*Calculateur!X78*VLOOKUP('Données projet'!$B$9,Paramètres!$A$1:$I$89,3,0)*0.475*44/12</f>
        <v>54.176187152428056</v>
      </c>
      <c r="AB78" s="21">
        <f>EXP(-LN(2)/2)*AB77+(1-EXP(-LN(2)/2))/(LN(2)/2)*V78*Y78*VLOOKUP('Données projet'!$B$9,Paramètres!$A$1:$I$89,3,0)*0.475*44/12</f>
        <v>0</v>
      </c>
      <c r="AC78" s="22">
        <f t="shared" si="57"/>
        <v>88.267291322154932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 t="e">
        <f>AI78*VLOOKUP('Données projet'!$B$10,Paramètres!$A$1:$I$89,3,0)*VLOOKUP('Données projet'!$B$10,Paramètres!$A$1:$I$89,5,0)</f>
        <v>#N/A</v>
      </c>
      <c r="AK78" s="13" t="e">
        <f t="shared" si="89"/>
        <v>#N/A</v>
      </c>
      <c r="AL78" s="20" t="e">
        <f t="shared" si="58"/>
        <v>#N/A</v>
      </c>
      <c r="AM78" s="59" t="e">
        <f t="shared" si="59"/>
        <v>#N/A</v>
      </c>
      <c r="AN78" s="59" t="e">
        <f ca="1">AVERAGE(OFFSET($AM$3,0,0,'Données projet'!$E$10+1,1))-AVERAGE(OFFSET($H$3,0,0,'Données projet'!$E$10+1,1))</f>
        <v>#N/A</v>
      </c>
      <c r="AO78" s="59" t="e">
        <f t="shared" si="90"/>
        <v>#N/A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 t="e">
        <f>EXP(-LN(2)/35)*AU77+(1-EXP(-LN(2)/35))/(LN(2)/35)*AQ78*AR78*VLOOKUP('Données projet'!$B$10,Paramètres!$A$1:$I$89,3,0)*0.475*44/12</f>
        <v>#N/A</v>
      </c>
      <c r="AV78" s="21" t="e">
        <f>EXP(-LN(2)/25)*AV77+(1-EXP(-LN(2)/25))/(LN(2)/25)*Calculateur!AQ78*Calculateur!AS78*VLOOKUP('Données projet'!$B$10,Paramètres!$A$1:$I$89,3,0)*0.475*44/12</f>
        <v>#N/A</v>
      </c>
      <c r="AW78" s="21" t="e">
        <f>EXP(-LN(2)/2)*AW77+(1-EXP(-LN(2)/2))/(LN(2)/2)*AQ78*AT78*VLOOKUP('Données projet'!$B$10,Paramètres!$A$1:$I$89,3,0)*0.475*44/12</f>
        <v>#N/A</v>
      </c>
      <c r="AX78" s="21" t="e">
        <f t="shared" si="60"/>
        <v>#N/A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3">
        <f>'Scénario référence'!$B$16*5+'Scénario référence'!$B$17*0+'Scénario référence'!$B$18*5</f>
        <v>5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86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67">
        <f t="shared" si="56"/>
        <v>183.33333333333334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2.2737367544323206E-13</v>
      </c>
      <c r="O79" s="13">
        <f>N79*VLOOKUP('Données projet'!$B$9,Paramètres!$A$1:$I$89,3,0)*VLOOKUP('Données projet'!$B$9,Paramètres!$A$1:$I$89,5,0)</f>
        <v>1.3596945791505279E-13</v>
      </c>
      <c r="P79" s="13">
        <f t="shared" si="87"/>
        <v>1.9708830566360721E-12</v>
      </c>
      <c r="Q79" s="20">
        <f t="shared" si="54"/>
        <v>3.669434796176543E-12</v>
      </c>
      <c r="R79" s="59">
        <f t="shared" si="55"/>
        <v>269.08958438085313</v>
      </c>
      <c r="S79" s="59">
        <f ca="1">AVERAGE(OFFSET($R$3,0,0,'Données projet'!$E$9+1,1))-AVERAGE(OFFSET($H$3,0,0,'Données projet'!$E$9+1,1))</f>
        <v>297.34058997955685</v>
      </c>
      <c r="T79" s="59">
        <f t="shared" si="88"/>
        <v>440.06633724144069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33.422598410478876</v>
      </c>
      <c r="AA79" s="21">
        <f>EXP(-LN(2)/25)*AA78+(1-EXP(-LN(2)/25))/(LN(2)/25)*Calculateur!V79*Calculateur!X79*VLOOKUP('Données projet'!$B$9,Paramètres!$A$1:$I$89,3,0)*0.475*44/12</f>
        <v>52.694736465743048</v>
      </c>
      <c r="AB79" s="21">
        <f>EXP(-LN(2)/2)*AB78+(1-EXP(-LN(2)/2))/(LN(2)/2)*V79*Y79*VLOOKUP('Données projet'!$B$9,Paramètres!$A$1:$I$89,3,0)*0.475*44/12</f>
        <v>0</v>
      </c>
      <c r="AC79" s="22">
        <f t="shared" si="57"/>
        <v>86.117334876221918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 t="e">
        <f>AI79*VLOOKUP('Données projet'!$B$10,Paramètres!$A$1:$I$89,3,0)*VLOOKUP('Données projet'!$B$10,Paramètres!$A$1:$I$89,5,0)</f>
        <v>#N/A</v>
      </c>
      <c r="AK79" s="13" t="e">
        <f t="shared" si="89"/>
        <v>#N/A</v>
      </c>
      <c r="AL79" s="20" t="e">
        <f t="shared" si="58"/>
        <v>#N/A</v>
      </c>
      <c r="AM79" s="59" t="e">
        <f t="shared" si="59"/>
        <v>#N/A</v>
      </c>
      <c r="AN79" s="59" t="e">
        <f ca="1">AVERAGE(OFFSET($AM$3,0,0,'Données projet'!$E$10+1,1))-AVERAGE(OFFSET($H$3,0,0,'Données projet'!$E$10+1,1))</f>
        <v>#N/A</v>
      </c>
      <c r="AO79" s="59" t="e">
        <f t="shared" si="90"/>
        <v>#N/A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 t="e">
        <f>EXP(-LN(2)/35)*AU78+(1-EXP(-LN(2)/35))/(LN(2)/35)*AQ79*AR79*VLOOKUP('Données projet'!$B$10,Paramètres!$A$1:$I$89,3,0)*0.475*44/12</f>
        <v>#N/A</v>
      </c>
      <c r="AV79" s="21" t="e">
        <f>EXP(-LN(2)/25)*AV78+(1-EXP(-LN(2)/25))/(LN(2)/25)*Calculateur!AQ79*Calculateur!AS79*VLOOKUP('Données projet'!$B$10,Paramètres!$A$1:$I$89,3,0)*0.475*44/12</f>
        <v>#N/A</v>
      </c>
      <c r="AW79" s="21" t="e">
        <f>EXP(-LN(2)/2)*AW78+(1-EXP(-LN(2)/2))/(LN(2)/2)*AQ79*AT79*VLOOKUP('Données projet'!$B$10,Paramètres!$A$1:$I$89,3,0)*0.475*44/12</f>
        <v>#N/A</v>
      </c>
      <c r="AX79" s="21" t="e">
        <f t="shared" si="60"/>
        <v>#N/A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3">
        <f>'Scénario référence'!$B$16*5+'Scénario référence'!$B$17*0+'Scénario référence'!$B$18*5</f>
        <v>5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86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67">
        <f t="shared" si="56"/>
        <v>183.33333333333334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2.2737367544323206E-13</v>
      </c>
      <c r="O80" s="13">
        <f>N80*VLOOKUP('Données projet'!$B$9,Paramètres!$A$1:$I$89,3,0)*VLOOKUP('Données projet'!$B$9,Paramètres!$A$1:$I$89,5,0)</f>
        <v>1.3596945791505279E-13</v>
      </c>
      <c r="P80" s="13">
        <f t="shared" si="87"/>
        <v>1.9708830566360721E-12</v>
      </c>
      <c r="Q80" s="20">
        <f t="shared" si="54"/>
        <v>3.669434796176543E-12</v>
      </c>
      <c r="R80" s="59">
        <f t="shared" si="55"/>
        <v>269.51015922427598</v>
      </c>
      <c r="S80" s="59">
        <f ca="1">AVERAGE(OFFSET($R$3,0,0,'Données projet'!$E$9+1,1))-AVERAGE(OFFSET($H$3,0,0,'Données projet'!$E$9+1,1))</f>
        <v>297.34058997955685</v>
      </c>
      <c r="T80" s="59">
        <f t="shared" si="88"/>
        <v>440.06633724144069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32.767201641421487</v>
      </c>
      <c r="AA80" s="21">
        <f>EXP(-LN(2)/25)*AA79+(1-EXP(-LN(2)/25))/(LN(2)/25)*Calculateur!V80*Calculateur!X80*VLOOKUP('Données projet'!$B$9,Paramètres!$A$1:$I$89,3,0)*0.475*44/12</f>
        <v>51.253796125991549</v>
      </c>
      <c r="AB80" s="21">
        <f>EXP(-LN(2)/2)*AB79+(1-EXP(-LN(2)/2))/(LN(2)/2)*V80*Y80*VLOOKUP('Données projet'!$B$9,Paramètres!$A$1:$I$89,3,0)*0.475*44/12</f>
        <v>0</v>
      </c>
      <c r="AC80" s="22">
        <f t="shared" si="57"/>
        <v>84.020997767413036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 t="e">
        <f>AI80*VLOOKUP('Données projet'!$B$10,Paramètres!$A$1:$I$89,3,0)*VLOOKUP('Données projet'!$B$10,Paramètres!$A$1:$I$89,5,0)</f>
        <v>#N/A</v>
      </c>
      <c r="AK80" s="13" t="e">
        <f t="shared" si="89"/>
        <v>#N/A</v>
      </c>
      <c r="AL80" s="20" t="e">
        <f t="shared" si="58"/>
        <v>#N/A</v>
      </c>
      <c r="AM80" s="59" t="e">
        <f t="shared" si="59"/>
        <v>#N/A</v>
      </c>
      <c r="AN80" s="59" t="e">
        <f ca="1">AVERAGE(OFFSET($AM$3,0,0,'Données projet'!$E$10+1,1))-AVERAGE(OFFSET($H$3,0,0,'Données projet'!$E$10+1,1))</f>
        <v>#N/A</v>
      </c>
      <c r="AO80" s="59" t="e">
        <f t="shared" si="90"/>
        <v>#N/A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 t="e">
        <f>EXP(-LN(2)/35)*AU79+(1-EXP(-LN(2)/35))/(LN(2)/35)*AQ80*AR80*VLOOKUP('Données projet'!$B$10,Paramètres!$A$1:$I$89,3,0)*0.475*44/12</f>
        <v>#N/A</v>
      </c>
      <c r="AV80" s="21" t="e">
        <f>EXP(-LN(2)/25)*AV79+(1-EXP(-LN(2)/25))/(LN(2)/25)*Calculateur!AQ80*Calculateur!AS80*VLOOKUP('Données projet'!$B$10,Paramètres!$A$1:$I$89,3,0)*0.475*44/12</f>
        <v>#N/A</v>
      </c>
      <c r="AW80" s="21" t="e">
        <f>EXP(-LN(2)/2)*AW79+(1-EXP(-LN(2)/2))/(LN(2)/2)*AQ80*AT80*VLOOKUP('Données projet'!$B$10,Paramètres!$A$1:$I$89,3,0)*0.475*44/12</f>
        <v>#N/A</v>
      </c>
      <c r="AX80" s="21" t="e">
        <f t="shared" si="60"/>
        <v>#N/A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3">
        <f>'Scénario référence'!$B$16*5+'Scénario référence'!$B$17*0+'Scénario référence'!$B$18*5</f>
        <v>5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86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67">
        <f t="shared" si="56"/>
        <v>183.33333333333334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2.2737367544323206E-13</v>
      </c>
      <c r="O81" s="13">
        <f>N81*VLOOKUP('Données projet'!$B$9,Paramètres!$A$1:$I$89,3,0)*VLOOKUP('Données projet'!$B$9,Paramètres!$A$1:$I$89,5,0)</f>
        <v>1.3596945791505279E-13</v>
      </c>
      <c r="P81" s="13">
        <f t="shared" si="87"/>
        <v>1.9708830566360721E-12</v>
      </c>
      <c r="Q81" s="20">
        <f t="shared" si="54"/>
        <v>3.669434796176543E-12</v>
      </c>
      <c r="R81" s="59">
        <f t="shared" si="55"/>
        <v>269.92343803442992</v>
      </c>
      <c r="S81" s="59">
        <f ca="1">AVERAGE(OFFSET($R$3,0,0,'Données projet'!$E$9+1,1))-AVERAGE(OFFSET($H$3,0,0,'Données projet'!$E$9+1,1))</f>
        <v>297.34058997955685</v>
      </c>
      <c r="T81" s="59">
        <f t="shared" si="88"/>
        <v>440.06633724144069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32.124656803252755</v>
      </c>
      <c r="AA81" s="21">
        <f>EXP(-LN(2)/25)*AA80+(1-EXP(-LN(2)/25))/(LN(2)/25)*Calculateur!V81*Calculateur!X81*VLOOKUP('Données projet'!$B$9,Paramètres!$A$1:$I$89,3,0)*0.475*44/12</f>
        <v>49.852258375606311</v>
      </c>
      <c r="AB81" s="21">
        <f>EXP(-LN(2)/2)*AB80+(1-EXP(-LN(2)/2))/(LN(2)/2)*V81*Y81*VLOOKUP('Données projet'!$B$9,Paramètres!$A$1:$I$89,3,0)*0.475*44/12</f>
        <v>0</v>
      </c>
      <c r="AC81" s="22">
        <f t="shared" si="57"/>
        <v>81.976915178859059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 t="e">
        <f>AI81*VLOOKUP('Données projet'!$B$10,Paramètres!$A$1:$I$89,3,0)*VLOOKUP('Données projet'!$B$10,Paramètres!$A$1:$I$89,5,0)</f>
        <v>#N/A</v>
      </c>
      <c r="AK81" s="13" t="e">
        <f t="shared" si="89"/>
        <v>#N/A</v>
      </c>
      <c r="AL81" s="20" t="e">
        <f t="shared" si="58"/>
        <v>#N/A</v>
      </c>
      <c r="AM81" s="59" t="e">
        <f t="shared" si="59"/>
        <v>#N/A</v>
      </c>
      <c r="AN81" s="59" t="e">
        <f ca="1">AVERAGE(OFFSET($AM$3,0,0,'Données projet'!$E$10+1,1))-AVERAGE(OFFSET($H$3,0,0,'Données projet'!$E$10+1,1))</f>
        <v>#N/A</v>
      </c>
      <c r="AO81" s="59" t="e">
        <f t="shared" si="90"/>
        <v>#N/A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 t="e">
        <f>EXP(-LN(2)/35)*AU80+(1-EXP(-LN(2)/35))/(LN(2)/35)*AQ81*AR81*VLOOKUP('Données projet'!$B$10,Paramètres!$A$1:$I$89,3,0)*0.475*44/12</f>
        <v>#N/A</v>
      </c>
      <c r="AV81" s="21" t="e">
        <f>EXP(-LN(2)/25)*AV80+(1-EXP(-LN(2)/25))/(LN(2)/25)*Calculateur!AQ81*Calculateur!AS81*VLOOKUP('Données projet'!$B$10,Paramètres!$A$1:$I$89,3,0)*0.475*44/12</f>
        <v>#N/A</v>
      </c>
      <c r="AW81" s="21" t="e">
        <f>EXP(-LN(2)/2)*AW80+(1-EXP(-LN(2)/2))/(LN(2)/2)*AQ81*AT81*VLOOKUP('Données projet'!$B$10,Paramètres!$A$1:$I$89,3,0)*0.475*44/12</f>
        <v>#N/A</v>
      </c>
      <c r="AX81" s="21" t="e">
        <f t="shared" si="60"/>
        <v>#N/A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3">
        <f>'Scénario référence'!$B$16*5+'Scénario référence'!$B$17*0+'Scénario référence'!$B$18*5</f>
        <v>5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86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67">
        <f t="shared" si="56"/>
        <v>183.33333333333334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2.2737367544323206E-13</v>
      </c>
      <c r="O82" s="13">
        <f>N82*VLOOKUP('Données projet'!$B$9,Paramètres!$A$1:$I$89,3,0)*VLOOKUP('Données projet'!$B$9,Paramètres!$A$1:$I$89,5,0)</f>
        <v>1.3596945791505279E-13</v>
      </c>
      <c r="P82" s="13">
        <f t="shared" si="87"/>
        <v>1.9708830566360721E-12</v>
      </c>
      <c r="Q82" s="20">
        <f t="shared" si="54"/>
        <v>3.669434796176543E-12</v>
      </c>
      <c r="R82" s="59">
        <f t="shared" si="55"/>
        <v>270.32954738118065</v>
      </c>
      <c r="S82" s="59">
        <f ca="1">AVERAGE(OFFSET($R$3,0,0,'Données projet'!$E$9+1,1))-AVERAGE(OFFSET($H$3,0,0,'Données projet'!$E$9+1,1))</f>
        <v>297.34058997955685</v>
      </c>
      <c r="T82" s="59">
        <f t="shared" si="88"/>
        <v>440.06633724144069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31.494711877446861</v>
      </c>
      <c r="AA82" s="21">
        <f>EXP(-LN(2)/25)*AA81+(1-EXP(-LN(2)/25))/(LN(2)/25)*Calculateur!V82*Calculateur!X82*VLOOKUP('Données projet'!$B$9,Paramètres!$A$1:$I$89,3,0)*0.475*44/12</f>
        <v>48.489045748709025</v>
      </c>
      <c r="AB82" s="21">
        <f>EXP(-LN(2)/2)*AB81+(1-EXP(-LN(2)/2))/(LN(2)/2)*V82*Y82*VLOOKUP('Données projet'!$B$9,Paramètres!$A$1:$I$89,3,0)*0.475*44/12</f>
        <v>0</v>
      </c>
      <c r="AC82" s="22">
        <f t="shared" si="57"/>
        <v>79.983757626155892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 t="e">
        <f>AI82*VLOOKUP('Données projet'!$B$10,Paramètres!$A$1:$I$89,3,0)*VLOOKUP('Données projet'!$B$10,Paramètres!$A$1:$I$89,5,0)</f>
        <v>#N/A</v>
      </c>
      <c r="AK82" s="13" t="e">
        <f t="shared" si="89"/>
        <v>#N/A</v>
      </c>
      <c r="AL82" s="20" t="e">
        <f t="shared" si="58"/>
        <v>#N/A</v>
      </c>
      <c r="AM82" s="59" t="e">
        <f t="shared" si="59"/>
        <v>#N/A</v>
      </c>
      <c r="AN82" s="59" t="e">
        <f ca="1">AVERAGE(OFFSET($AM$3,0,0,'Données projet'!$E$10+1,1))-AVERAGE(OFFSET($H$3,0,0,'Données projet'!$E$10+1,1))</f>
        <v>#N/A</v>
      </c>
      <c r="AO82" s="59" t="e">
        <f t="shared" si="90"/>
        <v>#N/A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 t="e">
        <f>EXP(-LN(2)/35)*AU81+(1-EXP(-LN(2)/35))/(LN(2)/35)*AQ82*AR82*VLOOKUP('Données projet'!$B$10,Paramètres!$A$1:$I$89,3,0)*0.475*44/12</f>
        <v>#N/A</v>
      </c>
      <c r="AV82" s="21" t="e">
        <f>EXP(-LN(2)/25)*AV81+(1-EXP(-LN(2)/25))/(LN(2)/25)*Calculateur!AQ82*Calculateur!AS82*VLOOKUP('Données projet'!$B$10,Paramètres!$A$1:$I$89,3,0)*0.475*44/12</f>
        <v>#N/A</v>
      </c>
      <c r="AW82" s="21" t="e">
        <f>EXP(-LN(2)/2)*AW81+(1-EXP(-LN(2)/2))/(LN(2)/2)*AQ82*AT82*VLOOKUP('Données projet'!$B$10,Paramètres!$A$1:$I$89,3,0)*0.475*44/12</f>
        <v>#N/A</v>
      </c>
      <c r="AX82" s="21" t="e">
        <f t="shared" si="60"/>
        <v>#N/A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3">
        <f>'Scénario référence'!$B$16*5+'Scénario référence'!$B$17*0+'Scénario référence'!$B$18*5</f>
        <v>5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86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67">
        <f t="shared" si="56"/>
        <v>183.33333333333334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2.2737367544323206E-13</v>
      </c>
      <c r="O83" s="13">
        <f>N83*VLOOKUP('Données projet'!$B$9,Paramètres!$A$1:$I$89,3,0)*VLOOKUP('Données projet'!$B$9,Paramètres!$A$1:$I$89,5,0)</f>
        <v>1.3596945791505279E-13</v>
      </c>
      <c r="P83" s="13">
        <f t="shared" si="87"/>
        <v>1.9708830566360721E-12</v>
      </c>
      <c r="Q83" s="20">
        <f t="shared" si="54"/>
        <v>3.669434796176543E-12</v>
      </c>
      <c r="R83" s="59">
        <f t="shared" si="55"/>
        <v>270.72861163868981</v>
      </c>
      <c r="S83" s="59">
        <f ca="1">AVERAGE(OFFSET($R$3,0,0,'Données projet'!$E$9+1,1))-AVERAGE(OFFSET($H$3,0,0,'Données projet'!$E$9+1,1))</f>
        <v>297.34058997955685</v>
      </c>
      <c r="T83" s="59">
        <f t="shared" si="88"/>
        <v>440.06633724144069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30.877119787407555</v>
      </c>
      <c r="AA83" s="21">
        <f>EXP(-LN(2)/25)*AA82+(1-EXP(-LN(2)/25))/(LN(2)/25)*Calculateur!V83*Calculateur!X83*VLOOKUP('Données projet'!$B$9,Paramètres!$A$1:$I$89,3,0)*0.475*44/12</f>
        <v>47.16311024278248</v>
      </c>
      <c r="AB83" s="21">
        <f>EXP(-LN(2)/2)*AB82+(1-EXP(-LN(2)/2))/(LN(2)/2)*V83*Y83*VLOOKUP('Données projet'!$B$9,Paramètres!$A$1:$I$89,3,0)*0.475*44/12</f>
        <v>0</v>
      </c>
      <c r="AC83" s="22">
        <f t="shared" si="57"/>
        <v>78.040230030190031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 t="e">
        <f>AI83*VLOOKUP('Données projet'!$B$10,Paramètres!$A$1:$I$89,3,0)*VLOOKUP('Données projet'!$B$10,Paramètres!$A$1:$I$89,5,0)</f>
        <v>#N/A</v>
      </c>
      <c r="AK83" s="13" t="e">
        <f t="shared" si="89"/>
        <v>#N/A</v>
      </c>
      <c r="AL83" s="20" t="e">
        <f t="shared" si="58"/>
        <v>#N/A</v>
      </c>
      <c r="AM83" s="59" t="e">
        <f t="shared" si="59"/>
        <v>#N/A</v>
      </c>
      <c r="AN83" s="59" t="e">
        <f ca="1">AVERAGE(OFFSET($AM$3,0,0,'Données projet'!$E$10+1,1))-AVERAGE(OFFSET($H$3,0,0,'Données projet'!$E$10+1,1))</f>
        <v>#N/A</v>
      </c>
      <c r="AO83" s="59" t="e">
        <f t="shared" si="90"/>
        <v>#N/A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 t="e">
        <f>EXP(-LN(2)/35)*AU82+(1-EXP(-LN(2)/35))/(LN(2)/35)*AQ83*AR83*VLOOKUP('Données projet'!$B$10,Paramètres!$A$1:$I$89,3,0)*0.475*44/12</f>
        <v>#N/A</v>
      </c>
      <c r="AV83" s="21" t="e">
        <f>EXP(-LN(2)/25)*AV82+(1-EXP(-LN(2)/25))/(LN(2)/25)*Calculateur!AQ83*Calculateur!AS83*VLOOKUP('Données projet'!$B$10,Paramètres!$A$1:$I$89,3,0)*0.475*44/12</f>
        <v>#N/A</v>
      </c>
      <c r="AW83" s="21" t="e">
        <f>EXP(-LN(2)/2)*AW82+(1-EXP(-LN(2)/2))/(LN(2)/2)*AQ83*AT83*VLOOKUP('Données projet'!$B$10,Paramètres!$A$1:$I$89,3,0)*0.475*44/12</f>
        <v>#N/A</v>
      </c>
      <c r="AX83" s="21" t="e">
        <f t="shared" si="60"/>
        <v>#N/A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3">
        <f>'Scénario référence'!$B$16*5+'Scénario référence'!$B$17*0+'Scénario référence'!$B$18*5</f>
        <v>5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86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67">
        <f t="shared" si="56"/>
        <v>183.33333333333334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2.2737367544323206E-13</v>
      </c>
      <c r="O84" s="13">
        <f>N84*VLOOKUP('Données projet'!$B$9,Paramètres!$A$1:$I$89,3,0)*VLOOKUP('Données projet'!$B$9,Paramètres!$A$1:$I$89,5,0)</f>
        <v>1.3596945791505279E-13</v>
      </c>
      <c r="P84" s="13">
        <f t="shared" si="87"/>
        <v>1.9708830566360721E-12</v>
      </c>
      <c r="Q84" s="20">
        <f t="shared" si="54"/>
        <v>3.669434796176543E-12</v>
      </c>
      <c r="R84" s="59">
        <f t="shared" si="55"/>
        <v>271.12075302350513</v>
      </c>
      <c r="S84" s="59">
        <f ca="1">AVERAGE(OFFSET($R$3,0,0,'Données projet'!$E$9+1,1))-AVERAGE(OFFSET($H$3,0,0,'Données projet'!$E$9+1,1))</f>
        <v>297.34058997955685</v>
      </c>
      <c r="T84" s="59">
        <f t="shared" si="88"/>
        <v>440.06633724144069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30.271638301559939</v>
      </c>
      <c r="AA84" s="21">
        <f>EXP(-LN(2)/25)*AA83+(1-EXP(-LN(2)/25))/(LN(2)/25)*Calculateur!V84*Calculateur!X84*VLOOKUP('Données projet'!$B$9,Paramètres!$A$1:$I$89,3,0)*0.475*44/12</f>
        <v>45.873432512993418</v>
      </c>
      <c r="AB84" s="21">
        <f>EXP(-LN(2)/2)*AB83+(1-EXP(-LN(2)/2))/(LN(2)/2)*V84*Y84*VLOOKUP('Données projet'!$B$9,Paramètres!$A$1:$I$89,3,0)*0.475*44/12</f>
        <v>0</v>
      </c>
      <c r="AC84" s="22">
        <f t="shared" si="57"/>
        <v>76.14507081455335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 t="e">
        <f>AI84*VLOOKUP('Données projet'!$B$10,Paramètres!$A$1:$I$89,3,0)*VLOOKUP('Données projet'!$B$10,Paramètres!$A$1:$I$89,5,0)</f>
        <v>#N/A</v>
      </c>
      <c r="AK84" s="13" t="e">
        <f t="shared" si="89"/>
        <v>#N/A</v>
      </c>
      <c r="AL84" s="20" t="e">
        <f t="shared" si="58"/>
        <v>#N/A</v>
      </c>
      <c r="AM84" s="59" t="e">
        <f t="shared" si="59"/>
        <v>#N/A</v>
      </c>
      <c r="AN84" s="59" t="e">
        <f ca="1">AVERAGE(OFFSET($AM$3,0,0,'Données projet'!$E$10+1,1))-AVERAGE(OFFSET($H$3,0,0,'Données projet'!$E$10+1,1))</f>
        <v>#N/A</v>
      </c>
      <c r="AO84" s="59" t="e">
        <f t="shared" si="90"/>
        <v>#N/A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 t="e">
        <f>EXP(-LN(2)/35)*AU83+(1-EXP(-LN(2)/35))/(LN(2)/35)*AQ84*AR84*VLOOKUP('Données projet'!$B$10,Paramètres!$A$1:$I$89,3,0)*0.475*44/12</f>
        <v>#N/A</v>
      </c>
      <c r="AV84" s="21" t="e">
        <f>EXP(-LN(2)/25)*AV83+(1-EXP(-LN(2)/25))/(LN(2)/25)*Calculateur!AQ84*Calculateur!AS84*VLOOKUP('Données projet'!$B$10,Paramètres!$A$1:$I$89,3,0)*0.475*44/12</f>
        <v>#N/A</v>
      </c>
      <c r="AW84" s="21" t="e">
        <f>EXP(-LN(2)/2)*AW83+(1-EXP(-LN(2)/2))/(LN(2)/2)*AQ84*AT84*VLOOKUP('Données projet'!$B$10,Paramètres!$A$1:$I$89,3,0)*0.475*44/12</f>
        <v>#N/A</v>
      </c>
      <c r="AX84" s="21" t="e">
        <f t="shared" si="60"/>
        <v>#N/A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3">
        <f>'Scénario référence'!$B$16*5+'Scénario référence'!$B$17*0+'Scénario référence'!$B$18*5</f>
        <v>5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86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67">
        <f t="shared" si="56"/>
        <v>183.33333333333334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2.2737367544323206E-13</v>
      </c>
      <c r="O85" s="13">
        <f>N85*VLOOKUP('Données projet'!$B$9,Paramètres!$A$1:$I$89,3,0)*VLOOKUP('Données projet'!$B$9,Paramètres!$A$1:$I$89,5,0)</f>
        <v>1.3596945791505279E-13</v>
      </c>
      <c r="P85" s="13">
        <f t="shared" si="87"/>
        <v>1.9708830566360721E-12</v>
      </c>
      <c r="Q85" s="20">
        <f t="shared" si="54"/>
        <v>3.669434796176543E-12</v>
      </c>
      <c r="R85" s="59">
        <f t="shared" si="55"/>
        <v>271.50609163199073</v>
      </c>
      <c r="S85" s="59">
        <f ca="1">AVERAGE(OFFSET($R$3,0,0,'Données projet'!$E$9+1,1))-AVERAGE(OFFSET($H$3,0,0,'Données projet'!$E$9+1,1))</f>
        <v>297.34058997955685</v>
      </c>
      <c r="T85" s="59">
        <f t="shared" si="88"/>
        <v>440.06633724144069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29.678029938342558</v>
      </c>
      <c r="AA85" s="21">
        <f>EXP(-LN(2)/25)*AA84+(1-EXP(-LN(2)/25))/(LN(2)/25)*Calculateur!V85*Calculateur!X85*VLOOKUP('Données projet'!$B$9,Paramètres!$A$1:$I$89,3,0)*0.475*44/12</f>
        <v>44.619021088546639</v>
      </c>
      <c r="AB85" s="21">
        <f>EXP(-LN(2)/2)*AB84+(1-EXP(-LN(2)/2))/(LN(2)/2)*V85*Y85*VLOOKUP('Données projet'!$B$9,Paramètres!$A$1:$I$89,3,0)*0.475*44/12</f>
        <v>0</v>
      </c>
      <c r="AC85" s="22">
        <f t="shared" si="57"/>
        <v>74.297051026889193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 t="e">
        <f>AI85*VLOOKUP('Données projet'!$B$10,Paramètres!$A$1:$I$89,3,0)*VLOOKUP('Données projet'!$B$10,Paramètres!$A$1:$I$89,5,0)</f>
        <v>#N/A</v>
      </c>
      <c r="AK85" s="13" t="e">
        <f t="shared" si="89"/>
        <v>#N/A</v>
      </c>
      <c r="AL85" s="20" t="e">
        <f t="shared" si="58"/>
        <v>#N/A</v>
      </c>
      <c r="AM85" s="59" t="e">
        <f t="shared" si="59"/>
        <v>#N/A</v>
      </c>
      <c r="AN85" s="59" t="e">
        <f ca="1">AVERAGE(OFFSET($AM$3,0,0,'Données projet'!$E$10+1,1))-AVERAGE(OFFSET($H$3,0,0,'Données projet'!$E$10+1,1))</f>
        <v>#N/A</v>
      </c>
      <c r="AO85" s="59" t="e">
        <f t="shared" si="90"/>
        <v>#N/A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 t="e">
        <f>EXP(-LN(2)/35)*AU84+(1-EXP(-LN(2)/35))/(LN(2)/35)*AQ85*AR85*VLOOKUP('Données projet'!$B$10,Paramètres!$A$1:$I$89,3,0)*0.475*44/12</f>
        <v>#N/A</v>
      </c>
      <c r="AV85" s="21" t="e">
        <f>EXP(-LN(2)/25)*AV84+(1-EXP(-LN(2)/25))/(LN(2)/25)*Calculateur!AQ85*Calculateur!AS85*VLOOKUP('Données projet'!$B$10,Paramètres!$A$1:$I$89,3,0)*0.475*44/12</f>
        <v>#N/A</v>
      </c>
      <c r="AW85" s="21" t="e">
        <f>EXP(-LN(2)/2)*AW84+(1-EXP(-LN(2)/2))/(LN(2)/2)*AQ85*AT85*VLOOKUP('Données projet'!$B$10,Paramètres!$A$1:$I$89,3,0)*0.475*44/12</f>
        <v>#N/A</v>
      </c>
      <c r="AX85" s="21" t="e">
        <f t="shared" si="60"/>
        <v>#N/A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3">
        <f>'Scénario référence'!$B$16*5+'Scénario référence'!$B$17*0+'Scénario référence'!$B$18*5</f>
        <v>5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86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67">
        <f t="shared" si="56"/>
        <v>183.33333333333334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2.2737367544323206E-13</v>
      </c>
      <c r="O86" s="13">
        <f>N86*VLOOKUP('Données projet'!$B$9,Paramètres!$A$1:$I$89,3,0)*VLOOKUP('Données projet'!$B$9,Paramètres!$A$1:$I$89,5,0)</f>
        <v>1.3596945791505279E-13</v>
      </c>
      <c r="P86" s="13">
        <f t="shared" si="87"/>
        <v>1.9708830566360721E-12</v>
      </c>
      <c r="Q86" s="20">
        <f t="shared" si="54"/>
        <v>3.669434796176543E-12</v>
      </c>
      <c r="R86" s="59">
        <f t="shared" si="55"/>
        <v>271.88474547710717</v>
      </c>
      <c r="S86" s="59">
        <f ca="1">AVERAGE(OFFSET($R$3,0,0,'Données projet'!$E$9+1,1))-AVERAGE(OFFSET($H$3,0,0,'Données projet'!$E$9+1,1))</f>
        <v>297.34058997955685</v>
      </c>
      <c r="T86" s="59">
        <f t="shared" si="88"/>
        <v>440.06633724144069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29.096061873062517</v>
      </c>
      <c r="AA86" s="21">
        <f>EXP(-LN(2)/25)*AA85+(1-EXP(-LN(2)/25))/(LN(2)/25)*Calculateur!V86*Calculateur!X86*VLOOKUP('Données projet'!$B$9,Paramètres!$A$1:$I$89,3,0)*0.475*44/12</f>
        <v>43.398911610467991</v>
      </c>
      <c r="AB86" s="21">
        <f>EXP(-LN(2)/2)*AB85+(1-EXP(-LN(2)/2))/(LN(2)/2)*V86*Y86*VLOOKUP('Données projet'!$B$9,Paramètres!$A$1:$I$89,3,0)*0.475*44/12</f>
        <v>0</v>
      </c>
      <c r="AC86" s="22">
        <f t="shared" si="57"/>
        <v>72.494973483530515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 t="e">
        <f>AI86*VLOOKUP('Données projet'!$B$10,Paramètres!$A$1:$I$89,3,0)*VLOOKUP('Données projet'!$B$10,Paramètres!$A$1:$I$89,5,0)</f>
        <v>#N/A</v>
      </c>
      <c r="AK86" s="13" t="e">
        <f t="shared" si="89"/>
        <v>#N/A</v>
      </c>
      <c r="AL86" s="20" t="e">
        <f t="shared" si="58"/>
        <v>#N/A</v>
      </c>
      <c r="AM86" s="59" t="e">
        <f t="shared" si="59"/>
        <v>#N/A</v>
      </c>
      <c r="AN86" s="59" t="e">
        <f ca="1">AVERAGE(OFFSET($AM$3,0,0,'Données projet'!$E$10+1,1))-AVERAGE(OFFSET($H$3,0,0,'Données projet'!$E$10+1,1))</f>
        <v>#N/A</v>
      </c>
      <c r="AO86" s="59" t="e">
        <f t="shared" si="90"/>
        <v>#N/A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 t="e">
        <f>EXP(-LN(2)/35)*AU85+(1-EXP(-LN(2)/35))/(LN(2)/35)*AQ86*AR86*VLOOKUP('Données projet'!$B$10,Paramètres!$A$1:$I$89,3,0)*0.475*44/12</f>
        <v>#N/A</v>
      </c>
      <c r="AV86" s="21" t="e">
        <f>EXP(-LN(2)/25)*AV85+(1-EXP(-LN(2)/25))/(LN(2)/25)*Calculateur!AQ86*Calculateur!AS86*VLOOKUP('Données projet'!$B$10,Paramètres!$A$1:$I$89,3,0)*0.475*44/12</f>
        <v>#N/A</v>
      </c>
      <c r="AW86" s="21" t="e">
        <f>EXP(-LN(2)/2)*AW85+(1-EXP(-LN(2)/2))/(LN(2)/2)*AQ86*AT86*VLOOKUP('Données projet'!$B$10,Paramètres!$A$1:$I$89,3,0)*0.475*44/12</f>
        <v>#N/A</v>
      </c>
      <c r="AX86" s="21" t="e">
        <f t="shared" si="60"/>
        <v>#N/A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3">
        <f>'Scénario référence'!$B$16*5+'Scénario référence'!$B$17*0+'Scénario référence'!$B$18*5</f>
        <v>5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86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67">
        <f t="shared" si="56"/>
        <v>183.33333333333334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2.2737367544323206E-13</v>
      </c>
      <c r="O87" s="13">
        <f>N87*VLOOKUP('Données projet'!$B$9,Paramètres!$A$1:$I$89,3,0)*VLOOKUP('Données projet'!$B$9,Paramètres!$A$1:$I$89,5,0)</f>
        <v>1.3596945791505279E-13</v>
      </c>
      <c r="P87" s="13">
        <f t="shared" si="87"/>
        <v>1.9708830566360721E-12</v>
      </c>
      <c r="Q87" s="20">
        <f t="shared" si="54"/>
        <v>3.669434796176543E-12</v>
      </c>
      <c r="R87" s="59">
        <f t="shared" si="55"/>
        <v>272.256830524554</v>
      </c>
      <c r="S87" s="59">
        <f ca="1">AVERAGE(OFFSET($R$3,0,0,'Données projet'!$E$9+1,1))-AVERAGE(OFFSET($H$3,0,0,'Données projet'!$E$9+1,1))</f>
        <v>297.34058997955685</v>
      </c>
      <c r="T87" s="59">
        <f t="shared" si="88"/>
        <v>440.06633724144069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28.525505846577147</v>
      </c>
      <c r="AA87" s="21">
        <f>EXP(-LN(2)/25)*AA86+(1-EXP(-LN(2)/25))/(LN(2)/25)*Calculateur!V87*Calculateur!X87*VLOOKUP('Données projet'!$B$9,Paramètres!$A$1:$I$89,3,0)*0.475*44/12</f>
        <v>42.21216609023017</v>
      </c>
      <c r="AB87" s="21">
        <f>EXP(-LN(2)/2)*AB86+(1-EXP(-LN(2)/2))/(LN(2)/2)*V87*Y87*VLOOKUP('Données projet'!$B$9,Paramètres!$A$1:$I$89,3,0)*0.475*44/12</f>
        <v>0</v>
      </c>
      <c r="AC87" s="22">
        <f t="shared" si="57"/>
        <v>70.737671936807317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 t="e">
        <f>AI87*VLOOKUP('Données projet'!$B$10,Paramètres!$A$1:$I$89,3,0)*VLOOKUP('Données projet'!$B$10,Paramètres!$A$1:$I$89,5,0)</f>
        <v>#N/A</v>
      </c>
      <c r="AK87" s="13" t="e">
        <f t="shared" si="89"/>
        <v>#N/A</v>
      </c>
      <c r="AL87" s="20" t="e">
        <f t="shared" si="58"/>
        <v>#N/A</v>
      </c>
      <c r="AM87" s="59" t="e">
        <f t="shared" si="59"/>
        <v>#N/A</v>
      </c>
      <c r="AN87" s="59" t="e">
        <f ca="1">AVERAGE(OFFSET($AM$3,0,0,'Données projet'!$E$10+1,1))-AVERAGE(OFFSET($H$3,0,0,'Données projet'!$E$10+1,1))</f>
        <v>#N/A</v>
      </c>
      <c r="AO87" s="59" t="e">
        <f t="shared" si="90"/>
        <v>#N/A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 t="e">
        <f>EXP(-LN(2)/35)*AU86+(1-EXP(-LN(2)/35))/(LN(2)/35)*AQ87*AR87*VLOOKUP('Données projet'!$B$10,Paramètres!$A$1:$I$89,3,0)*0.475*44/12</f>
        <v>#N/A</v>
      </c>
      <c r="AV87" s="21" t="e">
        <f>EXP(-LN(2)/25)*AV86+(1-EXP(-LN(2)/25))/(LN(2)/25)*Calculateur!AQ87*Calculateur!AS87*VLOOKUP('Données projet'!$B$10,Paramètres!$A$1:$I$89,3,0)*0.475*44/12</f>
        <v>#N/A</v>
      </c>
      <c r="AW87" s="21" t="e">
        <f>EXP(-LN(2)/2)*AW86+(1-EXP(-LN(2)/2))/(LN(2)/2)*AQ87*AT87*VLOOKUP('Données projet'!$B$10,Paramètres!$A$1:$I$89,3,0)*0.475*44/12</f>
        <v>#N/A</v>
      </c>
      <c r="AX87" s="21" t="e">
        <f t="shared" si="60"/>
        <v>#N/A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3">
        <f>'Scénario référence'!$B$16*5+'Scénario référence'!$B$17*0+'Scénario référence'!$B$18*5</f>
        <v>5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86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67">
        <f t="shared" si="56"/>
        <v>183.33333333333334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2.2737367544323206E-13</v>
      </c>
      <c r="O88" s="13">
        <f>N88*VLOOKUP('Données projet'!$B$9,Paramètres!$A$1:$I$89,3,0)*VLOOKUP('Données projet'!$B$9,Paramètres!$A$1:$I$89,5,0)</f>
        <v>1.3596945791505279E-13</v>
      </c>
      <c r="P88" s="13">
        <f t="shared" si="87"/>
        <v>1.9708830566360721E-12</v>
      </c>
      <c r="Q88" s="20">
        <f t="shared" si="54"/>
        <v>3.669434796176543E-12</v>
      </c>
      <c r="R88" s="59">
        <f t="shared" si="55"/>
        <v>272.6224607282852</v>
      </c>
      <c r="S88" s="59">
        <f ca="1">AVERAGE(OFFSET($R$3,0,0,'Données projet'!$E$9+1,1))-AVERAGE(OFFSET($H$3,0,0,'Données projet'!$E$9+1,1))</f>
        <v>297.34058997955685</v>
      </c>
      <c r="T88" s="59">
        <f t="shared" si="88"/>
        <v>440.06633724144069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27.966138075766342</v>
      </c>
      <c r="AA88" s="21">
        <f>EXP(-LN(2)/25)*AA87+(1-EXP(-LN(2)/25))/(LN(2)/25)*Calculateur!V88*Calculateur!X88*VLOOKUP('Données projet'!$B$9,Paramètres!$A$1:$I$89,3,0)*0.475*44/12</f>
        <v>41.057872188651487</v>
      </c>
      <c r="AB88" s="21">
        <f>EXP(-LN(2)/2)*AB87+(1-EXP(-LN(2)/2))/(LN(2)/2)*V88*Y88*VLOOKUP('Données projet'!$B$9,Paramètres!$A$1:$I$89,3,0)*0.475*44/12</f>
        <v>0</v>
      </c>
      <c r="AC88" s="22">
        <f t="shared" si="57"/>
        <v>69.024010264417825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 t="e">
        <f>AI88*VLOOKUP('Données projet'!$B$10,Paramètres!$A$1:$I$89,3,0)*VLOOKUP('Données projet'!$B$10,Paramètres!$A$1:$I$89,5,0)</f>
        <v>#N/A</v>
      </c>
      <c r="AK88" s="13" t="e">
        <f t="shared" si="89"/>
        <v>#N/A</v>
      </c>
      <c r="AL88" s="20" t="e">
        <f t="shared" si="58"/>
        <v>#N/A</v>
      </c>
      <c r="AM88" s="59" t="e">
        <f t="shared" si="59"/>
        <v>#N/A</v>
      </c>
      <c r="AN88" s="59" t="e">
        <f ca="1">AVERAGE(OFFSET($AM$3,0,0,'Données projet'!$E$10+1,1))-AVERAGE(OFFSET($H$3,0,0,'Données projet'!$E$10+1,1))</f>
        <v>#N/A</v>
      </c>
      <c r="AO88" s="59" t="e">
        <f t="shared" si="90"/>
        <v>#N/A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 t="e">
        <f>EXP(-LN(2)/35)*AU87+(1-EXP(-LN(2)/35))/(LN(2)/35)*AQ88*AR88*VLOOKUP('Données projet'!$B$10,Paramètres!$A$1:$I$89,3,0)*0.475*44/12</f>
        <v>#N/A</v>
      </c>
      <c r="AV88" s="21" t="e">
        <f>EXP(-LN(2)/25)*AV87+(1-EXP(-LN(2)/25))/(LN(2)/25)*Calculateur!AQ88*Calculateur!AS88*VLOOKUP('Données projet'!$B$10,Paramètres!$A$1:$I$89,3,0)*0.475*44/12</f>
        <v>#N/A</v>
      </c>
      <c r="AW88" s="21" t="e">
        <f>EXP(-LN(2)/2)*AW87+(1-EXP(-LN(2)/2))/(LN(2)/2)*AQ88*AT88*VLOOKUP('Données projet'!$B$10,Paramètres!$A$1:$I$89,3,0)*0.475*44/12</f>
        <v>#N/A</v>
      </c>
      <c r="AX88" s="21" t="e">
        <f t="shared" si="60"/>
        <v>#N/A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3">
        <f>'Scénario référence'!$B$16*5+'Scénario référence'!$B$17*0+'Scénario référence'!$B$18*5</f>
        <v>5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86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67">
        <f t="shared" si="56"/>
        <v>183.33333333333334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2.2737367544323206E-13</v>
      </c>
      <c r="O89" s="13">
        <f>N89*VLOOKUP('Données projet'!$B$9,Paramètres!$A$1:$I$89,3,0)*VLOOKUP('Données projet'!$B$9,Paramètres!$A$1:$I$89,5,0)</f>
        <v>1.3596945791505279E-13</v>
      </c>
      <c r="P89" s="13">
        <f t="shared" si="87"/>
        <v>1.9708830566360721E-12</v>
      </c>
      <c r="Q89" s="20">
        <f t="shared" si="54"/>
        <v>3.669434796176543E-12</v>
      </c>
      <c r="R89" s="59">
        <f t="shared" si="55"/>
        <v>272.9817480654084</v>
      </c>
      <c r="S89" s="59">
        <f ca="1">AVERAGE(OFFSET($R$3,0,0,'Données projet'!$E$9+1,1))-AVERAGE(OFFSET($H$3,0,0,'Données projet'!$E$9+1,1))</f>
        <v>297.34058997955685</v>
      </c>
      <c r="T89" s="59">
        <f t="shared" si="88"/>
        <v>440.06633724144069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27.417739165760487</v>
      </c>
      <c r="AA89" s="21">
        <f>EXP(-LN(2)/25)*AA88+(1-EXP(-LN(2)/25))/(LN(2)/25)*Calculateur!V89*Calculateur!X89*VLOOKUP('Données projet'!$B$9,Paramètres!$A$1:$I$89,3,0)*0.475*44/12</f>
        <v>39.935142514513153</v>
      </c>
      <c r="AB89" s="21">
        <f>EXP(-LN(2)/2)*AB88+(1-EXP(-LN(2)/2))/(LN(2)/2)*V89*Y89*VLOOKUP('Données projet'!$B$9,Paramètres!$A$1:$I$89,3,0)*0.475*44/12</f>
        <v>0</v>
      </c>
      <c r="AC89" s="22">
        <f t="shared" si="57"/>
        <v>67.35288168027364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 t="e">
        <f>AI89*VLOOKUP('Données projet'!$B$10,Paramètres!$A$1:$I$89,3,0)*VLOOKUP('Données projet'!$B$10,Paramètres!$A$1:$I$89,5,0)</f>
        <v>#N/A</v>
      </c>
      <c r="AK89" s="13" t="e">
        <f t="shared" si="89"/>
        <v>#N/A</v>
      </c>
      <c r="AL89" s="20" t="e">
        <f t="shared" si="58"/>
        <v>#N/A</v>
      </c>
      <c r="AM89" s="59" t="e">
        <f t="shared" si="59"/>
        <v>#N/A</v>
      </c>
      <c r="AN89" s="59" t="e">
        <f ca="1">AVERAGE(OFFSET($AM$3,0,0,'Données projet'!$E$10+1,1))-AVERAGE(OFFSET($H$3,0,0,'Données projet'!$E$10+1,1))</f>
        <v>#N/A</v>
      </c>
      <c r="AO89" s="59" t="e">
        <f t="shared" si="90"/>
        <v>#N/A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 t="e">
        <f>EXP(-LN(2)/35)*AU88+(1-EXP(-LN(2)/35))/(LN(2)/35)*AQ89*AR89*VLOOKUP('Données projet'!$B$10,Paramètres!$A$1:$I$89,3,0)*0.475*44/12</f>
        <v>#N/A</v>
      </c>
      <c r="AV89" s="21" t="e">
        <f>EXP(-LN(2)/25)*AV88+(1-EXP(-LN(2)/25))/(LN(2)/25)*Calculateur!AQ89*Calculateur!AS89*VLOOKUP('Données projet'!$B$10,Paramètres!$A$1:$I$89,3,0)*0.475*44/12</f>
        <v>#N/A</v>
      </c>
      <c r="AW89" s="21" t="e">
        <f>EXP(-LN(2)/2)*AW88+(1-EXP(-LN(2)/2))/(LN(2)/2)*AQ89*AT89*VLOOKUP('Données projet'!$B$10,Paramètres!$A$1:$I$89,3,0)*0.475*44/12</f>
        <v>#N/A</v>
      </c>
      <c r="AX89" s="21" t="e">
        <f t="shared" si="60"/>
        <v>#N/A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3">
        <f>'Scénario référence'!$B$16*5+'Scénario référence'!$B$17*0+'Scénario référence'!$B$18*5</f>
        <v>5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86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67">
        <f t="shared" si="56"/>
        <v>183.33333333333334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2.2737367544323206E-13</v>
      </c>
      <c r="O90" s="13">
        <f>N90*VLOOKUP('Données projet'!$B$9,Paramètres!$A$1:$I$89,3,0)*VLOOKUP('Données projet'!$B$9,Paramètres!$A$1:$I$89,5,0)</f>
        <v>1.3596945791505279E-13</v>
      </c>
      <c r="P90" s="13">
        <f t="shared" si="87"/>
        <v>1.9708830566360721E-12</v>
      </c>
      <c r="Q90" s="20">
        <f t="shared" si="54"/>
        <v>3.669434796176543E-12</v>
      </c>
      <c r="R90" s="59">
        <f t="shared" si="55"/>
        <v>273.33480257047853</v>
      </c>
      <c r="S90" s="59">
        <f ca="1">AVERAGE(OFFSET($R$3,0,0,'Données projet'!$E$9+1,1))-AVERAGE(OFFSET($H$3,0,0,'Données projet'!$E$9+1,1))</f>
        <v>297.34058997955685</v>
      </c>
      <c r="T90" s="59">
        <f t="shared" si="88"/>
        <v>440.06633724144069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26.880094023889541</v>
      </c>
      <c r="AA90" s="21">
        <f>EXP(-LN(2)/25)*AA89+(1-EXP(-LN(2)/25))/(LN(2)/25)*Calculateur!V90*Calculateur!X90*VLOOKUP('Données projet'!$B$9,Paramètres!$A$1:$I$89,3,0)*0.475*44/12</f>
        <v>38.84311394235592</v>
      </c>
      <c r="AB90" s="21">
        <f>EXP(-LN(2)/2)*AB89+(1-EXP(-LN(2)/2))/(LN(2)/2)*V90*Y90*VLOOKUP('Données projet'!$B$9,Paramètres!$A$1:$I$89,3,0)*0.475*44/12</f>
        <v>0</v>
      </c>
      <c r="AC90" s="22">
        <f t="shared" si="57"/>
        <v>65.723207966245468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 t="e">
        <f>AI90*VLOOKUP('Données projet'!$B$10,Paramètres!$A$1:$I$89,3,0)*VLOOKUP('Données projet'!$B$10,Paramètres!$A$1:$I$89,5,0)</f>
        <v>#N/A</v>
      </c>
      <c r="AK90" s="13" t="e">
        <f t="shared" si="89"/>
        <v>#N/A</v>
      </c>
      <c r="AL90" s="20" t="e">
        <f t="shared" si="58"/>
        <v>#N/A</v>
      </c>
      <c r="AM90" s="59" t="e">
        <f t="shared" si="59"/>
        <v>#N/A</v>
      </c>
      <c r="AN90" s="59" t="e">
        <f ca="1">AVERAGE(OFFSET($AM$3,0,0,'Données projet'!$E$10+1,1))-AVERAGE(OFFSET($H$3,0,0,'Données projet'!$E$10+1,1))</f>
        <v>#N/A</v>
      </c>
      <c r="AO90" s="59" t="e">
        <f t="shared" si="90"/>
        <v>#N/A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 t="e">
        <f>EXP(-LN(2)/35)*AU89+(1-EXP(-LN(2)/35))/(LN(2)/35)*AQ90*AR90*VLOOKUP('Données projet'!$B$10,Paramètres!$A$1:$I$89,3,0)*0.475*44/12</f>
        <v>#N/A</v>
      </c>
      <c r="AV90" s="21" t="e">
        <f>EXP(-LN(2)/25)*AV89+(1-EXP(-LN(2)/25))/(LN(2)/25)*Calculateur!AQ90*Calculateur!AS90*VLOOKUP('Données projet'!$B$10,Paramètres!$A$1:$I$89,3,0)*0.475*44/12</f>
        <v>#N/A</v>
      </c>
      <c r="AW90" s="21" t="e">
        <f>EXP(-LN(2)/2)*AW89+(1-EXP(-LN(2)/2))/(LN(2)/2)*AQ90*AT90*VLOOKUP('Données projet'!$B$10,Paramètres!$A$1:$I$89,3,0)*0.475*44/12</f>
        <v>#N/A</v>
      </c>
      <c r="AX90" s="21" t="e">
        <f t="shared" si="60"/>
        <v>#N/A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3">
        <f>'Scénario référence'!$B$16*5+'Scénario référence'!$B$17*0+'Scénario référence'!$B$18*5</f>
        <v>5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86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67">
        <f t="shared" si="56"/>
        <v>183.33333333333334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2.2737367544323206E-13</v>
      </c>
      <c r="O91" s="13">
        <f>N91*VLOOKUP('Données projet'!$B$9,Paramètres!$A$1:$I$89,3,0)*VLOOKUP('Données projet'!$B$9,Paramètres!$A$1:$I$89,5,0)</f>
        <v>1.3596945791505279E-13</v>
      </c>
      <c r="P91" s="13">
        <f t="shared" si="87"/>
        <v>1.9708830566360721E-12</v>
      </c>
      <c r="Q91" s="20">
        <f t="shared" si="54"/>
        <v>3.669434796176543E-12</v>
      </c>
      <c r="R91" s="59">
        <f t="shared" si="55"/>
        <v>273.68173236919739</v>
      </c>
      <c r="S91" s="59">
        <f ca="1">AVERAGE(OFFSET($R$3,0,0,'Données projet'!$E$9+1,1))-AVERAGE(OFFSET($H$3,0,0,'Données projet'!$E$9+1,1))</f>
        <v>297.34058997955685</v>
      </c>
      <c r="T91" s="59">
        <f t="shared" si="88"/>
        <v>440.06633724144069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26.352991775319527</v>
      </c>
      <c r="AA91" s="21">
        <f>EXP(-LN(2)/25)*AA90+(1-EXP(-LN(2)/25))/(LN(2)/25)*Calculateur!V91*Calculateur!X91*VLOOKUP('Données projet'!$B$9,Paramètres!$A$1:$I$89,3,0)*0.475*44/12</f>
        <v>37.780946948931614</v>
      </c>
      <c r="AB91" s="21">
        <f>EXP(-LN(2)/2)*AB90+(1-EXP(-LN(2)/2))/(LN(2)/2)*V91*Y91*VLOOKUP('Données projet'!$B$9,Paramètres!$A$1:$I$89,3,0)*0.475*44/12</f>
        <v>0</v>
      </c>
      <c r="AC91" s="22">
        <f t="shared" si="57"/>
        <v>64.133938724251138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 t="e">
        <f>AI91*VLOOKUP('Données projet'!$B$10,Paramètres!$A$1:$I$89,3,0)*VLOOKUP('Données projet'!$B$10,Paramètres!$A$1:$I$89,5,0)</f>
        <v>#N/A</v>
      </c>
      <c r="AK91" s="13" t="e">
        <f t="shared" si="89"/>
        <v>#N/A</v>
      </c>
      <c r="AL91" s="20" t="e">
        <f t="shared" si="58"/>
        <v>#N/A</v>
      </c>
      <c r="AM91" s="59" t="e">
        <f t="shared" si="59"/>
        <v>#N/A</v>
      </c>
      <c r="AN91" s="59" t="e">
        <f ca="1">AVERAGE(OFFSET($AM$3,0,0,'Données projet'!$E$10+1,1))-AVERAGE(OFFSET($H$3,0,0,'Données projet'!$E$10+1,1))</f>
        <v>#N/A</v>
      </c>
      <c r="AO91" s="59" t="e">
        <f t="shared" si="90"/>
        <v>#N/A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 t="e">
        <f>EXP(-LN(2)/35)*AU90+(1-EXP(-LN(2)/35))/(LN(2)/35)*AQ91*AR91*VLOOKUP('Données projet'!$B$10,Paramètres!$A$1:$I$89,3,0)*0.475*44/12</f>
        <v>#N/A</v>
      </c>
      <c r="AV91" s="21" t="e">
        <f>EXP(-LN(2)/25)*AV90+(1-EXP(-LN(2)/25))/(LN(2)/25)*Calculateur!AQ91*Calculateur!AS91*VLOOKUP('Données projet'!$B$10,Paramètres!$A$1:$I$89,3,0)*0.475*44/12</f>
        <v>#N/A</v>
      </c>
      <c r="AW91" s="21" t="e">
        <f>EXP(-LN(2)/2)*AW90+(1-EXP(-LN(2)/2))/(LN(2)/2)*AQ91*AT91*VLOOKUP('Données projet'!$B$10,Paramètres!$A$1:$I$89,3,0)*0.475*44/12</f>
        <v>#N/A</v>
      </c>
      <c r="AX91" s="21" t="e">
        <f t="shared" si="60"/>
        <v>#N/A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3">
        <f>'Scénario référence'!$B$16*5+'Scénario référence'!$B$17*0+'Scénario référence'!$B$18*5</f>
        <v>5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86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67">
        <f t="shared" si="56"/>
        <v>183.33333333333334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2.2737367544323206E-13</v>
      </c>
      <c r="O92" s="13">
        <f>N92*VLOOKUP('Données projet'!$B$9,Paramètres!$A$1:$I$89,3,0)*VLOOKUP('Données projet'!$B$9,Paramètres!$A$1:$I$89,5,0)</f>
        <v>1.3596945791505279E-13</v>
      </c>
      <c r="P92" s="13">
        <f t="shared" si="87"/>
        <v>1.9708830566360721E-12</v>
      </c>
      <c r="Q92" s="20">
        <f t="shared" si="54"/>
        <v>3.669434796176543E-12</v>
      </c>
      <c r="R92" s="59">
        <f t="shared" si="55"/>
        <v>274.02264371152728</v>
      </c>
      <c r="S92" s="59">
        <f ca="1">AVERAGE(OFFSET($R$3,0,0,'Données projet'!$E$9+1,1))-AVERAGE(OFFSET($H$3,0,0,'Données projet'!$E$9+1,1))</f>
        <v>297.34058997955685</v>
      </c>
      <c r="T92" s="59">
        <f t="shared" si="88"/>
        <v>440.06633724144069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25.836225680343343</v>
      </c>
      <c r="AA92" s="21">
        <f>EXP(-LN(2)/25)*AA91+(1-EXP(-LN(2)/25))/(LN(2)/25)*Calculateur!V92*Calculateur!X92*VLOOKUP('Données projet'!$B$9,Paramètres!$A$1:$I$89,3,0)*0.475*44/12</f>
        <v>36.747824967799431</v>
      </c>
      <c r="AB92" s="21">
        <f>EXP(-LN(2)/2)*AB91+(1-EXP(-LN(2)/2))/(LN(2)/2)*V92*Y92*VLOOKUP('Données projet'!$B$9,Paramètres!$A$1:$I$89,3,0)*0.475*44/12</f>
        <v>0</v>
      </c>
      <c r="AC92" s="22">
        <f t="shared" si="57"/>
        <v>62.584050648142778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 t="e">
        <f>AI92*VLOOKUP('Données projet'!$B$10,Paramètres!$A$1:$I$89,3,0)*VLOOKUP('Données projet'!$B$10,Paramètres!$A$1:$I$89,5,0)</f>
        <v>#N/A</v>
      </c>
      <c r="AK92" s="13" t="e">
        <f t="shared" si="89"/>
        <v>#N/A</v>
      </c>
      <c r="AL92" s="20" t="e">
        <f t="shared" si="58"/>
        <v>#N/A</v>
      </c>
      <c r="AM92" s="59" t="e">
        <f t="shared" si="59"/>
        <v>#N/A</v>
      </c>
      <c r="AN92" s="59" t="e">
        <f ca="1">AVERAGE(OFFSET($AM$3,0,0,'Données projet'!$E$10+1,1))-AVERAGE(OFFSET($H$3,0,0,'Données projet'!$E$10+1,1))</f>
        <v>#N/A</v>
      </c>
      <c r="AO92" s="59" t="e">
        <f t="shared" si="90"/>
        <v>#N/A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 t="e">
        <f>EXP(-LN(2)/35)*AU91+(1-EXP(-LN(2)/35))/(LN(2)/35)*AQ92*AR92*VLOOKUP('Données projet'!$B$10,Paramètres!$A$1:$I$89,3,0)*0.475*44/12</f>
        <v>#N/A</v>
      </c>
      <c r="AV92" s="21" t="e">
        <f>EXP(-LN(2)/25)*AV91+(1-EXP(-LN(2)/25))/(LN(2)/25)*Calculateur!AQ92*Calculateur!AS92*VLOOKUP('Données projet'!$B$10,Paramètres!$A$1:$I$89,3,0)*0.475*44/12</f>
        <v>#N/A</v>
      </c>
      <c r="AW92" s="21" t="e">
        <f>EXP(-LN(2)/2)*AW91+(1-EXP(-LN(2)/2))/(LN(2)/2)*AQ92*AT92*VLOOKUP('Données projet'!$B$10,Paramètres!$A$1:$I$89,3,0)*0.475*44/12</f>
        <v>#N/A</v>
      </c>
      <c r="AX92" s="21" t="e">
        <f t="shared" si="60"/>
        <v>#N/A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3">
        <f>'Scénario référence'!$B$16*5+'Scénario référence'!$B$17*0+'Scénario référence'!$B$18*5</f>
        <v>5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86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67">
        <f t="shared" si="56"/>
        <v>183.33333333333334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2.2737367544323206E-13</v>
      </c>
      <c r="O93" s="13">
        <f>N93*VLOOKUP('Données projet'!$B$9,Paramètres!$A$1:$I$89,3,0)*VLOOKUP('Données projet'!$B$9,Paramètres!$A$1:$I$89,5,0)</f>
        <v>1.3596945791505279E-13</v>
      </c>
      <c r="P93" s="13">
        <f t="shared" si="87"/>
        <v>1.9708830566360721E-12</v>
      </c>
      <c r="Q93" s="20">
        <f t="shared" si="54"/>
        <v>3.669434796176543E-12</v>
      </c>
      <c r="R93" s="59">
        <f t="shared" si="55"/>
        <v>274.35764100423137</v>
      </c>
      <c r="S93" s="59">
        <f ca="1">AVERAGE(OFFSET($R$3,0,0,'Données projet'!$E$9+1,1))-AVERAGE(OFFSET($H$3,0,0,'Données projet'!$E$9+1,1))</f>
        <v>297.34058997955685</v>
      </c>
      <c r="T93" s="59">
        <f t="shared" si="88"/>
        <v>440.06633724144069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25.329593053293447</v>
      </c>
      <c r="AA93" s="21">
        <f>EXP(-LN(2)/25)*AA92+(1-EXP(-LN(2)/25))/(LN(2)/25)*Calculateur!V93*Calculateur!X93*VLOOKUP('Données projet'!$B$9,Paramètres!$A$1:$I$89,3,0)*0.475*44/12</f>
        <v>35.742953761570831</v>
      </c>
      <c r="AB93" s="21">
        <f>EXP(-LN(2)/2)*AB92+(1-EXP(-LN(2)/2))/(LN(2)/2)*V93*Y93*VLOOKUP('Données projet'!$B$9,Paramètres!$A$1:$I$89,3,0)*0.475*44/12</f>
        <v>0</v>
      </c>
      <c r="AC93" s="22">
        <f t="shared" si="57"/>
        <v>61.072546814864282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 t="e">
        <f>AI93*VLOOKUP('Données projet'!$B$10,Paramètres!$A$1:$I$89,3,0)*VLOOKUP('Données projet'!$B$10,Paramètres!$A$1:$I$89,5,0)</f>
        <v>#N/A</v>
      </c>
      <c r="AK93" s="13" t="e">
        <f t="shared" si="89"/>
        <v>#N/A</v>
      </c>
      <c r="AL93" s="20" t="e">
        <f t="shared" si="58"/>
        <v>#N/A</v>
      </c>
      <c r="AM93" s="59" t="e">
        <f t="shared" si="59"/>
        <v>#N/A</v>
      </c>
      <c r="AN93" s="59" t="e">
        <f ca="1">AVERAGE(OFFSET($AM$3,0,0,'Données projet'!$E$10+1,1))-AVERAGE(OFFSET($H$3,0,0,'Données projet'!$E$10+1,1))</f>
        <v>#N/A</v>
      </c>
      <c r="AO93" s="59" t="e">
        <f t="shared" si="90"/>
        <v>#N/A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 t="e">
        <f>EXP(-LN(2)/35)*AU92+(1-EXP(-LN(2)/35))/(LN(2)/35)*AQ93*AR93*VLOOKUP('Données projet'!$B$10,Paramètres!$A$1:$I$89,3,0)*0.475*44/12</f>
        <v>#N/A</v>
      </c>
      <c r="AV93" s="21" t="e">
        <f>EXP(-LN(2)/25)*AV92+(1-EXP(-LN(2)/25))/(LN(2)/25)*Calculateur!AQ93*Calculateur!AS93*VLOOKUP('Données projet'!$B$10,Paramètres!$A$1:$I$89,3,0)*0.475*44/12</f>
        <v>#N/A</v>
      </c>
      <c r="AW93" s="21" t="e">
        <f>EXP(-LN(2)/2)*AW92+(1-EXP(-LN(2)/2))/(LN(2)/2)*AQ93*AT93*VLOOKUP('Données projet'!$B$10,Paramètres!$A$1:$I$89,3,0)*0.475*44/12</f>
        <v>#N/A</v>
      </c>
      <c r="AX93" s="21" t="e">
        <f t="shared" si="60"/>
        <v>#N/A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3">
        <f>'Scénario référence'!$B$16*5+'Scénario référence'!$B$17*0+'Scénario référence'!$B$18*5</f>
        <v>5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86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67">
        <f t="shared" si="56"/>
        <v>183.33333333333334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2.2737367544323206E-13</v>
      </c>
      <c r="O94" s="13">
        <f>N94*VLOOKUP('Données projet'!$B$9,Paramètres!$A$1:$I$89,3,0)*VLOOKUP('Données projet'!$B$9,Paramètres!$A$1:$I$89,5,0)</f>
        <v>1.3596945791505279E-13</v>
      </c>
      <c r="P94" s="13">
        <f t="shared" si="87"/>
        <v>1.9708830566360721E-12</v>
      </c>
      <c r="Q94" s="20">
        <f t="shared" si="54"/>
        <v>3.669434796176543E-12</v>
      </c>
      <c r="R94" s="59">
        <f t="shared" si="55"/>
        <v>274.68682684284875</v>
      </c>
      <c r="S94" s="59">
        <f ca="1">AVERAGE(OFFSET($R$3,0,0,'Données projet'!$E$9+1,1))-AVERAGE(OFFSET($H$3,0,0,'Données projet'!$E$9+1,1))</f>
        <v>297.34058997955685</v>
      </c>
      <c r="T94" s="59">
        <f t="shared" si="88"/>
        <v>440.06633724144069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24.832895183044609</v>
      </c>
      <c r="AA94" s="21">
        <f>EXP(-LN(2)/25)*AA93+(1-EXP(-LN(2)/25))/(LN(2)/25)*Calculateur!V94*Calculateur!X94*VLOOKUP('Données projet'!$B$9,Paramètres!$A$1:$I$89,3,0)*0.475*44/12</f>
        <v>34.765560811320427</v>
      </c>
      <c r="AB94" s="21">
        <f>EXP(-LN(2)/2)*AB93+(1-EXP(-LN(2)/2))/(LN(2)/2)*V94*Y94*VLOOKUP('Données projet'!$B$9,Paramètres!$A$1:$I$89,3,0)*0.475*44/12</f>
        <v>0</v>
      </c>
      <c r="AC94" s="22">
        <f t="shared" si="57"/>
        <v>59.59845599436504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 t="e">
        <f>AI94*VLOOKUP('Données projet'!$B$10,Paramètres!$A$1:$I$89,3,0)*VLOOKUP('Données projet'!$B$10,Paramètres!$A$1:$I$89,5,0)</f>
        <v>#N/A</v>
      </c>
      <c r="AK94" s="13" t="e">
        <f t="shared" si="89"/>
        <v>#N/A</v>
      </c>
      <c r="AL94" s="20" t="e">
        <f t="shared" si="58"/>
        <v>#N/A</v>
      </c>
      <c r="AM94" s="59" t="e">
        <f t="shared" si="59"/>
        <v>#N/A</v>
      </c>
      <c r="AN94" s="59" t="e">
        <f ca="1">AVERAGE(OFFSET($AM$3,0,0,'Données projet'!$E$10+1,1))-AVERAGE(OFFSET($H$3,0,0,'Données projet'!$E$10+1,1))</f>
        <v>#N/A</v>
      </c>
      <c r="AO94" s="59" t="e">
        <f t="shared" si="90"/>
        <v>#N/A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 t="e">
        <f>EXP(-LN(2)/35)*AU93+(1-EXP(-LN(2)/35))/(LN(2)/35)*AQ94*AR94*VLOOKUP('Données projet'!$B$10,Paramètres!$A$1:$I$89,3,0)*0.475*44/12</f>
        <v>#N/A</v>
      </c>
      <c r="AV94" s="21" t="e">
        <f>EXP(-LN(2)/25)*AV93+(1-EXP(-LN(2)/25))/(LN(2)/25)*Calculateur!AQ94*Calculateur!AS94*VLOOKUP('Données projet'!$B$10,Paramètres!$A$1:$I$89,3,0)*0.475*44/12</f>
        <v>#N/A</v>
      </c>
      <c r="AW94" s="21" t="e">
        <f>EXP(-LN(2)/2)*AW93+(1-EXP(-LN(2)/2))/(LN(2)/2)*AQ94*AT94*VLOOKUP('Données projet'!$B$10,Paramètres!$A$1:$I$89,3,0)*0.475*44/12</f>
        <v>#N/A</v>
      </c>
      <c r="AX94" s="21" t="e">
        <f t="shared" si="60"/>
        <v>#N/A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3">
        <f>'Scénario référence'!$B$16*5+'Scénario référence'!$B$17*0+'Scénario référence'!$B$18*5</f>
        <v>5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86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67">
        <f t="shared" si="56"/>
        <v>183.33333333333334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2.2737367544323206E-13</v>
      </c>
      <c r="O95" s="13">
        <f>N95*VLOOKUP('Données projet'!$B$9,Paramètres!$A$1:$I$89,3,0)*VLOOKUP('Données projet'!$B$9,Paramètres!$A$1:$I$89,5,0)</f>
        <v>1.3596945791505279E-13</v>
      </c>
      <c r="P95" s="13">
        <f t="shared" si="87"/>
        <v>1.9708830566360721E-12</v>
      </c>
      <c r="Q95" s="20">
        <f t="shared" si="54"/>
        <v>3.669434796176543E-12</v>
      </c>
      <c r="R95" s="59">
        <f t="shared" si="55"/>
        <v>275.01030204311542</v>
      </c>
      <c r="S95" s="59">
        <f ca="1">AVERAGE(OFFSET($R$3,0,0,'Données projet'!$E$9+1,1))-AVERAGE(OFFSET($H$3,0,0,'Données projet'!$E$9+1,1))</f>
        <v>297.34058997955685</v>
      </c>
      <c r="T95" s="59">
        <f t="shared" si="88"/>
        <v>440.06633724144069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24.345937255075565</v>
      </c>
      <c r="AA95" s="21">
        <f>EXP(-LN(2)/25)*AA94+(1-EXP(-LN(2)/25))/(LN(2)/25)*Calculateur!V95*Calculateur!X95*VLOOKUP('Données projet'!$B$9,Paramètres!$A$1:$I$89,3,0)*0.475*44/12</f>
        <v>33.814894722693481</v>
      </c>
      <c r="AB95" s="21">
        <f>EXP(-LN(2)/2)*AB94+(1-EXP(-LN(2)/2))/(LN(2)/2)*V95*Y95*VLOOKUP('Données projet'!$B$9,Paramètres!$A$1:$I$89,3,0)*0.475*44/12</f>
        <v>0</v>
      </c>
      <c r="AC95" s="22">
        <f t="shared" si="57"/>
        <v>58.16083197776905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 t="e">
        <f>AI95*VLOOKUP('Données projet'!$B$10,Paramètres!$A$1:$I$89,3,0)*VLOOKUP('Données projet'!$B$10,Paramètres!$A$1:$I$89,5,0)</f>
        <v>#N/A</v>
      </c>
      <c r="AK95" s="13" t="e">
        <f t="shared" si="89"/>
        <v>#N/A</v>
      </c>
      <c r="AL95" s="20" t="e">
        <f t="shared" si="58"/>
        <v>#N/A</v>
      </c>
      <c r="AM95" s="59" t="e">
        <f t="shared" si="59"/>
        <v>#N/A</v>
      </c>
      <c r="AN95" s="59" t="e">
        <f ca="1">AVERAGE(OFFSET($AM$3,0,0,'Données projet'!$E$10+1,1))-AVERAGE(OFFSET($H$3,0,0,'Données projet'!$E$10+1,1))</f>
        <v>#N/A</v>
      </c>
      <c r="AO95" s="59" t="e">
        <f t="shared" si="90"/>
        <v>#N/A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 t="e">
        <f>EXP(-LN(2)/35)*AU94+(1-EXP(-LN(2)/35))/(LN(2)/35)*AQ95*AR95*VLOOKUP('Données projet'!$B$10,Paramètres!$A$1:$I$89,3,0)*0.475*44/12</f>
        <v>#N/A</v>
      </c>
      <c r="AV95" s="21" t="e">
        <f>EXP(-LN(2)/25)*AV94+(1-EXP(-LN(2)/25))/(LN(2)/25)*Calculateur!AQ95*Calculateur!AS95*VLOOKUP('Données projet'!$B$10,Paramètres!$A$1:$I$89,3,0)*0.475*44/12</f>
        <v>#N/A</v>
      </c>
      <c r="AW95" s="21" t="e">
        <f>EXP(-LN(2)/2)*AW94+(1-EXP(-LN(2)/2))/(LN(2)/2)*AQ95*AT95*VLOOKUP('Données projet'!$B$10,Paramètres!$A$1:$I$89,3,0)*0.475*44/12</f>
        <v>#N/A</v>
      </c>
      <c r="AX95" s="21" t="e">
        <f t="shared" si="60"/>
        <v>#N/A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3">
        <f>'Scénario référence'!$B$16*5+'Scénario référence'!$B$17*0+'Scénario référence'!$B$18*5</f>
        <v>5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86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67">
        <f t="shared" si="56"/>
        <v>183.33333333333334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2.2737367544323206E-13</v>
      </c>
      <c r="O96" s="13">
        <f>N96*VLOOKUP('Données projet'!$B$9,Paramètres!$A$1:$I$89,3,0)*VLOOKUP('Données projet'!$B$9,Paramètres!$A$1:$I$89,5,0)</f>
        <v>1.3596945791505279E-13</v>
      </c>
      <c r="P96" s="13">
        <f t="shared" si="87"/>
        <v>1.9708830566360721E-12</v>
      </c>
      <c r="Q96" s="20">
        <f t="shared" si="54"/>
        <v>3.669434796176543E-12</v>
      </c>
      <c r="R96" s="59">
        <f t="shared" si="55"/>
        <v>275.32816567183966</v>
      </c>
      <c r="S96" s="59">
        <f ca="1">AVERAGE(OFFSET($R$3,0,0,'Données projet'!$E$9+1,1))-AVERAGE(OFFSET($H$3,0,0,'Données projet'!$E$9+1,1))</f>
        <v>297.34058997955685</v>
      </c>
      <c r="T96" s="59">
        <f t="shared" si="88"/>
        <v>440.06633724144069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23.868528275058988</v>
      </c>
      <c r="AA96" s="21">
        <f>EXP(-LN(2)/25)*AA95+(1-EXP(-LN(2)/25))/(LN(2)/25)*Calculateur!V96*Calculateur!X96*VLOOKUP('Données projet'!$B$9,Paramètres!$A$1:$I$89,3,0)*0.475*44/12</f>
        <v>32.890224648253401</v>
      </c>
      <c r="AB96" s="21">
        <f>EXP(-LN(2)/2)*AB95+(1-EXP(-LN(2)/2))/(LN(2)/2)*V96*Y96*VLOOKUP('Données projet'!$B$9,Paramètres!$A$1:$I$89,3,0)*0.475*44/12</f>
        <v>0</v>
      </c>
      <c r="AC96" s="22">
        <f t="shared" si="57"/>
        <v>56.758752923312386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 t="e">
        <f>AI96*VLOOKUP('Données projet'!$B$10,Paramètres!$A$1:$I$89,3,0)*VLOOKUP('Données projet'!$B$10,Paramètres!$A$1:$I$89,5,0)</f>
        <v>#N/A</v>
      </c>
      <c r="AK96" s="13" t="e">
        <f t="shared" si="89"/>
        <v>#N/A</v>
      </c>
      <c r="AL96" s="20" t="e">
        <f t="shared" si="58"/>
        <v>#N/A</v>
      </c>
      <c r="AM96" s="59" t="e">
        <f t="shared" si="59"/>
        <v>#N/A</v>
      </c>
      <c r="AN96" s="59" t="e">
        <f ca="1">AVERAGE(OFFSET($AM$3,0,0,'Données projet'!$E$10+1,1))-AVERAGE(OFFSET($H$3,0,0,'Données projet'!$E$10+1,1))</f>
        <v>#N/A</v>
      </c>
      <c r="AO96" s="59" t="e">
        <f t="shared" si="90"/>
        <v>#N/A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 t="e">
        <f>EXP(-LN(2)/35)*AU95+(1-EXP(-LN(2)/35))/(LN(2)/35)*AQ96*AR96*VLOOKUP('Données projet'!$B$10,Paramètres!$A$1:$I$89,3,0)*0.475*44/12</f>
        <v>#N/A</v>
      </c>
      <c r="AV96" s="21" t="e">
        <f>EXP(-LN(2)/25)*AV95+(1-EXP(-LN(2)/25))/(LN(2)/25)*Calculateur!AQ96*Calculateur!AS96*VLOOKUP('Données projet'!$B$10,Paramètres!$A$1:$I$89,3,0)*0.475*44/12</f>
        <v>#N/A</v>
      </c>
      <c r="AW96" s="21" t="e">
        <f>EXP(-LN(2)/2)*AW95+(1-EXP(-LN(2)/2))/(LN(2)/2)*AQ96*AT96*VLOOKUP('Données projet'!$B$10,Paramètres!$A$1:$I$89,3,0)*0.475*44/12</f>
        <v>#N/A</v>
      </c>
      <c r="AX96" s="21" t="e">
        <f t="shared" si="60"/>
        <v>#N/A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3">
        <f>'Scénario référence'!$B$16*5+'Scénario référence'!$B$17*0+'Scénario référence'!$B$18*5</f>
        <v>5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86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67">
        <f t="shared" si="56"/>
        <v>183.33333333333334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2.2737367544323206E-13</v>
      </c>
      <c r="O97" s="13">
        <f>N97*VLOOKUP('Données projet'!$B$9,Paramètres!$A$1:$I$89,3,0)*VLOOKUP('Données projet'!$B$9,Paramètres!$A$1:$I$89,5,0)</f>
        <v>1.3596945791505279E-13</v>
      </c>
      <c r="P97" s="13">
        <f t="shared" si="87"/>
        <v>1.9708830566360721E-12</v>
      </c>
      <c r="Q97" s="20">
        <f t="shared" si="54"/>
        <v>3.669434796176543E-12</v>
      </c>
      <c r="R97" s="59">
        <f t="shared" si="55"/>
        <v>275.64051507724218</v>
      </c>
      <c r="S97" s="59">
        <f ca="1">AVERAGE(OFFSET($R$3,0,0,'Données projet'!$E$9+1,1))-AVERAGE(OFFSET($H$3,0,0,'Données projet'!$E$9+1,1))</f>
        <v>297.34058997955685</v>
      </c>
      <c r="T97" s="59">
        <f t="shared" si="88"/>
        <v>440.06633724144069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23.40048099394981</v>
      </c>
      <c r="AA97" s="21">
        <f>EXP(-LN(2)/25)*AA96+(1-EXP(-LN(2)/25))/(LN(2)/25)*Calculateur!V97*Calculateur!X97*VLOOKUP('Données projet'!$B$9,Paramètres!$A$1:$I$89,3,0)*0.475*44/12</f>
        <v>31.990839725625168</v>
      </c>
      <c r="AB97" s="21">
        <f>EXP(-LN(2)/2)*AB96+(1-EXP(-LN(2)/2))/(LN(2)/2)*V97*Y97*VLOOKUP('Données projet'!$B$9,Paramètres!$A$1:$I$89,3,0)*0.475*44/12</f>
        <v>0</v>
      </c>
      <c r="AC97" s="22">
        <f t="shared" si="57"/>
        <v>55.391320719574978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 t="e">
        <f>AI97*VLOOKUP('Données projet'!$B$10,Paramètres!$A$1:$I$89,3,0)*VLOOKUP('Données projet'!$B$10,Paramètres!$A$1:$I$89,5,0)</f>
        <v>#N/A</v>
      </c>
      <c r="AK97" s="13" t="e">
        <f t="shared" si="89"/>
        <v>#N/A</v>
      </c>
      <c r="AL97" s="20" t="e">
        <f t="shared" si="58"/>
        <v>#N/A</v>
      </c>
      <c r="AM97" s="59" t="e">
        <f t="shared" si="59"/>
        <v>#N/A</v>
      </c>
      <c r="AN97" s="59" t="e">
        <f ca="1">AVERAGE(OFFSET($AM$3,0,0,'Données projet'!$E$10+1,1))-AVERAGE(OFFSET($H$3,0,0,'Données projet'!$E$10+1,1))</f>
        <v>#N/A</v>
      </c>
      <c r="AO97" s="59" t="e">
        <f t="shared" si="90"/>
        <v>#N/A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 t="e">
        <f>EXP(-LN(2)/35)*AU96+(1-EXP(-LN(2)/35))/(LN(2)/35)*AQ97*AR97*VLOOKUP('Données projet'!$B$10,Paramètres!$A$1:$I$89,3,0)*0.475*44/12</f>
        <v>#N/A</v>
      </c>
      <c r="AV97" s="21" t="e">
        <f>EXP(-LN(2)/25)*AV96+(1-EXP(-LN(2)/25))/(LN(2)/25)*Calculateur!AQ97*Calculateur!AS97*VLOOKUP('Données projet'!$B$10,Paramètres!$A$1:$I$89,3,0)*0.475*44/12</f>
        <v>#N/A</v>
      </c>
      <c r="AW97" s="21" t="e">
        <f>EXP(-LN(2)/2)*AW96+(1-EXP(-LN(2)/2))/(LN(2)/2)*AQ97*AT97*VLOOKUP('Données projet'!$B$10,Paramètres!$A$1:$I$89,3,0)*0.475*44/12</f>
        <v>#N/A</v>
      </c>
      <c r="AX97" s="21" t="e">
        <f t="shared" si="60"/>
        <v>#N/A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3">
        <f>'Scénario référence'!$B$16*5+'Scénario référence'!$B$17*0+'Scénario référence'!$B$18*5</f>
        <v>5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86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67">
        <f t="shared" si="56"/>
        <v>183.33333333333334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2.2737367544323206E-13</v>
      </c>
      <c r="O98" s="13">
        <f>N98*VLOOKUP('Données projet'!$B$9,Paramètres!$A$1:$I$89,3,0)*VLOOKUP('Données projet'!$B$9,Paramètres!$A$1:$I$89,5,0)</f>
        <v>1.3596945791505279E-13</v>
      </c>
      <c r="P98" s="13">
        <f t="shared" si="87"/>
        <v>1.9708830566360721E-12</v>
      </c>
      <c r="Q98" s="20">
        <f t="shared" si="54"/>
        <v>3.669434796176543E-12</v>
      </c>
      <c r="R98" s="59">
        <f t="shared" si="55"/>
        <v>275.94744591876963</v>
      </c>
      <c r="S98" s="59">
        <f ca="1">AVERAGE(OFFSET($R$3,0,0,'Données projet'!$E$9+1,1))-AVERAGE(OFFSET($H$3,0,0,'Données projet'!$E$9+1,1))</f>
        <v>297.34058997955685</v>
      </c>
      <c r="T98" s="59">
        <f t="shared" si="88"/>
        <v>440.06633724144069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22.941611834542531</v>
      </c>
      <c r="AA98" s="21">
        <f>EXP(-LN(2)/25)*AA97+(1-EXP(-LN(2)/25))/(LN(2)/25)*Calculateur!V98*Calculateur!X98*VLOOKUP('Données projet'!$B$9,Paramètres!$A$1:$I$89,3,0)*0.475*44/12</f>
        <v>31.116048531002804</v>
      </c>
      <c r="AB98" s="21">
        <f>EXP(-LN(2)/2)*AB97+(1-EXP(-LN(2)/2))/(LN(2)/2)*V98*Y98*VLOOKUP('Données projet'!$B$9,Paramètres!$A$1:$I$89,3,0)*0.475*44/12</f>
        <v>0</v>
      </c>
      <c r="AC98" s="22">
        <f t="shared" si="57"/>
        <v>54.057660365545331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 t="e">
        <f>AI98*VLOOKUP('Données projet'!$B$10,Paramètres!$A$1:$I$89,3,0)*VLOOKUP('Données projet'!$B$10,Paramètres!$A$1:$I$89,5,0)</f>
        <v>#N/A</v>
      </c>
      <c r="AK98" s="13" t="e">
        <f t="shared" si="89"/>
        <v>#N/A</v>
      </c>
      <c r="AL98" s="20" t="e">
        <f t="shared" si="58"/>
        <v>#N/A</v>
      </c>
      <c r="AM98" s="59" t="e">
        <f t="shared" si="59"/>
        <v>#N/A</v>
      </c>
      <c r="AN98" s="59" t="e">
        <f ca="1">AVERAGE(OFFSET($AM$3,0,0,'Données projet'!$E$10+1,1))-AVERAGE(OFFSET($H$3,0,0,'Données projet'!$E$10+1,1))</f>
        <v>#N/A</v>
      </c>
      <c r="AO98" s="59" t="e">
        <f t="shared" si="90"/>
        <v>#N/A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 t="e">
        <f>EXP(-LN(2)/35)*AU97+(1-EXP(-LN(2)/35))/(LN(2)/35)*AQ98*AR98*VLOOKUP('Données projet'!$B$10,Paramètres!$A$1:$I$89,3,0)*0.475*44/12</f>
        <v>#N/A</v>
      </c>
      <c r="AV98" s="21" t="e">
        <f>EXP(-LN(2)/25)*AV97+(1-EXP(-LN(2)/25))/(LN(2)/25)*Calculateur!AQ98*Calculateur!AS98*VLOOKUP('Données projet'!$B$10,Paramètres!$A$1:$I$89,3,0)*0.475*44/12</f>
        <v>#N/A</v>
      </c>
      <c r="AW98" s="21" t="e">
        <f>EXP(-LN(2)/2)*AW97+(1-EXP(-LN(2)/2))/(LN(2)/2)*AQ98*AT98*VLOOKUP('Données projet'!$B$10,Paramètres!$A$1:$I$89,3,0)*0.475*44/12</f>
        <v>#N/A</v>
      </c>
      <c r="AX98" s="21" t="e">
        <f t="shared" si="60"/>
        <v>#N/A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3">
        <f>'Scénario référence'!$B$16*5+'Scénario référence'!$B$17*0+'Scénario référence'!$B$18*5</f>
        <v>5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86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67">
        <f t="shared" si="56"/>
        <v>183.33333333333334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2.2737367544323206E-13</v>
      </c>
      <c r="O99" s="13">
        <f>N99*VLOOKUP('Données projet'!$B$9,Paramètres!$A$1:$I$89,3,0)*VLOOKUP('Données projet'!$B$9,Paramètres!$A$1:$I$89,5,0)</f>
        <v>1.3596945791505279E-13</v>
      </c>
      <c r="P99" s="13">
        <f t="shared" si="87"/>
        <v>1.9708830566360721E-12</v>
      </c>
      <c r="Q99" s="20">
        <f t="shared" ref="Q99:Q130" si="107">(O99+P99)*0.475*44/12</f>
        <v>3.669434796176543E-12</v>
      </c>
      <c r="R99" s="59">
        <f t="shared" si="55"/>
        <v>276.24905219639112</v>
      </c>
      <c r="S99" s="59">
        <f ca="1">AVERAGE(OFFSET($R$3,0,0,'Données projet'!$E$9+1,1))-AVERAGE(OFFSET($H$3,0,0,'Données projet'!$E$9+1,1))</f>
        <v>297.34058997955685</v>
      </c>
      <c r="T99" s="59">
        <f t="shared" si="88"/>
        <v>440.06633724144069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22.491740819468678</v>
      </c>
      <c r="AA99" s="21">
        <f>EXP(-LN(2)/25)*AA98+(1-EXP(-LN(2)/25))/(LN(2)/25)*Calculateur!V99*Calculateur!X99*VLOOKUP('Données projet'!$B$9,Paramètres!$A$1:$I$89,3,0)*0.475*44/12</f>
        <v>30.265178547600655</v>
      </c>
      <c r="AB99" s="21">
        <f>EXP(-LN(2)/2)*AB98+(1-EXP(-LN(2)/2))/(LN(2)/2)*V99*Y99*VLOOKUP('Données projet'!$B$9,Paramètres!$A$1:$I$89,3,0)*0.475*44/12</f>
        <v>0</v>
      </c>
      <c r="AC99" s="22">
        <f t="shared" si="57"/>
        <v>52.756919367069329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 t="e">
        <f>AI99*VLOOKUP('Données projet'!$B$10,Paramètres!$A$1:$I$89,3,0)*VLOOKUP('Données projet'!$B$10,Paramètres!$A$1:$I$89,5,0)</f>
        <v>#N/A</v>
      </c>
      <c r="AK99" s="13" t="e">
        <f t="shared" si="89"/>
        <v>#N/A</v>
      </c>
      <c r="AL99" s="20" t="e">
        <f t="shared" si="58"/>
        <v>#N/A</v>
      </c>
      <c r="AM99" s="59" t="e">
        <f t="shared" si="59"/>
        <v>#N/A</v>
      </c>
      <c r="AN99" s="59" t="e">
        <f ca="1">AVERAGE(OFFSET($AM$3,0,0,'Données projet'!$E$10+1,1))-AVERAGE(OFFSET($H$3,0,0,'Données projet'!$E$10+1,1))</f>
        <v>#N/A</v>
      </c>
      <c r="AO99" s="59" t="e">
        <f t="shared" si="90"/>
        <v>#N/A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 t="e">
        <f>EXP(-LN(2)/35)*AU98+(1-EXP(-LN(2)/35))/(LN(2)/35)*AQ99*AR99*VLOOKUP('Données projet'!$B$10,Paramètres!$A$1:$I$89,3,0)*0.475*44/12</f>
        <v>#N/A</v>
      </c>
      <c r="AV99" s="21" t="e">
        <f>EXP(-LN(2)/25)*AV98+(1-EXP(-LN(2)/25))/(LN(2)/25)*Calculateur!AQ99*Calculateur!AS99*VLOOKUP('Données projet'!$B$10,Paramètres!$A$1:$I$89,3,0)*0.475*44/12</f>
        <v>#N/A</v>
      </c>
      <c r="AW99" s="21" t="e">
        <f>EXP(-LN(2)/2)*AW98+(1-EXP(-LN(2)/2))/(LN(2)/2)*AQ99*AT99*VLOOKUP('Données projet'!$B$10,Paramètres!$A$1:$I$89,3,0)*0.475*44/12</f>
        <v>#N/A</v>
      </c>
      <c r="AX99" s="21" t="e">
        <f t="shared" si="60"/>
        <v>#N/A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3">
        <f>'Scénario référence'!$B$16*5+'Scénario référence'!$B$17*0+'Scénario référence'!$B$18*5</f>
        <v>5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86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67">
        <f t="shared" si="56"/>
        <v>183.33333333333334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2.2737367544323206E-13</v>
      </c>
      <c r="O100" s="13">
        <f>N100*VLOOKUP('Données projet'!$B$9,Paramètres!$A$1:$I$89,3,0)*VLOOKUP('Données projet'!$B$9,Paramètres!$A$1:$I$89,5,0)</f>
        <v>1.3596945791505279E-13</v>
      </c>
      <c r="P100" s="13">
        <f t="shared" si="87"/>
        <v>1.9708830566360721E-12</v>
      </c>
      <c r="Q100" s="20">
        <f t="shared" si="107"/>
        <v>3.669434796176543E-12</v>
      </c>
      <c r="R100" s="59">
        <f t="shared" si="55"/>
        <v>276.5454262793865</v>
      </c>
      <c r="S100" s="59">
        <f ca="1">AVERAGE(OFFSET($R$3,0,0,'Données projet'!$E$9+1,1))-AVERAGE(OFFSET($H$3,0,0,'Données projet'!$E$9+1,1))</f>
        <v>297.34058997955685</v>
      </c>
      <c r="T100" s="59">
        <f t="shared" si="88"/>
        <v>440.06633724144069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22.050691500606199</v>
      </c>
      <c r="AA100" s="21">
        <f>EXP(-LN(2)/25)*AA99+(1-EXP(-LN(2)/25))/(LN(2)/25)*Calculateur!V100*Calculateur!X100*VLOOKUP('Données projet'!$B$9,Paramètres!$A$1:$I$89,3,0)*0.475*44/12</f>
        <v>29.437575648639946</v>
      </c>
      <c r="AB100" s="21">
        <f>EXP(-LN(2)/2)*AB99+(1-EXP(-LN(2)/2))/(LN(2)/2)*V100*Y100*VLOOKUP('Données projet'!$B$9,Paramètres!$A$1:$I$89,3,0)*0.475*44/12</f>
        <v>0</v>
      </c>
      <c r="AC100" s="22">
        <f t="shared" si="57"/>
        <v>51.488267149246141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 t="e">
        <f>AI100*VLOOKUP('Données projet'!$B$10,Paramètres!$A$1:$I$89,3,0)*VLOOKUP('Données projet'!$B$10,Paramètres!$A$1:$I$89,5,0)</f>
        <v>#N/A</v>
      </c>
      <c r="AK100" s="13" t="e">
        <f t="shared" si="89"/>
        <v>#N/A</v>
      </c>
      <c r="AL100" s="20" t="e">
        <f t="shared" si="58"/>
        <v>#N/A</v>
      </c>
      <c r="AM100" s="59" t="e">
        <f t="shared" si="59"/>
        <v>#N/A</v>
      </c>
      <c r="AN100" s="59" t="e">
        <f ca="1">AVERAGE(OFFSET($AM$3,0,0,'Données projet'!$E$10+1,1))-AVERAGE(OFFSET($H$3,0,0,'Données projet'!$E$10+1,1))</f>
        <v>#N/A</v>
      </c>
      <c r="AO100" s="59" t="e">
        <f t="shared" si="90"/>
        <v>#N/A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 t="e">
        <f>EXP(-LN(2)/35)*AU99+(1-EXP(-LN(2)/35))/(LN(2)/35)*AQ100*AR100*VLOOKUP('Données projet'!$B$10,Paramètres!$A$1:$I$89,3,0)*0.475*44/12</f>
        <v>#N/A</v>
      </c>
      <c r="AV100" s="21" t="e">
        <f>EXP(-LN(2)/25)*AV99+(1-EXP(-LN(2)/25))/(LN(2)/25)*Calculateur!AQ100*Calculateur!AS100*VLOOKUP('Données projet'!$B$10,Paramètres!$A$1:$I$89,3,0)*0.475*44/12</f>
        <v>#N/A</v>
      </c>
      <c r="AW100" s="21" t="e">
        <f>EXP(-LN(2)/2)*AW99+(1-EXP(-LN(2)/2))/(LN(2)/2)*AQ100*AT100*VLOOKUP('Données projet'!$B$10,Paramètres!$A$1:$I$89,3,0)*0.475*44/12</f>
        <v>#N/A</v>
      </c>
      <c r="AX100" s="21" t="e">
        <f t="shared" si="60"/>
        <v>#N/A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3">
        <f>'Scénario référence'!$B$16*5+'Scénario référence'!$B$17*0+'Scénario référence'!$B$18*5</f>
        <v>5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86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67">
        <f t="shared" si="56"/>
        <v>183.33333333333334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2.2737367544323206E-13</v>
      </c>
      <c r="O101" s="13">
        <f>N101*VLOOKUP('Données projet'!$B$9,Paramètres!$A$1:$I$89,3,0)*VLOOKUP('Données projet'!$B$9,Paramètres!$A$1:$I$89,5,0)</f>
        <v>1.3596945791505279E-13</v>
      </c>
      <c r="P101" s="13">
        <f t="shared" si="87"/>
        <v>1.9708830566360721E-12</v>
      </c>
      <c r="Q101" s="20">
        <f t="shared" si="107"/>
        <v>3.669434796176543E-12</v>
      </c>
      <c r="R101" s="59">
        <f t="shared" si="55"/>
        <v>276.83665893463507</v>
      </c>
      <c r="S101" s="59">
        <f ca="1">AVERAGE(OFFSET($R$3,0,0,'Données projet'!$E$9+1,1))-AVERAGE(OFFSET($H$3,0,0,'Données projet'!$E$9+1,1))</f>
        <v>297.34058997955685</v>
      </c>
      <c r="T101" s="59">
        <f t="shared" si="88"/>
        <v>440.06633724144069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21.618290889873091</v>
      </c>
      <c r="AA101" s="21">
        <f>EXP(-LN(2)/25)*AA100+(1-EXP(-LN(2)/25))/(LN(2)/25)*Calculateur!V101*Calculateur!X101*VLOOKUP('Données projet'!$B$9,Paramètres!$A$1:$I$89,3,0)*0.475*44/12</f>
        <v>28.632603594473064</v>
      </c>
      <c r="AB101" s="21">
        <f>EXP(-LN(2)/2)*AB100+(1-EXP(-LN(2)/2))/(LN(2)/2)*V101*Y101*VLOOKUP('Données projet'!$B$9,Paramètres!$A$1:$I$89,3,0)*0.475*44/12</f>
        <v>0</v>
      </c>
      <c r="AC101" s="22">
        <f t="shared" si="57"/>
        <v>50.250894484346155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 t="e">
        <f>AI101*VLOOKUP('Données projet'!$B$10,Paramètres!$A$1:$I$89,3,0)*VLOOKUP('Données projet'!$B$10,Paramètres!$A$1:$I$89,5,0)</f>
        <v>#N/A</v>
      </c>
      <c r="AK101" s="13" t="e">
        <f t="shared" si="89"/>
        <v>#N/A</v>
      </c>
      <c r="AL101" s="20" t="e">
        <f t="shared" si="58"/>
        <v>#N/A</v>
      </c>
      <c r="AM101" s="59" t="e">
        <f t="shared" si="59"/>
        <v>#N/A</v>
      </c>
      <c r="AN101" s="59" t="e">
        <f ca="1">AVERAGE(OFFSET($AM$3,0,0,'Données projet'!$E$10+1,1))-AVERAGE(OFFSET($H$3,0,0,'Données projet'!$E$10+1,1))</f>
        <v>#N/A</v>
      </c>
      <c r="AO101" s="59" t="e">
        <f t="shared" si="90"/>
        <v>#N/A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 t="e">
        <f>EXP(-LN(2)/35)*AU100+(1-EXP(-LN(2)/35))/(LN(2)/35)*AQ101*AR101*VLOOKUP('Données projet'!$B$10,Paramètres!$A$1:$I$89,3,0)*0.475*44/12</f>
        <v>#N/A</v>
      </c>
      <c r="AV101" s="21" t="e">
        <f>EXP(-LN(2)/25)*AV100+(1-EXP(-LN(2)/25))/(LN(2)/25)*Calculateur!AQ101*Calculateur!AS101*VLOOKUP('Données projet'!$B$10,Paramètres!$A$1:$I$89,3,0)*0.475*44/12</f>
        <v>#N/A</v>
      </c>
      <c r="AW101" s="21" t="e">
        <f>EXP(-LN(2)/2)*AW100+(1-EXP(-LN(2)/2))/(LN(2)/2)*AQ101*AT101*VLOOKUP('Données projet'!$B$10,Paramètres!$A$1:$I$89,3,0)*0.475*44/12</f>
        <v>#N/A</v>
      </c>
      <c r="AX101" s="21" t="e">
        <f t="shared" si="60"/>
        <v>#N/A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3">
        <f>'Scénario référence'!$B$16*5+'Scénario référence'!$B$17*0+'Scénario référence'!$B$18*5</f>
        <v>5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86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67">
        <f t="shared" si="56"/>
        <v>183.33333333333334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2.2737367544323206E-13</v>
      </c>
      <c r="O102" s="13">
        <f>N102*VLOOKUP('Données projet'!$B$9,Paramètres!$A$1:$I$89,3,0)*VLOOKUP('Données projet'!$B$9,Paramètres!$A$1:$I$89,5,0)</f>
        <v>1.3596945791505279E-13</v>
      </c>
      <c r="P102" s="13">
        <f t="shared" si="87"/>
        <v>1.9708830566360721E-12</v>
      </c>
      <c r="Q102" s="20">
        <f t="shared" si="107"/>
        <v>3.669434796176543E-12</v>
      </c>
      <c r="R102" s="59">
        <f t="shared" si="55"/>
        <v>277.12283935441383</v>
      </c>
      <c r="S102" s="59">
        <f ca="1">AVERAGE(OFFSET($R$3,0,0,'Données projet'!$E$9+1,1))-AVERAGE(OFFSET($H$3,0,0,'Données projet'!$E$9+1,1))</f>
        <v>297.34058997955685</v>
      </c>
      <c r="T102" s="59">
        <f t="shared" si="88"/>
        <v>440.06633724144069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21.194369391378128</v>
      </c>
      <c r="AA102" s="21">
        <f>EXP(-LN(2)/25)*AA101+(1-EXP(-LN(2)/25))/(LN(2)/25)*Calculateur!V102*Calculateur!X102*VLOOKUP('Données projet'!$B$9,Paramètres!$A$1:$I$89,3,0)*0.475*44/12</f>
        <v>27.849643543459017</v>
      </c>
      <c r="AB102" s="21">
        <f>EXP(-LN(2)/2)*AB101+(1-EXP(-LN(2)/2))/(LN(2)/2)*V102*Y102*VLOOKUP('Données projet'!$B$9,Paramètres!$A$1:$I$89,3,0)*0.475*44/12</f>
        <v>0</v>
      </c>
      <c r="AC102" s="22">
        <f t="shared" si="57"/>
        <v>49.044012934837141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 t="e">
        <f>AI102*VLOOKUP('Données projet'!$B$10,Paramètres!$A$1:$I$89,3,0)*VLOOKUP('Données projet'!$B$10,Paramètres!$A$1:$I$89,5,0)</f>
        <v>#N/A</v>
      </c>
      <c r="AK102" s="13" t="e">
        <f t="shared" si="89"/>
        <v>#N/A</v>
      </c>
      <c r="AL102" s="20" t="e">
        <f t="shared" si="58"/>
        <v>#N/A</v>
      </c>
      <c r="AM102" s="59" t="e">
        <f t="shared" si="59"/>
        <v>#N/A</v>
      </c>
      <c r="AN102" s="59" t="e">
        <f ca="1">AVERAGE(OFFSET($AM$3,0,0,'Données projet'!$E$10+1,1))-AVERAGE(OFFSET($H$3,0,0,'Données projet'!$E$10+1,1))</f>
        <v>#N/A</v>
      </c>
      <c r="AO102" s="59" t="e">
        <f t="shared" si="90"/>
        <v>#N/A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 t="e">
        <f>EXP(-LN(2)/35)*AU101+(1-EXP(-LN(2)/35))/(LN(2)/35)*AQ102*AR102*VLOOKUP('Données projet'!$B$10,Paramètres!$A$1:$I$89,3,0)*0.475*44/12</f>
        <v>#N/A</v>
      </c>
      <c r="AV102" s="21" t="e">
        <f>EXP(-LN(2)/25)*AV101+(1-EXP(-LN(2)/25))/(LN(2)/25)*Calculateur!AQ102*Calculateur!AS102*VLOOKUP('Données projet'!$B$10,Paramètres!$A$1:$I$89,3,0)*0.475*44/12</f>
        <v>#N/A</v>
      </c>
      <c r="AW102" s="21" t="e">
        <f>EXP(-LN(2)/2)*AW101+(1-EXP(-LN(2)/2))/(LN(2)/2)*AQ102*AT102*VLOOKUP('Données projet'!$B$10,Paramètres!$A$1:$I$89,3,0)*0.475*44/12</f>
        <v>#N/A</v>
      </c>
      <c r="AX102" s="21" t="e">
        <f t="shared" si="60"/>
        <v>#N/A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3">
        <f>'Scénario référence'!$B$16*5+'Scénario référence'!$B$17*0+'Scénario référence'!$B$18*5</f>
        <v>5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86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67">
        <f t="shared" si="56"/>
        <v>183.33333333333334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2.2737367544323206E-13</v>
      </c>
      <c r="O103" s="13">
        <f>N103*VLOOKUP('Données projet'!$B$9,Paramètres!$A$1:$I$89,3,0)*VLOOKUP('Données projet'!$B$9,Paramètres!$A$1:$I$89,5,0)</f>
        <v>1.3596945791505279E-13</v>
      </c>
      <c r="P103" s="13">
        <f t="shared" si="87"/>
        <v>1.9708830566360721E-12</v>
      </c>
      <c r="Q103" s="20">
        <f t="shared" si="107"/>
        <v>3.669434796176543E-12</v>
      </c>
      <c r="R103" s="59">
        <f t="shared" si="55"/>
        <v>277.4040551837129</v>
      </c>
      <c r="S103" s="59">
        <f ca="1">AVERAGE(OFFSET($R$3,0,0,'Données projet'!$E$9+1,1))-AVERAGE(OFFSET($H$3,0,0,'Données projet'!$E$9+1,1))</f>
        <v>297.34058997955685</v>
      </c>
      <c r="T103" s="59">
        <f t="shared" si="88"/>
        <v>440.06633724144069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20.778760734902068</v>
      </c>
      <c r="AA103" s="21">
        <f>EXP(-LN(2)/25)*AA102+(1-EXP(-LN(2)/25))/(LN(2)/25)*Calculateur!V103*Calculateur!X103*VLOOKUP('Données projet'!$B$9,Paramètres!$A$1:$I$89,3,0)*0.475*44/12</f>
        <v>27.088093576214028</v>
      </c>
      <c r="AB103" s="21">
        <f>EXP(-LN(2)/2)*AB102+(1-EXP(-LN(2)/2))/(LN(2)/2)*V103*Y103*VLOOKUP('Données projet'!$B$9,Paramètres!$A$1:$I$89,3,0)*0.475*44/12</f>
        <v>0</v>
      </c>
      <c r="AC103" s="22">
        <f t="shared" si="57"/>
        <v>47.8668543111161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 t="e">
        <f>AI103*VLOOKUP('Données projet'!$B$10,Paramètres!$A$1:$I$89,3,0)*VLOOKUP('Données projet'!$B$10,Paramètres!$A$1:$I$89,5,0)</f>
        <v>#N/A</v>
      </c>
      <c r="AK103" s="13" t="e">
        <f t="shared" si="89"/>
        <v>#N/A</v>
      </c>
      <c r="AL103" s="20" t="e">
        <f t="shared" si="58"/>
        <v>#N/A</v>
      </c>
      <c r="AM103" s="59" t="e">
        <f t="shared" si="59"/>
        <v>#N/A</v>
      </c>
      <c r="AN103" s="59" t="e">
        <f ca="1">AVERAGE(OFFSET($AM$3,0,0,'Données projet'!$E$10+1,1))-AVERAGE(OFFSET($H$3,0,0,'Données projet'!$E$10+1,1))</f>
        <v>#N/A</v>
      </c>
      <c r="AO103" s="59" t="e">
        <f t="shared" si="90"/>
        <v>#N/A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 t="e">
        <f>EXP(-LN(2)/35)*AU102+(1-EXP(-LN(2)/35))/(LN(2)/35)*AQ103*AR103*VLOOKUP('Données projet'!$B$10,Paramètres!$A$1:$I$89,3,0)*0.475*44/12</f>
        <v>#N/A</v>
      </c>
      <c r="AV103" s="21" t="e">
        <f>EXP(-LN(2)/25)*AV102+(1-EXP(-LN(2)/25))/(LN(2)/25)*Calculateur!AQ103*Calculateur!AS103*VLOOKUP('Données projet'!$B$10,Paramètres!$A$1:$I$89,3,0)*0.475*44/12</f>
        <v>#N/A</v>
      </c>
      <c r="AW103" s="21" t="e">
        <f>EXP(-LN(2)/2)*AW102+(1-EXP(-LN(2)/2))/(LN(2)/2)*AQ103*AT103*VLOOKUP('Données projet'!$B$10,Paramètres!$A$1:$I$89,3,0)*0.475*44/12</f>
        <v>#N/A</v>
      </c>
      <c r="AX103" s="21" t="e">
        <f t="shared" si="60"/>
        <v>#N/A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3">
        <f>'Scénario référence'!$B$16*5+'Scénario référence'!$B$17*0+'Scénario référence'!$B$18*5</f>
        <v>5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86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67">
        <f t="shared" si="56"/>
        <v>183.33333333333334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2.2737367544323206E-13</v>
      </c>
      <c r="O104" s="13">
        <f>N104*VLOOKUP('Données projet'!$B$9,Paramètres!$A$1:$I$89,3,0)*VLOOKUP('Données projet'!$B$9,Paramètres!$A$1:$I$89,5,0)</f>
        <v>1.3596945791505279E-13</v>
      </c>
      <c r="P104" s="13">
        <f t="shared" si="87"/>
        <v>1.9708830566360721E-12</v>
      </c>
      <c r="Q104" s="20">
        <f t="shared" si="107"/>
        <v>3.669434796176543E-12</v>
      </c>
      <c r="R104" s="59">
        <f t="shared" si="55"/>
        <v>277.6803925470781</v>
      </c>
      <c r="S104" s="59">
        <f ca="1">AVERAGE(OFFSET($R$3,0,0,'Données projet'!$E$9+1,1))-AVERAGE(OFFSET($H$3,0,0,'Données projet'!$E$9+1,1))</f>
        <v>297.34058997955685</v>
      </c>
      <c r="T104" s="59">
        <f t="shared" si="88"/>
        <v>440.06633724144069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20.371301910683254</v>
      </c>
      <c r="AA104" s="21">
        <f>EXP(-LN(2)/25)*AA103+(1-EXP(-LN(2)/25))/(LN(2)/25)*Calculateur!V104*Calculateur!X104*VLOOKUP('Données projet'!$B$9,Paramètres!$A$1:$I$89,3,0)*0.475*44/12</f>
        <v>26.347368232871524</v>
      </c>
      <c r="AB104" s="21">
        <f>EXP(-LN(2)/2)*AB103+(1-EXP(-LN(2)/2))/(LN(2)/2)*V104*Y104*VLOOKUP('Données projet'!$B$9,Paramètres!$A$1:$I$89,3,0)*0.475*44/12</f>
        <v>0</v>
      </c>
      <c r="AC104" s="22">
        <f t="shared" si="57"/>
        <v>46.718670143554775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 t="e">
        <f>AI104*VLOOKUP('Données projet'!$B$10,Paramètres!$A$1:$I$89,3,0)*VLOOKUP('Données projet'!$B$10,Paramètres!$A$1:$I$89,5,0)</f>
        <v>#N/A</v>
      </c>
      <c r="AK104" s="13" t="e">
        <f t="shared" si="89"/>
        <v>#N/A</v>
      </c>
      <c r="AL104" s="20" t="e">
        <f t="shared" si="58"/>
        <v>#N/A</v>
      </c>
      <c r="AM104" s="59" t="e">
        <f t="shared" si="59"/>
        <v>#N/A</v>
      </c>
      <c r="AN104" s="59" t="e">
        <f ca="1">AVERAGE(OFFSET($AM$3,0,0,'Données projet'!$E$10+1,1))-AVERAGE(OFFSET($H$3,0,0,'Données projet'!$E$10+1,1))</f>
        <v>#N/A</v>
      </c>
      <c r="AO104" s="59" t="e">
        <f t="shared" si="90"/>
        <v>#N/A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 t="e">
        <f>EXP(-LN(2)/35)*AU103+(1-EXP(-LN(2)/35))/(LN(2)/35)*AQ104*AR104*VLOOKUP('Données projet'!$B$10,Paramètres!$A$1:$I$89,3,0)*0.475*44/12</f>
        <v>#N/A</v>
      </c>
      <c r="AV104" s="21" t="e">
        <f>EXP(-LN(2)/25)*AV103+(1-EXP(-LN(2)/25))/(LN(2)/25)*Calculateur!AQ104*Calculateur!AS104*VLOOKUP('Données projet'!$B$10,Paramètres!$A$1:$I$89,3,0)*0.475*44/12</f>
        <v>#N/A</v>
      </c>
      <c r="AW104" s="21" t="e">
        <f>EXP(-LN(2)/2)*AW103+(1-EXP(-LN(2)/2))/(LN(2)/2)*AQ104*AT104*VLOOKUP('Données projet'!$B$10,Paramètres!$A$1:$I$89,3,0)*0.475*44/12</f>
        <v>#N/A</v>
      </c>
      <c r="AX104" s="21" t="e">
        <f t="shared" si="60"/>
        <v>#N/A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3">
        <f>'Scénario référence'!$B$16*5+'Scénario référence'!$B$17*0+'Scénario référence'!$B$18*5</f>
        <v>5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86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67">
        <f t="shared" si="56"/>
        <v>183.33333333333334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2.2737367544323206E-13</v>
      </c>
      <c r="O105" s="13">
        <f>N105*VLOOKUP('Données projet'!$B$9,Paramètres!$A$1:$I$89,3,0)*VLOOKUP('Données projet'!$B$9,Paramètres!$A$1:$I$89,5,0)</f>
        <v>1.3596945791505279E-13</v>
      </c>
      <c r="P105" s="13">
        <f t="shared" si="87"/>
        <v>1.9708830566360721E-12</v>
      </c>
      <c r="Q105" s="20">
        <f t="shared" si="107"/>
        <v>3.669434796176543E-12</v>
      </c>
      <c r="R105" s="59">
        <f t="shared" si="55"/>
        <v>277.95193607498663</v>
      </c>
      <c r="S105" s="59">
        <f ca="1">AVERAGE(OFFSET($R$3,0,0,'Données projet'!$E$9+1,1))-AVERAGE(OFFSET($H$3,0,0,'Données projet'!$E$9+1,1))</f>
        <v>297.34058997955685</v>
      </c>
      <c r="T105" s="59">
        <f t="shared" si="88"/>
        <v>440.06633724144069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19.971833105482027</v>
      </c>
      <c r="AA105" s="21">
        <f>EXP(-LN(2)/25)*AA104+(1-EXP(-LN(2)/25))/(LN(2)/25)*Calculateur!V105*Calculateur!X105*VLOOKUP('Données projet'!$B$9,Paramètres!$A$1:$I$89,3,0)*0.475*44/12</f>
        <v>25.626898062995775</v>
      </c>
      <c r="AB105" s="21">
        <f>EXP(-LN(2)/2)*AB104+(1-EXP(-LN(2)/2))/(LN(2)/2)*V105*Y105*VLOOKUP('Données projet'!$B$9,Paramètres!$A$1:$I$89,3,0)*0.475*44/12</f>
        <v>0</v>
      </c>
      <c r="AC105" s="22">
        <f t="shared" si="57"/>
        <v>45.598731168477798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 t="e">
        <f>AI105*VLOOKUP('Données projet'!$B$10,Paramètres!$A$1:$I$89,3,0)*VLOOKUP('Données projet'!$B$10,Paramètres!$A$1:$I$89,5,0)</f>
        <v>#N/A</v>
      </c>
      <c r="AK105" s="13" t="e">
        <f t="shared" si="89"/>
        <v>#N/A</v>
      </c>
      <c r="AL105" s="20" t="e">
        <f t="shared" si="58"/>
        <v>#N/A</v>
      </c>
      <c r="AM105" s="59" t="e">
        <f t="shared" si="59"/>
        <v>#N/A</v>
      </c>
      <c r="AN105" s="59" t="e">
        <f ca="1">AVERAGE(OFFSET($AM$3,0,0,'Données projet'!$E$10+1,1))-AVERAGE(OFFSET($H$3,0,0,'Données projet'!$E$10+1,1))</f>
        <v>#N/A</v>
      </c>
      <c r="AO105" s="59" t="e">
        <f t="shared" si="90"/>
        <v>#N/A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 t="e">
        <f>EXP(-LN(2)/35)*AU104+(1-EXP(-LN(2)/35))/(LN(2)/35)*AQ105*AR105*VLOOKUP('Données projet'!$B$10,Paramètres!$A$1:$I$89,3,0)*0.475*44/12</f>
        <v>#N/A</v>
      </c>
      <c r="AV105" s="21" t="e">
        <f>EXP(-LN(2)/25)*AV104+(1-EXP(-LN(2)/25))/(LN(2)/25)*Calculateur!AQ105*Calculateur!AS105*VLOOKUP('Données projet'!$B$10,Paramètres!$A$1:$I$89,3,0)*0.475*44/12</f>
        <v>#N/A</v>
      </c>
      <c r="AW105" s="21" t="e">
        <f>EXP(-LN(2)/2)*AW104+(1-EXP(-LN(2)/2))/(LN(2)/2)*AQ105*AT105*VLOOKUP('Données projet'!$B$10,Paramètres!$A$1:$I$89,3,0)*0.475*44/12</f>
        <v>#N/A</v>
      </c>
      <c r="AX105" s="21" t="e">
        <f t="shared" si="60"/>
        <v>#N/A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3">
        <f>'Scénario référence'!$B$16*5+'Scénario référence'!$B$17*0+'Scénario référence'!$B$18*5</f>
        <v>5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86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67">
        <f t="shared" si="56"/>
        <v>183.33333333333334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2.2737367544323206E-13</v>
      </c>
      <c r="O106" s="13">
        <f>N106*VLOOKUP('Données projet'!$B$9,Paramètres!$A$1:$I$89,3,0)*VLOOKUP('Données projet'!$B$9,Paramètres!$A$1:$I$89,5,0)</f>
        <v>1.3596945791505279E-13</v>
      </c>
      <c r="P106" s="13">
        <f t="shared" si="87"/>
        <v>1.9708830566360721E-12</v>
      </c>
      <c r="Q106" s="20">
        <f t="shared" si="107"/>
        <v>3.669434796176543E-12</v>
      </c>
      <c r="R106" s="59">
        <f t="shared" si="55"/>
        <v>278.21876892976638</v>
      </c>
      <c r="S106" s="59">
        <f ca="1">AVERAGE(OFFSET($R$3,0,0,'Données projet'!$E$9+1,1))-AVERAGE(OFFSET($H$3,0,0,'Données projet'!$E$9+1,1))</f>
        <v>297.34058997955685</v>
      </c>
      <c r="T106" s="59">
        <f t="shared" si="88"/>
        <v>440.06633724144069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19.580197639898884</v>
      </c>
      <c r="AA106" s="21">
        <f>EXP(-LN(2)/25)*AA105+(1-EXP(-LN(2)/25))/(LN(2)/25)*Calculateur!V106*Calculateur!X106*VLOOKUP('Données projet'!$B$9,Paramètres!$A$1:$I$89,3,0)*0.475*44/12</f>
        <v>24.926129187803156</v>
      </c>
      <c r="AB106" s="21">
        <f>EXP(-LN(2)/2)*AB105+(1-EXP(-LN(2)/2))/(LN(2)/2)*V106*Y106*VLOOKUP('Données projet'!$B$9,Paramètres!$A$1:$I$89,3,0)*0.475*44/12</f>
        <v>0</v>
      </c>
      <c r="AC106" s="22">
        <f t="shared" si="57"/>
        <v>44.50632682770204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 t="e">
        <f>AI106*VLOOKUP('Données projet'!$B$10,Paramètres!$A$1:$I$89,3,0)*VLOOKUP('Données projet'!$B$10,Paramètres!$A$1:$I$89,5,0)</f>
        <v>#N/A</v>
      </c>
      <c r="AK106" s="13" t="e">
        <f t="shared" si="89"/>
        <v>#N/A</v>
      </c>
      <c r="AL106" s="20" t="e">
        <f t="shared" si="58"/>
        <v>#N/A</v>
      </c>
      <c r="AM106" s="59" t="e">
        <f t="shared" si="59"/>
        <v>#N/A</v>
      </c>
      <c r="AN106" s="59" t="e">
        <f ca="1">AVERAGE(OFFSET($AM$3,0,0,'Données projet'!$E$10+1,1))-AVERAGE(OFFSET($H$3,0,0,'Données projet'!$E$10+1,1))</f>
        <v>#N/A</v>
      </c>
      <c r="AO106" s="59" t="e">
        <f t="shared" si="90"/>
        <v>#N/A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 t="e">
        <f>EXP(-LN(2)/35)*AU105+(1-EXP(-LN(2)/35))/(LN(2)/35)*AQ106*AR106*VLOOKUP('Données projet'!$B$10,Paramètres!$A$1:$I$89,3,0)*0.475*44/12</f>
        <v>#N/A</v>
      </c>
      <c r="AV106" s="21" t="e">
        <f>EXP(-LN(2)/25)*AV105+(1-EXP(-LN(2)/25))/(LN(2)/25)*Calculateur!AQ106*Calculateur!AS106*VLOOKUP('Données projet'!$B$10,Paramètres!$A$1:$I$89,3,0)*0.475*44/12</f>
        <v>#N/A</v>
      </c>
      <c r="AW106" s="21" t="e">
        <f>EXP(-LN(2)/2)*AW105+(1-EXP(-LN(2)/2))/(LN(2)/2)*AQ106*AT106*VLOOKUP('Données projet'!$B$10,Paramètres!$A$1:$I$89,3,0)*0.475*44/12</f>
        <v>#N/A</v>
      </c>
      <c r="AX106" s="21" t="e">
        <f t="shared" si="60"/>
        <v>#N/A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3">
        <f>'Scénario référence'!$B$16*5+'Scénario référence'!$B$17*0+'Scénario référence'!$B$18*5</f>
        <v>5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86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67">
        <f t="shared" si="56"/>
        <v>183.33333333333334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2.2737367544323206E-13</v>
      </c>
      <c r="O107" s="13">
        <f>N107*VLOOKUP('Données projet'!$B$9,Paramètres!$A$1:$I$89,3,0)*VLOOKUP('Données projet'!$B$9,Paramètres!$A$1:$I$89,5,0)</f>
        <v>1.3596945791505279E-13</v>
      </c>
      <c r="P107" s="13">
        <f t="shared" si="87"/>
        <v>1.9708830566360721E-12</v>
      </c>
      <c r="Q107" s="20">
        <f t="shared" si="107"/>
        <v>3.669434796176543E-12</v>
      </c>
      <c r="R107" s="59">
        <f t="shared" si="55"/>
        <v>278.48097283106461</v>
      </c>
      <c r="S107" s="59">
        <f ca="1">AVERAGE(OFFSET($R$3,0,0,'Données projet'!$E$9+1,1))-AVERAGE(OFFSET($H$3,0,0,'Données projet'!$E$9+1,1))</f>
        <v>297.34058997955685</v>
      </c>
      <c r="T107" s="59">
        <f t="shared" si="88"/>
        <v>440.06633724144069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19.196241906921781</v>
      </c>
      <c r="AA107" s="21">
        <f>EXP(-LN(2)/25)*AA106+(1-EXP(-LN(2)/25))/(LN(2)/25)*Calculateur!V107*Calculateur!X107*VLOOKUP('Données projet'!$B$9,Paramètres!$A$1:$I$89,3,0)*0.475*44/12</f>
        <v>24.244522874354512</v>
      </c>
      <c r="AB107" s="21">
        <f>EXP(-LN(2)/2)*AB106+(1-EXP(-LN(2)/2))/(LN(2)/2)*V107*Y107*VLOOKUP('Données projet'!$B$9,Paramètres!$A$1:$I$89,3,0)*0.475*44/12</f>
        <v>0</v>
      </c>
      <c r="AC107" s="22">
        <f t="shared" si="57"/>
        <v>43.440764781276293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 t="e">
        <f>AI107*VLOOKUP('Données projet'!$B$10,Paramètres!$A$1:$I$89,3,0)*VLOOKUP('Données projet'!$B$10,Paramètres!$A$1:$I$89,5,0)</f>
        <v>#N/A</v>
      </c>
      <c r="AK107" s="13" t="e">
        <f t="shared" si="89"/>
        <v>#N/A</v>
      </c>
      <c r="AL107" s="20" t="e">
        <f t="shared" si="58"/>
        <v>#N/A</v>
      </c>
      <c r="AM107" s="59" t="e">
        <f t="shared" si="59"/>
        <v>#N/A</v>
      </c>
      <c r="AN107" s="59" t="e">
        <f ca="1">AVERAGE(OFFSET($AM$3,0,0,'Données projet'!$E$10+1,1))-AVERAGE(OFFSET($H$3,0,0,'Données projet'!$E$10+1,1))</f>
        <v>#N/A</v>
      </c>
      <c r="AO107" s="59" t="e">
        <f t="shared" si="90"/>
        <v>#N/A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 t="e">
        <f>EXP(-LN(2)/35)*AU106+(1-EXP(-LN(2)/35))/(LN(2)/35)*AQ107*AR107*VLOOKUP('Données projet'!$B$10,Paramètres!$A$1:$I$89,3,0)*0.475*44/12</f>
        <v>#N/A</v>
      </c>
      <c r="AV107" s="21" t="e">
        <f>EXP(-LN(2)/25)*AV106+(1-EXP(-LN(2)/25))/(LN(2)/25)*Calculateur!AQ107*Calculateur!AS107*VLOOKUP('Données projet'!$B$10,Paramètres!$A$1:$I$89,3,0)*0.475*44/12</f>
        <v>#N/A</v>
      </c>
      <c r="AW107" s="21" t="e">
        <f>EXP(-LN(2)/2)*AW106+(1-EXP(-LN(2)/2))/(LN(2)/2)*AQ107*AT107*VLOOKUP('Données projet'!$B$10,Paramètres!$A$1:$I$89,3,0)*0.475*44/12</f>
        <v>#N/A</v>
      </c>
      <c r="AX107" s="21" t="e">
        <f t="shared" si="60"/>
        <v>#N/A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3">
        <f>'Scénario référence'!$B$16*5+'Scénario référence'!$B$17*0+'Scénario référence'!$B$18*5</f>
        <v>5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86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67">
        <f t="shared" si="56"/>
        <v>183.33333333333334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2.2737367544323206E-13</v>
      </c>
      <c r="O108" s="13">
        <f>N108*VLOOKUP('Données projet'!$B$9,Paramètres!$A$1:$I$89,3,0)*VLOOKUP('Données projet'!$B$9,Paramètres!$A$1:$I$89,5,0)</f>
        <v>1.3596945791505279E-13</v>
      </c>
      <c r="P108" s="13">
        <f t="shared" si="87"/>
        <v>1.9708830566360721E-12</v>
      </c>
      <c r="Q108" s="20">
        <f t="shared" si="107"/>
        <v>3.669434796176543E-12</v>
      </c>
      <c r="R108" s="59">
        <f t="shared" si="55"/>
        <v>278.73862808087546</v>
      </c>
      <c r="S108" s="59">
        <f ca="1">AVERAGE(OFFSET($R$3,0,0,'Données projet'!$E$9+1,1))-AVERAGE(OFFSET($H$3,0,0,'Données projet'!$E$9+1,1))</f>
        <v>297.34058997955685</v>
      </c>
      <c r="T108" s="59">
        <f t="shared" si="88"/>
        <v>440.06633724144069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18.819815311678486</v>
      </c>
      <c r="AA108" s="21">
        <f>EXP(-LN(2)/25)*AA107+(1-EXP(-LN(2)/25))/(LN(2)/25)*Calculateur!V108*Calculateur!X108*VLOOKUP('Données projet'!$B$9,Paramètres!$A$1:$I$89,3,0)*0.475*44/12</f>
        <v>23.58155512139124</v>
      </c>
      <c r="AB108" s="21">
        <f>EXP(-LN(2)/2)*AB107+(1-EXP(-LN(2)/2))/(LN(2)/2)*V108*Y108*VLOOKUP('Données projet'!$B$9,Paramètres!$A$1:$I$89,3,0)*0.475*44/12</f>
        <v>0</v>
      </c>
      <c r="AC108" s="22">
        <f t="shared" si="57"/>
        <v>42.401370433069729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 t="e">
        <f>AI108*VLOOKUP('Données projet'!$B$10,Paramètres!$A$1:$I$89,3,0)*VLOOKUP('Données projet'!$B$10,Paramètres!$A$1:$I$89,5,0)</f>
        <v>#N/A</v>
      </c>
      <c r="AK108" s="13" t="e">
        <f t="shared" si="89"/>
        <v>#N/A</v>
      </c>
      <c r="AL108" s="20" t="e">
        <f t="shared" si="58"/>
        <v>#N/A</v>
      </c>
      <c r="AM108" s="59" t="e">
        <f t="shared" si="59"/>
        <v>#N/A</v>
      </c>
      <c r="AN108" s="59" t="e">
        <f ca="1">AVERAGE(OFFSET($AM$3,0,0,'Données projet'!$E$10+1,1))-AVERAGE(OFFSET($H$3,0,0,'Données projet'!$E$10+1,1))</f>
        <v>#N/A</v>
      </c>
      <c r="AO108" s="59" t="e">
        <f t="shared" si="90"/>
        <v>#N/A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 t="e">
        <f>EXP(-LN(2)/35)*AU107+(1-EXP(-LN(2)/35))/(LN(2)/35)*AQ108*AR108*VLOOKUP('Données projet'!$B$10,Paramètres!$A$1:$I$89,3,0)*0.475*44/12</f>
        <v>#N/A</v>
      </c>
      <c r="AV108" s="21" t="e">
        <f>EXP(-LN(2)/25)*AV107+(1-EXP(-LN(2)/25))/(LN(2)/25)*Calculateur!AQ108*Calculateur!AS108*VLOOKUP('Données projet'!$B$10,Paramètres!$A$1:$I$89,3,0)*0.475*44/12</f>
        <v>#N/A</v>
      </c>
      <c r="AW108" s="21" t="e">
        <f>EXP(-LN(2)/2)*AW107+(1-EXP(-LN(2)/2))/(LN(2)/2)*AQ108*AT108*VLOOKUP('Données projet'!$B$10,Paramètres!$A$1:$I$89,3,0)*0.475*44/12</f>
        <v>#N/A</v>
      </c>
      <c r="AX108" s="21" t="e">
        <f t="shared" si="60"/>
        <v>#N/A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3">
        <f>'Scénario référence'!$B$16*5+'Scénario référence'!$B$17*0+'Scénario référence'!$B$18*5</f>
        <v>5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86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67">
        <f t="shared" si="56"/>
        <v>183.33333333333334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2.2737367544323206E-13</v>
      </c>
      <c r="O109" s="13">
        <f>N109*VLOOKUP('Données projet'!$B$9,Paramètres!$A$1:$I$89,3,0)*VLOOKUP('Données projet'!$B$9,Paramètres!$A$1:$I$89,5,0)</f>
        <v>1.3596945791505279E-13</v>
      </c>
      <c r="P109" s="13">
        <f t="shared" si="87"/>
        <v>1.9708830566360721E-12</v>
      </c>
      <c r="Q109" s="20">
        <f t="shared" si="107"/>
        <v>3.669434796176543E-12</v>
      </c>
      <c r="R109" s="59">
        <f t="shared" si="55"/>
        <v>278.9918135881328</v>
      </c>
      <c r="S109" s="59">
        <f ca="1">AVERAGE(OFFSET($R$3,0,0,'Données projet'!$E$9+1,1))-AVERAGE(OFFSET($H$3,0,0,'Données projet'!$E$9+1,1))</f>
        <v>297.34058997955685</v>
      </c>
      <c r="T109" s="59">
        <f t="shared" si="88"/>
        <v>440.06633724144069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18.450770212370358</v>
      </c>
      <c r="AA109" s="21">
        <f>EXP(-LN(2)/25)*AA108+(1-EXP(-LN(2)/25))/(LN(2)/25)*Calculateur!V109*Calculateur!X109*VLOOKUP('Données projet'!$B$9,Paramètres!$A$1:$I$89,3,0)*0.475*44/12</f>
        <v>22.936716256496709</v>
      </c>
      <c r="AB109" s="21">
        <f>EXP(-LN(2)/2)*AB108+(1-EXP(-LN(2)/2))/(LN(2)/2)*V109*Y109*VLOOKUP('Données projet'!$B$9,Paramètres!$A$1:$I$89,3,0)*0.475*44/12</f>
        <v>0</v>
      </c>
      <c r="AC109" s="22">
        <f t="shared" si="57"/>
        <v>41.387486468867067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 t="e">
        <f>AI109*VLOOKUP('Données projet'!$B$10,Paramètres!$A$1:$I$89,3,0)*VLOOKUP('Données projet'!$B$10,Paramètres!$A$1:$I$89,5,0)</f>
        <v>#N/A</v>
      </c>
      <c r="AK109" s="13" t="e">
        <f t="shared" si="89"/>
        <v>#N/A</v>
      </c>
      <c r="AL109" s="20" t="e">
        <f t="shared" si="58"/>
        <v>#N/A</v>
      </c>
      <c r="AM109" s="59" t="e">
        <f t="shared" si="59"/>
        <v>#N/A</v>
      </c>
      <c r="AN109" s="59" t="e">
        <f ca="1">AVERAGE(OFFSET($AM$3,0,0,'Données projet'!$E$10+1,1))-AVERAGE(OFFSET($H$3,0,0,'Données projet'!$E$10+1,1))</f>
        <v>#N/A</v>
      </c>
      <c r="AO109" s="59" t="e">
        <f t="shared" si="90"/>
        <v>#N/A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 t="e">
        <f>EXP(-LN(2)/35)*AU108+(1-EXP(-LN(2)/35))/(LN(2)/35)*AQ109*AR109*VLOOKUP('Données projet'!$B$10,Paramètres!$A$1:$I$89,3,0)*0.475*44/12</f>
        <v>#N/A</v>
      </c>
      <c r="AV109" s="21" t="e">
        <f>EXP(-LN(2)/25)*AV108+(1-EXP(-LN(2)/25))/(LN(2)/25)*Calculateur!AQ109*Calculateur!AS109*VLOOKUP('Données projet'!$B$10,Paramètres!$A$1:$I$89,3,0)*0.475*44/12</f>
        <v>#N/A</v>
      </c>
      <c r="AW109" s="21" t="e">
        <f>EXP(-LN(2)/2)*AW108+(1-EXP(-LN(2)/2))/(LN(2)/2)*AQ109*AT109*VLOOKUP('Données projet'!$B$10,Paramètres!$A$1:$I$89,3,0)*0.475*44/12</f>
        <v>#N/A</v>
      </c>
      <c r="AX109" s="21" t="e">
        <f t="shared" si="60"/>
        <v>#N/A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3">
        <f>'Scénario référence'!$B$16*5+'Scénario référence'!$B$17*0+'Scénario référence'!$B$18*5</f>
        <v>5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86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67">
        <f t="shared" si="56"/>
        <v>183.33333333333334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2.2737367544323206E-13</v>
      </c>
      <c r="O110" s="13">
        <f>N110*VLOOKUP('Données projet'!$B$9,Paramètres!$A$1:$I$89,3,0)*VLOOKUP('Données projet'!$B$9,Paramètres!$A$1:$I$89,5,0)</f>
        <v>1.3596945791505279E-13</v>
      </c>
      <c r="P110" s="13">
        <f t="shared" si="87"/>
        <v>1.9708830566360721E-12</v>
      </c>
      <c r="Q110" s="20">
        <f t="shared" si="107"/>
        <v>3.669434796176543E-12</v>
      </c>
      <c r="R110" s="59">
        <f t="shared" si="55"/>
        <v>279.24060689287734</v>
      </c>
      <c r="S110" s="59">
        <f ca="1">AVERAGE(OFFSET($R$3,0,0,'Données projet'!$E$9+1,1))-AVERAGE(OFFSET($H$3,0,0,'Données projet'!$E$9+1,1))</f>
        <v>297.34058997955685</v>
      </c>
      <c r="T110" s="59">
        <f t="shared" si="88"/>
        <v>440.06633724144069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18.088961862364378</v>
      </c>
      <c r="AA110" s="21">
        <f>EXP(-LN(2)/25)*AA109+(1-EXP(-LN(2)/25))/(LN(2)/25)*Calculateur!V110*Calculateur!X110*VLOOKUP('Données projet'!$B$9,Paramètres!$A$1:$I$89,3,0)*0.475*44/12</f>
        <v>22.309510544273319</v>
      </c>
      <c r="AB110" s="21">
        <f>EXP(-LN(2)/2)*AB109+(1-EXP(-LN(2)/2))/(LN(2)/2)*V110*Y110*VLOOKUP('Données projet'!$B$9,Paramètres!$A$1:$I$89,3,0)*0.475*44/12</f>
        <v>0</v>
      </c>
      <c r="AC110" s="22">
        <f t="shared" si="57"/>
        <v>40.398472406637694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 t="e">
        <f>AI110*VLOOKUP('Données projet'!$B$10,Paramètres!$A$1:$I$89,3,0)*VLOOKUP('Données projet'!$B$10,Paramètres!$A$1:$I$89,5,0)</f>
        <v>#N/A</v>
      </c>
      <c r="AK110" s="13" t="e">
        <f t="shared" si="89"/>
        <v>#N/A</v>
      </c>
      <c r="AL110" s="20" t="e">
        <f t="shared" si="58"/>
        <v>#N/A</v>
      </c>
      <c r="AM110" s="59" t="e">
        <f t="shared" si="59"/>
        <v>#N/A</v>
      </c>
      <c r="AN110" s="59" t="e">
        <f ca="1">AVERAGE(OFFSET($AM$3,0,0,'Données projet'!$E$10+1,1))-AVERAGE(OFFSET($H$3,0,0,'Données projet'!$E$10+1,1))</f>
        <v>#N/A</v>
      </c>
      <c r="AO110" s="59" t="e">
        <f t="shared" si="90"/>
        <v>#N/A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 t="e">
        <f>EXP(-LN(2)/35)*AU109+(1-EXP(-LN(2)/35))/(LN(2)/35)*AQ110*AR110*VLOOKUP('Données projet'!$B$10,Paramètres!$A$1:$I$89,3,0)*0.475*44/12</f>
        <v>#N/A</v>
      </c>
      <c r="AV110" s="21" t="e">
        <f>EXP(-LN(2)/25)*AV109+(1-EXP(-LN(2)/25))/(LN(2)/25)*Calculateur!AQ110*Calculateur!AS110*VLOOKUP('Données projet'!$B$10,Paramètres!$A$1:$I$89,3,0)*0.475*44/12</f>
        <v>#N/A</v>
      </c>
      <c r="AW110" s="21" t="e">
        <f>EXP(-LN(2)/2)*AW109+(1-EXP(-LN(2)/2))/(LN(2)/2)*AQ110*AT110*VLOOKUP('Données projet'!$B$10,Paramètres!$A$1:$I$89,3,0)*0.475*44/12</f>
        <v>#N/A</v>
      </c>
      <c r="AX110" s="21" t="e">
        <f t="shared" si="60"/>
        <v>#N/A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3">
        <f>'Scénario référence'!$B$16*5+'Scénario référence'!$B$17*0+'Scénario référence'!$B$18*5</f>
        <v>5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86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67">
        <f t="shared" si="56"/>
        <v>183.33333333333334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2.2737367544323206E-13</v>
      </c>
      <c r="O111" s="13">
        <f>N111*VLOOKUP('Données projet'!$B$9,Paramètres!$A$1:$I$89,3,0)*VLOOKUP('Données projet'!$B$9,Paramètres!$A$1:$I$89,5,0)</f>
        <v>1.3596945791505279E-13</v>
      </c>
      <c r="P111" s="13">
        <f t="shared" si="87"/>
        <v>1.9708830566360721E-12</v>
      </c>
      <c r="Q111" s="20">
        <f t="shared" si="107"/>
        <v>3.669434796176543E-12</v>
      </c>
      <c r="R111" s="59">
        <f t="shared" si="55"/>
        <v>279.48508419000302</v>
      </c>
      <c r="S111" s="59">
        <f ca="1">AVERAGE(OFFSET($R$3,0,0,'Données projet'!$E$9+1,1))-AVERAGE(OFFSET($H$3,0,0,'Données projet'!$E$9+1,1))</f>
        <v>297.34058997955685</v>
      </c>
      <c r="T111" s="59">
        <f t="shared" si="88"/>
        <v>440.06633724144069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17.734248353420714</v>
      </c>
      <c r="AA111" s="21">
        <f>EXP(-LN(2)/25)*AA110+(1-EXP(-LN(2)/25))/(LN(2)/25)*Calculateur!V111*Calculateur!X111*VLOOKUP('Données projet'!$B$9,Paramètres!$A$1:$I$89,3,0)*0.475*44/12</f>
        <v>21.699455805233995</v>
      </c>
      <c r="AB111" s="21">
        <f>EXP(-LN(2)/2)*AB110+(1-EXP(-LN(2)/2))/(LN(2)/2)*V111*Y111*VLOOKUP('Données projet'!$B$9,Paramètres!$A$1:$I$89,3,0)*0.475*44/12</f>
        <v>0</v>
      </c>
      <c r="AC111" s="22">
        <f t="shared" si="57"/>
        <v>39.433704158654706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 t="e">
        <f>AI111*VLOOKUP('Données projet'!$B$10,Paramètres!$A$1:$I$89,3,0)*VLOOKUP('Données projet'!$B$10,Paramètres!$A$1:$I$89,5,0)</f>
        <v>#N/A</v>
      </c>
      <c r="AK111" s="13" t="e">
        <f t="shared" si="89"/>
        <v>#N/A</v>
      </c>
      <c r="AL111" s="20" t="e">
        <f t="shared" si="58"/>
        <v>#N/A</v>
      </c>
      <c r="AM111" s="59" t="e">
        <f t="shared" si="59"/>
        <v>#N/A</v>
      </c>
      <c r="AN111" s="59" t="e">
        <f ca="1">AVERAGE(OFFSET($AM$3,0,0,'Données projet'!$E$10+1,1))-AVERAGE(OFFSET($H$3,0,0,'Données projet'!$E$10+1,1))</f>
        <v>#N/A</v>
      </c>
      <c r="AO111" s="59" t="e">
        <f t="shared" si="90"/>
        <v>#N/A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 t="e">
        <f>EXP(-LN(2)/35)*AU110+(1-EXP(-LN(2)/35))/(LN(2)/35)*AQ111*AR111*VLOOKUP('Données projet'!$B$10,Paramètres!$A$1:$I$89,3,0)*0.475*44/12</f>
        <v>#N/A</v>
      </c>
      <c r="AV111" s="21" t="e">
        <f>EXP(-LN(2)/25)*AV110+(1-EXP(-LN(2)/25))/(LN(2)/25)*Calculateur!AQ111*Calculateur!AS111*VLOOKUP('Données projet'!$B$10,Paramètres!$A$1:$I$89,3,0)*0.475*44/12</f>
        <v>#N/A</v>
      </c>
      <c r="AW111" s="21" t="e">
        <f>EXP(-LN(2)/2)*AW110+(1-EXP(-LN(2)/2))/(LN(2)/2)*AQ111*AT111*VLOOKUP('Données projet'!$B$10,Paramètres!$A$1:$I$89,3,0)*0.475*44/12</f>
        <v>#N/A</v>
      </c>
      <c r="AX111" s="21" t="e">
        <f t="shared" si="60"/>
        <v>#N/A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3">
        <f>'Scénario référence'!$B$16*5+'Scénario référence'!$B$17*0+'Scénario référence'!$B$18*5</f>
        <v>5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86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67">
        <f t="shared" si="56"/>
        <v>183.33333333333334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2.2737367544323206E-13</v>
      </c>
      <c r="O112" s="13">
        <f>N112*VLOOKUP('Données projet'!$B$9,Paramètres!$A$1:$I$89,3,0)*VLOOKUP('Données projet'!$B$9,Paramètres!$A$1:$I$89,5,0)</f>
        <v>1.3596945791505279E-13</v>
      </c>
      <c r="P112" s="13">
        <f t="shared" si="87"/>
        <v>1.9708830566360721E-12</v>
      </c>
      <c r="Q112" s="20">
        <f t="shared" si="107"/>
        <v>3.669434796176543E-12</v>
      </c>
      <c r="R112" s="59">
        <f t="shared" si="55"/>
        <v>279.72532035259297</v>
      </c>
      <c r="S112" s="59">
        <f ca="1">AVERAGE(OFFSET($R$3,0,0,'Données projet'!$E$9+1,1))-AVERAGE(OFFSET($H$3,0,0,'Données projet'!$E$9+1,1))</f>
        <v>297.34058997955685</v>
      </c>
      <c r="T112" s="59">
        <f t="shared" si="88"/>
        <v>440.06633724144069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17.386490560033558</v>
      </c>
      <c r="AA112" s="21">
        <f>EXP(-LN(2)/25)*AA111+(1-EXP(-LN(2)/25))/(LN(2)/25)*Calculateur!V112*Calculateur!X112*VLOOKUP('Données projet'!$B$9,Paramètres!$A$1:$I$89,3,0)*0.475*44/12</f>
        <v>21.106083045115085</v>
      </c>
      <c r="AB112" s="21">
        <f>EXP(-LN(2)/2)*AB111+(1-EXP(-LN(2)/2))/(LN(2)/2)*V112*Y112*VLOOKUP('Données projet'!$B$9,Paramètres!$A$1:$I$89,3,0)*0.475*44/12</f>
        <v>0</v>
      </c>
      <c r="AC112" s="22">
        <f t="shared" si="57"/>
        <v>38.492573605148642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 t="e">
        <f>AI112*VLOOKUP('Données projet'!$B$10,Paramètres!$A$1:$I$89,3,0)*VLOOKUP('Données projet'!$B$10,Paramètres!$A$1:$I$89,5,0)</f>
        <v>#N/A</v>
      </c>
      <c r="AK112" s="13" t="e">
        <f t="shared" si="89"/>
        <v>#N/A</v>
      </c>
      <c r="AL112" s="20" t="e">
        <f t="shared" si="58"/>
        <v>#N/A</v>
      </c>
      <c r="AM112" s="59" t="e">
        <f t="shared" si="59"/>
        <v>#N/A</v>
      </c>
      <c r="AN112" s="59" t="e">
        <f ca="1">AVERAGE(OFFSET($AM$3,0,0,'Données projet'!$E$10+1,1))-AVERAGE(OFFSET($H$3,0,0,'Données projet'!$E$10+1,1))</f>
        <v>#N/A</v>
      </c>
      <c r="AO112" s="59" t="e">
        <f t="shared" si="90"/>
        <v>#N/A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 t="e">
        <f>EXP(-LN(2)/35)*AU111+(1-EXP(-LN(2)/35))/(LN(2)/35)*AQ112*AR112*VLOOKUP('Données projet'!$B$10,Paramètres!$A$1:$I$89,3,0)*0.475*44/12</f>
        <v>#N/A</v>
      </c>
      <c r="AV112" s="21" t="e">
        <f>EXP(-LN(2)/25)*AV111+(1-EXP(-LN(2)/25))/(LN(2)/25)*Calculateur!AQ112*Calculateur!AS112*VLOOKUP('Données projet'!$B$10,Paramètres!$A$1:$I$89,3,0)*0.475*44/12</f>
        <v>#N/A</v>
      </c>
      <c r="AW112" s="21" t="e">
        <f>EXP(-LN(2)/2)*AW111+(1-EXP(-LN(2)/2))/(LN(2)/2)*AQ112*AT112*VLOOKUP('Données projet'!$B$10,Paramètres!$A$1:$I$89,3,0)*0.475*44/12</f>
        <v>#N/A</v>
      </c>
      <c r="AX112" s="21" t="e">
        <f t="shared" si="60"/>
        <v>#N/A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3">
        <f>'Scénario référence'!$B$16*5+'Scénario référence'!$B$17*0+'Scénario référence'!$B$18*5</f>
        <v>5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86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67">
        <f t="shared" si="56"/>
        <v>183.33333333333334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2.2737367544323206E-13</v>
      </c>
      <c r="O113" s="13">
        <f>N113*VLOOKUP('Données projet'!$B$9,Paramètres!$A$1:$I$89,3,0)*VLOOKUP('Données projet'!$B$9,Paramètres!$A$1:$I$89,5,0)</f>
        <v>1.3596945791505279E-13</v>
      </c>
      <c r="P113" s="13">
        <f t="shared" si="87"/>
        <v>1.9708830566360721E-12</v>
      </c>
      <c r="Q113" s="20">
        <f t="shared" si="107"/>
        <v>3.669434796176543E-12</v>
      </c>
      <c r="R113" s="59">
        <f t="shared" si="55"/>
        <v>279.96138895484955</v>
      </c>
      <c r="S113" s="59">
        <f ca="1">AVERAGE(OFFSET($R$3,0,0,'Données projet'!$E$9+1,1))-AVERAGE(OFFSET($H$3,0,0,'Données projet'!$E$9+1,1))</f>
        <v>297.34058997955685</v>
      </c>
      <c r="T113" s="59">
        <f t="shared" si="88"/>
        <v>440.06633724144069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17.045552084863413</v>
      </c>
      <c r="AA113" s="21">
        <f>EXP(-LN(2)/25)*AA112+(1-EXP(-LN(2)/25))/(LN(2)/25)*Calculateur!V113*Calculateur!X113*VLOOKUP('Données projet'!$B$9,Paramètres!$A$1:$I$89,3,0)*0.475*44/12</f>
        <v>20.528936094325744</v>
      </c>
      <c r="AB113" s="21">
        <f>EXP(-LN(2)/2)*AB112+(1-EXP(-LN(2)/2))/(LN(2)/2)*V113*Y113*VLOOKUP('Données projet'!$B$9,Paramètres!$A$1:$I$89,3,0)*0.475*44/12</f>
        <v>0</v>
      </c>
      <c r="AC113" s="22">
        <f t="shared" si="57"/>
        <v>37.57448817918916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 t="e">
        <f>AI113*VLOOKUP('Données projet'!$B$10,Paramètres!$A$1:$I$89,3,0)*VLOOKUP('Données projet'!$B$10,Paramètres!$A$1:$I$89,5,0)</f>
        <v>#N/A</v>
      </c>
      <c r="AK113" s="13" t="e">
        <f t="shared" si="89"/>
        <v>#N/A</v>
      </c>
      <c r="AL113" s="20" t="e">
        <f t="shared" si="58"/>
        <v>#N/A</v>
      </c>
      <c r="AM113" s="59" t="e">
        <f t="shared" si="59"/>
        <v>#N/A</v>
      </c>
      <c r="AN113" s="59" t="e">
        <f ca="1">AVERAGE(OFFSET($AM$3,0,0,'Données projet'!$E$10+1,1))-AVERAGE(OFFSET($H$3,0,0,'Données projet'!$E$10+1,1))</f>
        <v>#N/A</v>
      </c>
      <c r="AO113" s="59" t="e">
        <f t="shared" si="90"/>
        <v>#N/A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 t="e">
        <f>EXP(-LN(2)/35)*AU112+(1-EXP(-LN(2)/35))/(LN(2)/35)*AQ113*AR113*VLOOKUP('Données projet'!$B$10,Paramètres!$A$1:$I$89,3,0)*0.475*44/12</f>
        <v>#N/A</v>
      </c>
      <c r="AV113" s="21" t="e">
        <f>EXP(-LN(2)/25)*AV112+(1-EXP(-LN(2)/25))/(LN(2)/25)*Calculateur!AQ113*Calculateur!AS113*VLOOKUP('Données projet'!$B$10,Paramètres!$A$1:$I$89,3,0)*0.475*44/12</f>
        <v>#N/A</v>
      </c>
      <c r="AW113" s="21" t="e">
        <f>EXP(-LN(2)/2)*AW112+(1-EXP(-LN(2)/2))/(LN(2)/2)*AQ113*AT113*VLOOKUP('Données projet'!$B$10,Paramètres!$A$1:$I$89,3,0)*0.475*44/12</f>
        <v>#N/A</v>
      </c>
      <c r="AX113" s="21" t="e">
        <f t="shared" si="60"/>
        <v>#N/A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3">
        <f>'Scénario référence'!$B$16*5+'Scénario référence'!$B$17*0+'Scénario référence'!$B$18*5</f>
        <v>5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86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67">
        <f t="shared" si="56"/>
        <v>183.33333333333334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2.2737367544323206E-13</v>
      </c>
      <c r="O114" s="13">
        <f>N114*VLOOKUP('Données projet'!$B$9,Paramètres!$A$1:$I$89,3,0)*VLOOKUP('Données projet'!$B$9,Paramètres!$A$1:$I$89,5,0)</f>
        <v>1.3596945791505279E-13</v>
      </c>
      <c r="P114" s="13">
        <f t="shared" si="87"/>
        <v>1.9708830566360721E-12</v>
      </c>
      <c r="Q114" s="20">
        <f t="shared" si="107"/>
        <v>3.669434796176543E-12</v>
      </c>
      <c r="R114" s="59">
        <f t="shared" si="55"/>
        <v>280.19336229462726</v>
      </c>
      <c r="S114" s="59">
        <f ca="1">AVERAGE(OFFSET($R$3,0,0,'Données projet'!$E$9+1,1))-AVERAGE(OFFSET($H$3,0,0,'Données projet'!$E$9+1,1))</f>
        <v>297.34058997955685</v>
      </c>
      <c r="T114" s="59">
        <f t="shared" si="88"/>
        <v>440.06633724144069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16.711299205239417</v>
      </c>
      <c r="AA114" s="21">
        <f>EXP(-LN(2)/25)*AA113+(1-EXP(-LN(2)/25))/(LN(2)/25)*Calculateur!V114*Calculateur!X114*VLOOKUP('Données projet'!$B$9,Paramètres!$A$1:$I$89,3,0)*0.475*44/12</f>
        <v>19.967571257256576</v>
      </c>
      <c r="AB114" s="21">
        <f>EXP(-LN(2)/2)*AB113+(1-EXP(-LN(2)/2))/(LN(2)/2)*V114*Y114*VLOOKUP('Données projet'!$B$9,Paramètres!$A$1:$I$89,3,0)*0.475*44/12</f>
        <v>0</v>
      </c>
      <c r="AC114" s="22">
        <f t="shared" si="57"/>
        <v>36.678870462495993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 t="e">
        <f>AI114*VLOOKUP('Données projet'!$B$10,Paramètres!$A$1:$I$89,3,0)*VLOOKUP('Données projet'!$B$10,Paramètres!$A$1:$I$89,5,0)</f>
        <v>#N/A</v>
      </c>
      <c r="AK114" s="13" t="e">
        <f t="shared" si="89"/>
        <v>#N/A</v>
      </c>
      <c r="AL114" s="20" t="e">
        <f t="shared" si="58"/>
        <v>#N/A</v>
      </c>
      <c r="AM114" s="59" t="e">
        <f t="shared" si="59"/>
        <v>#N/A</v>
      </c>
      <c r="AN114" s="59" t="e">
        <f ca="1">AVERAGE(OFFSET($AM$3,0,0,'Données projet'!$E$10+1,1))-AVERAGE(OFFSET($H$3,0,0,'Données projet'!$E$10+1,1))</f>
        <v>#N/A</v>
      </c>
      <c r="AO114" s="59" t="e">
        <f t="shared" si="90"/>
        <v>#N/A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 t="e">
        <f>EXP(-LN(2)/35)*AU113+(1-EXP(-LN(2)/35))/(LN(2)/35)*AQ114*AR114*VLOOKUP('Données projet'!$B$10,Paramètres!$A$1:$I$89,3,0)*0.475*44/12</f>
        <v>#N/A</v>
      </c>
      <c r="AV114" s="21" t="e">
        <f>EXP(-LN(2)/25)*AV113+(1-EXP(-LN(2)/25))/(LN(2)/25)*Calculateur!AQ114*Calculateur!AS114*VLOOKUP('Données projet'!$B$10,Paramètres!$A$1:$I$89,3,0)*0.475*44/12</f>
        <v>#N/A</v>
      </c>
      <c r="AW114" s="21" t="e">
        <f>EXP(-LN(2)/2)*AW113+(1-EXP(-LN(2)/2))/(LN(2)/2)*AQ114*AT114*VLOOKUP('Données projet'!$B$10,Paramètres!$A$1:$I$89,3,0)*0.475*44/12</f>
        <v>#N/A</v>
      </c>
      <c r="AX114" s="21" t="e">
        <f t="shared" si="60"/>
        <v>#N/A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3">
        <f>'Scénario référence'!$B$16*5+'Scénario référence'!$B$17*0+'Scénario référence'!$B$18*5</f>
        <v>5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86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67">
        <f t="shared" si="56"/>
        <v>183.33333333333334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2.2737367544323206E-13</v>
      </c>
      <c r="O115" s="13">
        <f>N115*VLOOKUP('Données projet'!$B$9,Paramètres!$A$1:$I$89,3,0)*VLOOKUP('Données projet'!$B$9,Paramètres!$A$1:$I$89,5,0)</f>
        <v>1.3596945791505279E-13</v>
      </c>
      <c r="P115" s="13">
        <f t="shared" si="87"/>
        <v>1.9708830566360721E-12</v>
      </c>
      <c r="Q115" s="20">
        <f t="shared" si="107"/>
        <v>3.669434796176543E-12</v>
      </c>
      <c r="R115" s="59">
        <f t="shared" si="55"/>
        <v>280.42131141557456</v>
      </c>
      <c r="S115" s="59">
        <f ca="1">AVERAGE(OFFSET($R$3,0,0,'Données projet'!$E$9+1,1))-AVERAGE(OFFSET($H$3,0,0,'Données projet'!$E$9+1,1))</f>
        <v>297.34058997955685</v>
      </c>
      <c r="T115" s="59">
        <f t="shared" si="88"/>
        <v>440.06633724144069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16.383600820710722</v>
      </c>
      <c r="AA115" s="21">
        <f>EXP(-LN(2)/25)*AA114+(1-EXP(-LN(2)/25))/(LN(2)/25)*Calculateur!V115*Calculateur!X115*VLOOKUP('Données projet'!$B$9,Paramètres!$A$1:$I$89,3,0)*0.475*44/12</f>
        <v>19.42155697117796</v>
      </c>
      <c r="AB115" s="21">
        <f>EXP(-LN(2)/2)*AB114+(1-EXP(-LN(2)/2))/(LN(2)/2)*V115*Y115*VLOOKUP('Données projet'!$B$9,Paramètres!$A$1:$I$89,3,0)*0.475*44/12</f>
        <v>0</v>
      </c>
      <c r="AC115" s="22">
        <f t="shared" si="57"/>
        <v>35.805157791888682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 t="e">
        <f>AI115*VLOOKUP('Données projet'!$B$10,Paramètres!$A$1:$I$89,3,0)*VLOOKUP('Données projet'!$B$10,Paramètres!$A$1:$I$89,5,0)</f>
        <v>#N/A</v>
      </c>
      <c r="AK115" s="13" t="e">
        <f t="shared" si="89"/>
        <v>#N/A</v>
      </c>
      <c r="AL115" s="20" t="e">
        <f t="shared" si="58"/>
        <v>#N/A</v>
      </c>
      <c r="AM115" s="59" t="e">
        <f t="shared" si="59"/>
        <v>#N/A</v>
      </c>
      <c r="AN115" s="59" t="e">
        <f ca="1">AVERAGE(OFFSET($AM$3,0,0,'Données projet'!$E$10+1,1))-AVERAGE(OFFSET($H$3,0,0,'Données projet'!$E$10+1,1))</f>
        <v>#N/A</v>
      </c>
      <c r="AO115" s="59" t="e">
        <f t="shared" si="90"/>
        <v>#N/A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 t="e">
        <f>EXP(-LN(2)/35)*AU114+(1-EXP(-LN(2)/35))/(LN(2)/35)*AQ115*AR115*VLOOKUP('Données projet'!$B$10,Paramètres!$A$1:$I$89,3,0)*0.475*44/12</f>
        <v>#N/A</v>
      </c>
      <c r="AV115" s="21" t="e">
        <f>EXP(-LN(2)/25)*AV114+(1-EXP(-LN(2)/25))/(LN(2)/25)*Calculateur!AQ115*Calculateur!AS115*VLOOKUP('Données projet'!$B$10,Paramètres!$A$1:$I$89,3,0)*0.475*44/12</f>
        <v>#N/A</v>
      </c>
      <c r="AW115" s="21" t="e">
        <f>EXP(-LN(2)/2)*AW114+(1-EXP(-LN(2)/2))/(LN(2)/2)*AQ115*AT115*VLOOKUP('Données projet'!$B$10,Paramètres!$A$1:$I$89,3,0)*0.475*44/12</f>
        <v>#N/A</v>
      </c>
      <c r="AX115" s="21" t="e">
        <f t="shared" si="60"/>
        <v>#N/A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3">
        <f>'Scénario référence'!$B$16*5+'Scénario référence'!$B$17*0+'Scénario référence'!$B$18*5</f>
        <v>5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86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67">
        <f t="shared" si="56"/>
        <v>183.33333333333334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2.2737367544323206E-13</v>
      </c>
      <c r="O116" s="13">
        <f>N116*VLOOKUP('Données projet'!$B$9,Paramètres!$A$1:$I$89,3,0)*VLOOKUP('Données projet'!$B$9,Paramètres!$A$1:$I$89,5,0)</f>
        <v>1.3596945791505279E-13</v>
      </c>
      <c r="P116" s="13">
        <f t="shared" si="87"/>
        <v>1.9708830566360721E-12</v>
      </c>
      <c r="Q116" s="20">
        <f t="shared" si="107"/>
        <v>3.669434796176543E-12</v>
      </c>
      <c r="R116" s="59">
        <f t="shared" si="55"/>
        <v>280.64530612889132</v>
      </c>
      <c r="S116" s="59">
        <f ca="1">AVERAGE(OFFSET($R$3,0,0,'Données projet'!$E$9+1,1))-AVERAGE(OFFSET($H$3,0,0,'Données projet'!$E$9+1,1))</f>
        <v>297.34058997955685</v>
      </c>
      <c r="T116" s="59">
        <f t="shared" si="88"/>
        <v>440.06633724144069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16.062328401626356</v>
      </c>
      <c r="AA116" s="21">
        <f>EXP(-LN(2)/25)*AA115+(1-EXP(-LN(2)/25))/(LN(2)/25)*Calculateur!V116*Calculateur!X116*VLOOKUP('Données projet'!$B$9,Paramètres!$A$1:$I$89,3,0)*0.475*44/12</f>
        <v>18.890473474465807</v>
      </c>
      <c r="AB116" s="21">
        <f>EXP(-LN(2)/2)*AB115+(1-EXP(-LN(2)/2))/(LN(2)/2)*V116*Y116*VLOOKUP('Données projet'!$B$9,Paramètres!$A$1:$I$89,3,0)*0.475*44/12</f>
        <v>0</v>
      </c>
      <c r="AC116" s="22">
        <f t="shared" si="57"/>
        <v>34.952801876092167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 t="e">
        <f>AI116*VLOOKUP('Données projet'!$B$10,Paramètres!$A$1:$I$89,3,0)*VLOOKUP('Données projet'!$B$10,Paramètres!$A$1:$I$89,5,0)</f>
        <v>#N/A</v>
      </c>
      <c r="AK116" s="13" t="e">
        <f t="shared" si="89"/>
        <v>#N/A</v>
      </c>
      <c r="AL116" s="20" t="e">
        <f t="shared" si="58"/>
        <v>#N/A</v>
      </c>
      <c r="AM116" s="59" t="e">
        <f t="shared" si="59"/>
        <v>#N/A</v>
      </c>
      <c r="AN116" s="59" t="e">
        <f ca="1">AVERAGE(OFFSET($AM$3,0,0,'Données projet'!$E$10+1,1))-AVERAGE(OFFSET($H$3,0,0,'Données projet'!$E$10+1,1))</f>
        <v>#N/A</v>
      </c>
      <c r="AO116" s="59" t="e">
        <f t="shared" si="90"/>
        <v>#N/A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 t="e">
        <f>EXP(-LN(2)/35)*AU115+(1-EXP(-LN(2)/35))/(LN(2)/35)*AQ116*AR116*VLOOKUP('Données projet'!$B$10,Paramètres!$A$1:$I$89,3,0)*0.475*44/12</f>
        <v>#N/A</v>
      </c>
      <c r="AV116" s="21" t="e">
        <f>EXP(-LN(2)/25)*AV115+(1-EXP(-LN(2)/25))/(LN(2)/25)*Calculateur!AQ116*Calculateur!AS116*VLOOKUP('Données projet'!$B$10,Paramètres!$A$1:$I$89,3,0)*0.475*44/12</f>
        <v>#N/A</v>
      </c>
      <c r="AW116" s="21" t="e">
        <f>EXP(-LN(2)/2)*AW115+(1-EXP(-LN(2)/2))/(LN(2)/2)*AQ116*AT116*VLOOKUP('Données projet'!$B$10,Paramètres!$A$1:$I$89,3,0)*0.475*44/12</f>
        <v>#N/A</v>
      </c>
      <c r="AX116" s="21" t="e">
        <f t="shared" si="60"/>
        <v>#N/A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3">
        <f>'Scénario référence'!$B$16*5+'Scénario référence'!$B$17*0+'Scénario référence'!$B$18*5</f>
        <v>5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86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67">
        <f t="shared" si="56"/>
        <v>183.33333333333334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2.2737367544323206E-13</v>
      </c>
      <c r="O117" s="13">
        <f>N117*VLOOKUP('Données projet'!$B$9,Paramètres!$A$1:$I$89,3,0)*VLOOKUP('Données projet'!$B$9,Paramètres!$A$1:$I$89,5,0)</f>
        <v>1.3596945791505279E-13</v>
      </c>
      <c r="P117" s="13">
        <f t="shared" si="87"/>
        <v>1.9708830566360721E-12</v>
      </c>
      <c r="Q117" s="20">
        <f t="shared" si="107"/>
        <v>3.669434796176543E-12</v>
      </c>
      <c r="R117" s="59">
        <f t="shared" si="55"/>
        <v>280.86541503470914</v>
      </c>
      <c r="S117" s="59">
        <f ca="1">AVERAGE(OFFSET($R$3,0,0,'Données projet'!$E$9+1,1))-AVERAGE(OFFSET($H$3,0,0,'Données projet'!$E$9+1,1))</f>
        <v>297.34058997955685</v>
      </c>
      <c r="T117" s="59">
        <f t="shared" si="88"/>
        <v>440.06633724144069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15.747355938723409</v>
      </c>
      <c r="AA117" s="21">
        <f>EXP(-LN(2)/25)*AA116+(1-EXP(-LN(2)/25))/(LN(2)/25)*Calculateur!V117*Calculateur!X117*VLOOKUP('Données projet'!$B$9,Paramètres!$A$1:$I$89,3,0)*0.475*44/12</f>
        <v>18.373912483899716</v>
      </c>
      <c r="AB117" s="21">
        <f>EXP(-LN(2)/2)*AB116+(1-EXP(-LN(2)/2))/(LN(2)/2)*V117*Y117*VLOOKUP('Données projet'!$B$9,Paramètres!$A$1:$I$89,3,0)*0.475*44/12</f>
        <v>0</v>
      </c>
      <c r="AC117" s="22">
        <f t="shared" si="57"/>
        <v>34.121268422623125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 t="e">
        <f>AI117*VLOOKUP('Données projet'!$B$10,Paramètres!$A$1:$I$89,3,0)*VLOOKUP('Données projet'!$B$10,Paramètres!$A$1:$I$89,5,0)</f>
        <v>#N/A</v>
      </c>
      <c r="AK117" s="13" t="e">
        <f t="shared" si="89"/>
        <v>#N/A</v>
      </c>
      <c r="AL117" s="20" t="e">
        <f t="shared" si="58"/>
        <v>#N/A</v>
      </c>
      <c r="AM117" s="59" t="e">
        <f t="shared" si="59"/>
        <v>#N/A</v>
      </c>
      <c r="AN117" s="59" t="e">
        <f ca="1">AVERAGE(OFFSET($AM$3,0,0,'Données projet'!$E$10+1,1))-AVERAGE(OFFSET($H$3,0,0,'Données projet'!$E$10+1,1))</f>
        <v>#N/A</v>
      </c>
      <c r="AO117" s="59" t="e">
        <f t="shared" si="90"/>
        <v>#N/A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 t="e">
        <f>EXP(-LN(2)/35)*AU116+(1-EXP(-LN(2)/35))/(LN(2)/35)*AQ117*AR117*VLOOKUP('Données projet'!$B$10,Paramètres!$A$1:$I$89,3,0)*0.475*44/12</f>
        <v>#N/A</v>
      </c>
      <c r="AV117" s="21" t="e">
        <f>EXP(-LN(2)/25)*AV116+(1-EXP(-LN(2)/25))/(LN(2)/25)*Calculateur!AQ117*Calculateur!AS117*VLOOKUP('Données projet'!$B$10,Paramètres!$A$1:$I$89,3,0)*0.475*44/12</f>
        <v>#N/A</v>
      </c>
      <c r="AW117" s="21" t="e">
        <f>EXP(-LN(2)/2)*AW116+(1-EXP(-LN(2)/2))/(LN(2)/2)*AQ117*AT117*VLOOKUP('Données projet'!$B$10,Paramètres!$A$1:$I$89,3,0)*0.475*44/12</f>
        <v>#N/A</v>
      </c>
      <c r="AX117" s="21" t="e">
        <f t="shared" si="60"/>
        <v>#N/A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3">
        <f>'Scénario référence'!$B$16*5+'Scénario référence'!$B$17*0+'Scénario référence'!$B$18*5</f>
        <v>5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86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67">
        <f t="shared" si="56"/>
        <v>183.33333333333334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2.2737367544323206E-13</v>
      </c>
      <c r="O118" s="13">
        <f>N118*VLOOKUP('Données projet'!$B$9,Paramètres!$A$1:$I$89,3,0)*VLOOKUP('Données projet'!$B$9,Paramètres!$A$1:$I$89,5,0)</f>
        <v>1.3596945791505279E-13</v>
      </c>
      <c r="P118" s="13">
        <f t="shared" si="87"/>
        <v>1.9708830566360721E-12</v>
      </c>
      <c r="Q118" s="20">
        <f t="shared" si="107"/>
        <v>3.669434796176543E-12</v>
      </c>
      <c r="R118" s="59">
        <f t="shared" si="55"/>
        <v>281.08170554310095</v>
      </c>
      <c r="S118" s="59">
        <f ca="1">AVERAGE(OFFSET($R$3,0,0,'Données projet'!$E$9+1,1))-AVERAGE(OFFSET($H$3,0,0,'Données projet'!$E$9+1,1))</f>
        <v>297.34058997955685</v>
      </c>
      <c r="T118" s="59">
        <f t="shared" si="88"/>
        <v>440.06633724144069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15.438559893703756</v>
      </c>
      <c r="AA118" s="21">
        <f>EXP(-LN(2)/25)*AA117+(1-EXP(-LN(2)/25))/(LN(2)/25)*Calculateur!V118*Calculateur!X118*VLOOKUP('Données projet'!$B$9,Paramètres!$A$1:$I$89,3,0)*0.475*44/12</f>
        <v>17.871476880785416</v>
      </c>
      <c r="AB118" s="21">
        <f>EXP(-LN(2)/2)*AB117+(1-EXP(-LN(2)/2))/(LN(2)/2)*V118*Y118*VLOOKUP('Données projet'!$B$9,Paramètres!$A$1:$I$89,3,0)*0.475*44/12</f>
        <v>0</v>
      </c>
      <c r="AC118" s="22">
        <f t="shared" si="57"/>
        <v>33.31003677448917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 t="e">
        <f>AI118*VLOOKUP('Données projet'!$B$10,Paramètres!$A$1:$I$89,3,0)*VLOOKUP('Données projet'!$B$10,Paramètres!$A$1:$I$89,5,0)</f>
        <v>#N/A</v>
      </c>
      <c r="AK118" s="13" t="e">
        <f t="shared" si="89"/>
        <v>#N/A</v>
      </c>
      <c r="AL118" s="20" t="e">
        <f t="shared" si="58"/>
        <v>#N/A</v>
      </c>
      <c r="AM118" s="59" t="e">
        <f t="shared" si="59"/>
        <v>#N/A</v>
      </c>
      <c r="AN118" s="59" t="e">
        <f ca="1">AVERAGE(OFFSET($AM$3,0,0,'Données projet'!$E$10+1,1))-AVERAGE(OFFSET($H$3,0,0,'Données projet'!$E$10+1,1))</f>
        <v>#N/A</v>
      </c>
      <c r="AO118" s="59" t="e">
        <f t="shared" si="90"/>
        <v>#N/A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 t="e">
        <f>EXP(-LN(2)/35)*AU117+(1-EXP(-LN(2)/35))/(LN(2)/35)*AQ118*AR118*VLOOKUP('Données projet'!$B$10,Paramètres!$A$1:$I$89,3,0)*0.475*44/12</f>
        <v>#N/A</v>
      </c>
      <c r="AV118" s="21" t="e">
        <f>EXP(-LN(2)/25)*AV117+(1-EXP(-LN(2)/25))/(LN(2)/25)*Calculateur!AQ118*Calculateur!AS118*VLOOKUP('Données projet'!$B$10,Paramètres!$A$1:$I$89,3,0)*0.475*44/12</f>
        <v>#N/A</v>
      </c>
      <c r="AW118" s="21" t="e">
        <f>EXP(-LN(2)/2)*AW117+(1-EXP(-LN(2)/2))/(LN(2)/2)*AQ118*AT118*VLOOKUP('Données projet'!$B$10,Paramètres!$A$1:$I$89,3,0)*0.475*44/12</f>
        <v>#N/A</v>
      </c>
      <c r="AX118" s="21" t="e">
        <f t="shared" si="60"/>
        <v>#N/A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3">
        <f>'Scénario référence'!$B$16*5+'Scénario référence'!$B$17*0+'Scénario référence'!$B$18*5</f>
        <v>5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86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67">
        <f t="shared" si="56"/>
        <v>183.33333333333334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2.2737367544323206E-13</v>
      </c>
      <c r="O119" s="13">
        <f>N119*VLOOKUP('Données projet'!$B$9,Paramètres!$A$1:$I$89,3,0)*VLOOKUP('Données projet'!$B$9,Paramètres!$A$1:$I$89,5,0)</f>
        <v>1.3596945791505279E-13</v>
      </c>
      <c r="P119" s="13">
        <f t="shared" si="87"/>
        <v>1.9708830566360721E-12</v>
      </c>
      <c r="Q119" s="20">
        <f t="shared" si="107"/>
        <v>3.669434796176543E-12</v>
      </c>
      <c r="R119" s="59">
        <f t="shared" si="55"/>
        <v>281.29424389472518</v>
      </c>
      <c r="S119" s="59">
        <f ca="1">AVERAGE(OFFSET($R$3,0,0,'Données projet'!$E$9+1,1))-AVERAGE(OFFSET($H$3,0,0,'Données projet'!$E$9+1,1))</f>
        <v>297.34058997955685</v>
      </c>
      <c r="T119" s="59">
        <f t="shared" si="88"/>
        <v>440.06633724144069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15.13581915077995</v>
      </c>
      <c r="AA119" s="21">
        <f>EXP(-LN(2)/25)*AA118+(1-EXP(-LN(2)/25))/(LN(2)/25)*Calculateur!V119*Calculateur!X119*VLOOKUP('Données projet'!$B$9,Paramètres!$A$1:$I$89,3,0)*0.475*44/12</f>
        <v>17.382780405660213</v>
      </c>
      <c r="AB119" s="21">
        <f>EXP(-LN(2)/2)*AB118+(1-EXP(-LN(2)/2))/(LN(2)/2)*V119*Y119*VLOOKUP('Données projet'!$B$9,Paramètres!$A$1:$I$89,3,0)*0.475*44/12</f>
        <v>0</v>
      </c>
      <c r="AC119" s="22">
        <f t="shared" si="57"/>
        <v>32.518599556440165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 t="e">
        <f>AI119*VLOOKUP('Données projet'!$B$10,Paramètres!$A$1:$I$89,3,0)*VLOOKUP('Données projet'!$B$10,Paramètres!$A$1:$I$89,5,0)</f>
        <v>#N/A</v>
      </c>
      <c r="AK119" s="13" t="e">
        <f t="shared" si="89"/>
        <v>#N/A</v>
      </c>
      <c r="AL119" s="20" t="e">
        <f t="shared" si="58"/>
        <v>#N/A</v>
      </c>
      <c r="AM119" s="59" t="e">
        <f t="shared" si="59"/>
        <v>#N/A</v>
      </c>
      <c r="AN119" s="59" t="e">
        <f ca="1">AVERAGE(OFFSET($AM$3,0,0,'Données projet'!$E$10+1,1))-AVERAGE(OFFSET($H$3,0,0,'Données projet'!$E$10+1,1))</f>
        <v>#N/A</v>
      </c>
      <c r="AO119" s="59" t="e">
        <f t="shared" si="90"/>
        <v>#N/A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 t="e">
        <f>EXP(-LN(2)/35)*AU118+(1-EXP(-LN(2)/35))/(LN(2)/35)*AQ119*AR119*VLOOKUP('Données projet'!$B$10,Paramètres!$A$1:$I$89,3,0)*0.475*44/12</f>
        <v>#N/A</v>
      </c>
      <c r="AV119" s="21" t="e">
        <f>EXP(-LN(2)/25)*AV118+(1-EXP(-LN(2)/25))/(LN(2)/25)*Calculateur!AQ119*Calculateur!AS119*VLOOKUP('Données projet'!$B$10,Paramètres!$A$1:$I$89,3,0)*0.475*44/12</f>
        <v>#N/A</v>
      </c>
      <c r="AW119" s="21" t="e">
        <f>EXP(-LN(2)/2)*AW118+(1-EXP(-LN(2)/2))/(LN(2)/2)*AQ119*AT119*VLOOKUP('Données projet'!$B$10,Paramètres!$A$1:$I$89,3,0)*0.475*44/12</f>
        <v>#N/A</v>
      </c>
      <c r="AX119" s="21" t="e">
        <f t="shared" si="60"/>
        <v>#N/A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3">
        <f>'Scénario référence'!$B$16*5+'Scénario référence'!$B$17*0+'Scénario référence'!$B$18*5</f>
        <v>5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86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67">
        <f t="shared" si="56"/>
        <v>183.33333333333334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2.2737367544323206E-13</v>
      </c>
      <c r="O120" s="13">
        <f>N120*VLOOKUP('Données projet'!$B$9,Paramètres!$A$1:$I$89,3,0)*VLOOKUP('Données projet'!$B$9,Paramètres!$A$1:$I$89,5,0)</f>
        <v>1.3596945791505279E-13</v>
      </c>
      <c r="P120" s="13">
        <f t="shared" si="87"/>
        <v>1.9708830566360721E-12</v>
      </c>
      <c r="Q120" s="20">
        <f t="shared" si="107"/>
        <v>3.669434796176543E-12</v>
      </c>
      <c r="R120" s="59">
        <f t="shared" si="55"/>
        <v>281.50309518111334</v>
      </c>
      <c r="S120" s="59">
        <f ca="1">AVERAGE(OFFSET($R$3,0,0,'Données projet'!$E$9+1,1))-AVERAGE(OFFSET($H$3,0,0,'Données projet'!$E$9+1,1))</f>
        <v>297.34058997955685</v>
      </c>
      <c r="T120" s="59">
        <f t="shared" si="88"/>
        <v>440.06633724144069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14.839014969171259</v>
      </c>
      <c r="AA120" s="21">
        <f>EXP(-LN(2)/25)*AA119+(1-EXP(-LN(2)/25))/(LN(2)/25)*Calculateur!V120*Calculateur!X120*VLOOKUP('Données projet'!$B$9,Paramètres!$A$1:$I$89,3,0)*0.475*44/12</f>
        <v>16.90744736134674</v>
      </c>
      <c r="AB120" s="21">
        <f>EXP(-LN(2)/2)*AB119+(1-EXP(-LN(2)/2))/(LN(2)/2)*V120*Y120*VLOOKUP('Données projet'!$B$9,Paramètres!$A$1:$I$89,3,0)*0.475*44/12</f>
        <v>0</v>
      </c>
      <c r="AC120" s="22">
        <f t="shared" si="57"/>
        <v>31.746462330518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 t="e">
        <f>AI120*VLOOKUP('Données projet'!$B$10,Paramètres!$A$1:$I$89,3,0)*VLOOKUP('Données projet'!$B$10,Paramètres!$A$1:$I$89,5,0)</f>
        <v>#N/A</v>
      </c>
      <c r="AK120" s="13" t="e">
        <f t="shared" si="89"/>
        <v>#N/A</v>
      </c>
      <c r="AL120" s="20" t="e">
        <f t="shared" si="58"/>
        <v>#N/A</v>
      </c>
      <c r="AM120" s="59" t="e">
        <f t="shared" si="59"/>
        <v>#N/A</v>
      </c>
      <c r="AN120" s="59" t="e">
        <f ca="1">AVERAGE(OFFSET($AM$3,0,0,'Données projet'!$E$10+1,1))-AVERAGE(OFFSET($H$3,0,0,'Données projet'!$E$10+1,1))</f>
        <v>#N/A</v>
      </c>
      <c r="AO120" s="59" t="e">
        <f t="shared" si="90"/>
        <v>#N/A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 t="e">
        <f>EXP(-LN(2)/35)*AU119+(1-EXP(-LN(2)/35))/(LN(2)/35)*AQ120*AR120*VLOOKUP('Données projet'!$B$10,Paramètres!$A$1:$I$89,3,0)*0.475*44/12</f>
        <v>#N/A</v>
      </c>
      <c r="AV120" s="21" t="e">
        <f>EXP(-LN(2)/25)*AV119+(1-EXP(-LN(2)/25))/(LN(2)/25)*Calculateur!AQ120*Calculateur!AS120*VLOOKUP('Données projet'!$B$10,Paramètres!$A$1:$I$89,3,0)*0.475*44/12</f>
        <v>#N/A</v>
      </c>
      <c r="AW120" s="21" t="e">
        <f>EXP(-LN(2)/2)*AW119+(1-EXP(-LN(2)/2))/(LN(2)/2)*AQ120*AT120*VLOOKUP('Données projet'!$B$10,Paramètres!$A$1:$I$89,3,0)*0.475*44/12</f>
        <v>#N/A</v>
      </c>
      <c r="AX120" s="21" t="e">
        <f t="shared" si="60"/>
        <v>#N/A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3">
        <f>'Scénario référence'!$B$16*5+'Scénario référence'!$B$17*0+'Scénario référence'!$B$18*5</f>
        <v>5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86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67">
        <f t="shared" si="56"/>
        <v>183.33333333333334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2.2737367544323206E-13</v>
      </c>
      <c r="O121" s="13">
        <f>N121*VLOOKUP('Données projet'!$B$9,Paramètres!$A$1:$I$89,3,0)*VLOOKUP('Données projet'!$B$9,Paramètres!$A$1:$I$89,5,0)</f>
        <v>1.3596945791505279E-13</v>
      </c>
      <c r="P121" s="13">
        <f t="shared" si="87"/>
        <v>1.9708830566360721E-12</v>
      </c>
      <c r="Q121" s="20">
        <f t="shared" si="107"/>
        <v>3.669434796176543E-12</v>
      </c>
      <c r="R121" s="59">
        <f t="shared" si="55"/>
        <v>281.7083233646041</v>
      </c>
      <c r="S121" s="59">
        <f ca="1">AVERAGE(OFFSET($R$3,0,0,'Données projet'!$E$9+1,1))-AVERAGE(OFFSET($H$3,0,0,'Données projet'!$E$9+1,1))</f>
        <v>297.34058997955685</v>
      </c>
      <c r="T121" s="59">
        <f t="shared" si="88"/>
        <v>440.06633724144069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14.548030936531239</v>
      </c>
      <c r="AA121" s="21">
        <f>EXP(-LN(2)/25)*AA120+(1-EXP(-LN(2)/25))/(LN(2)/25)*Calculateur!V121*Calculateur!X121*VLOOKUP('Données projet'!$B$9,Paramètres!$A$1:$I$89,3,0)*0.475*44/12</f>
        <v>16.445112324126701</v>
      </c>
      <c r="AB121" s="21">
        <f>EXP(-LN(2)/2)*AB120+(1-EXP(-LN(2)/2))/(LN(2)/2)*V121*Y121*VLOOKUP('Données projet'!$B$9,Paramètres!$A$1:$I$89,3,0)*0.475*44/12</f>
        <v>0</v>
      </c>
      <c r="AC121" s="22">
        <f t="shared" si="57"/>
        <v>30.993143260657938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 t="e">
        <f>AI121*VLOOKUP('Données projet'!$B$10,Paramètres!$A$1:$I$89,3,0)*VLOOKUP('Données projet'!$B$10,Paramètres!$A$1:$I$89,5,0)</f>
        <v>#N/A</v>
      </c>
      <c r="AK121" s="13" t="e">
        <f t="shared" si="89"/>
        <v>#N/A</v>
      </c>
      <c r="AL121" s="20" t="e">
        <f t="shared" si="58"/>
        <v>#N/A</v>
      </c>
      <c r="AM121" s="59" t="e">
        <f t="shared" si="59"/>
        <v>#N/A</v>
      </c>
      <c r="AN121" s="59" t="e">
        <f ca="1">AVERAGE(OFFSET($AM$3,0,0,'Données projet'!$E$10+1,1))-AVERAGE(OFFSET($H$3,0,0,'Données projet'!$E$10+1,1))</f>
        <v>#N/A</v>
      </c>
      <c r="AO121" s="59" t="e">
        <f t="shared" si="90"/>
        <v>#N/A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 t="e">
        <f>EXP(-LN(2)/35)*AU120+(1-EXP(-LN(2)/35))/(LN(2)/35)*AQ121*AR121*VLOOKUP('Données projet'!$B$10,Paramètres!$A$1:$I$89,3,0)*0.475*44/12</f>
        <v>#N/A</v>
      </c>
      <c r="AV121" s="21" t="e">
        <f>EXP(-LN(2)/25)*AV120+(1-EXP(-LN(2)/25))/(LN(2)/25)*Calculateur!AQ121*Calculateur!AS121*VLOOKUP('Données projet'!$B$10,Paramètres!$A$1:$I$89,3,0)*0.475*44/12</f>
        <v>#N/A</v>
      </c>
      <c r="AW121" s="21" t="e">
        <f>EXP(-LN(2)/2)*AW120+(1-EXP(-LN(2)/2))/(LN(2)/2)*AQ121*AT121*VLOOKUP('Données projet'!$B$10,Paramètres!$A$1:$I$89,3,0)*0.475*44/12</f>
        <v>#N/A</v>
      </c>
      <c r="AX121" s="21" t="e">
        <f t="shared" si="60"/>
        <v>#N/A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3">
        <f>'Scénario référence'!$B$16*5+'Scénario référence'!$B$17*0+'Scénario référence'!$B$18*5</f>
        <v>5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86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67">
        <f t="shared" si="56"/>
        <v>183.33333333333334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2.2737367544323206E-13</v>
      </c>
      <c r="O122" s="13">
        <f>N122*VLOOKUP('Données projet'!$B$9,Paramètres!$A$1:$I$89,3,0)*VLOOKUP('Données projet'!$B$9,Paramètres!$A$1:$I$89,5,0)</f>
        <v>1.3596945791505279E-13</v>
      </c>
      <c r="P122" s="13">
        <f t="shared" si="87"/>
        <v>1.9708830566360721E-12</v>
      </c>
      <c r="Q122" s="20">
        <f t="shared" si="107"/>
        <v>3.669434796176543E-12</v>
      </c>
      <c r="R122" s="59">
        <f t="shared" si="55"/>
        <v>281.90999129793283</v>
      </c>
      <c r="S122" s="59">
        <f ca="1">AVERAGE(OFFSET($R$3,0,0,'Données projet'!$E$9+1,1))-AVERAGE(OFFSET($H$3,0,0,'Données projet'!$E$9+1,1))</f>
        <v>297.34058997955685</v>
      </c>
      <c r="T122" s="59">
        <f t="shared" si="88"/>
        <v>440.06633724144069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14.262752923288556</v>
      </c>
      <c r="AA122" s="21">
        <f>EXP(-LN(2)/25)*AA121+(1-EXP(-LN(2)/25))/(LN(2)/25)*Calculateur!V122*Calculateur!X122*VLOOKUP('Données projet'!$B$9,Paramètres!$A$1:$I$89,3,0)*0.475*44/12</f>
        <v>15.995419862812584</v>
      </c>
      <c r="AB122" s="21">
        <f>EXP(-LN(2)/2)*AB121+(1-EXP(-LN(2)/2))/(LN(2)/2)*V122*Y122*VLOOKUP('Données projet'!$B$9,Paramètres!$A$1:$I$89,3,0)*0.475*44/12</f>
        <v>0</v>
      </c>
      <c r="AC122" s="22">
        <f t="shared" si="57"/>
        <v>30.258172786101142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 t="e">
        <f>AI122*VLOOKUP('Données projet'!$B$10,Paramètres!$A$1:$I$89,3,0)*VLOOKUP('Données projet'!$B$10,Paramètres!$A$1:$I$89,5,0)</f>
        <v>#N/A</v>
      </c>
      <c r="AK122" s="13" t="e">
        <f t="shared" si="89"/>
        <v>#N/A</v>
      </c>
      <c r="AL122" s="20" t="e">
        <f t="shared" si="58"/>
        <v>#N/A</v>
      </c>
      <c r="AM122" s="59" t="e">
        <f t="shared" si="59"/>
        <v>#N/A</v>
      </c>
      <c r="AN122" s="59" t="e">
        <f ca="1">AVERAGE(OFFSET($AM$3,0,0,'Données projet'!$E$10+1,1))-AVERAGE(OFFSET($H$3,0,0,'Données projet'!$E$10+1,1))</f>
        <v>#N/A</v>
      </c>
      <c r="AO122" s="59" t="e">
        <f t="shared" si="90"/>
        <v>#N/A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 t="e">
        <f>EXP(-LN(2)/35)*AU121+(1-EXP(-LN(2)/35))/(LN(2)/35)*AQ122*AR122*VLOOKUP('Données projet'!$B$10,Paramètres!$A$1:$I$89,3,0)*0.475*44/12</f>
        <v>#N/A</v>
      </c>
      <c r="AV122" s="21" t="e">
        <f>EXP(-LN(2)/25)*AV121+(1-EXP(-LN(2)/25))/(LN(2)/25)*Calculateur!AQ122*Calculateur!AS122*VLOOKUP('Données projet'!$B$10,Paramètres!$A$1:$I$89,3,0)*0.475*44/12</f>
        <v>#N/A</v>
      </c>
      <c r="AW122" s="21" t="e">
        <f>EXP(-LN(2)/2)*AW121+(1-EXP(-LN(2)/2))/(LN(2)/2)*AQ122*AT122*VLOOKUP('Données projet'!$B$10,Paramètres!$A$1:$I$89,3,0)*0.475*44/12</f>
        <v>#N/A</v>
      </c>
      <c r="AX122" s="21" t="e">
        <f t="shared" si="60"/>
        <v>#N/A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3">
        <f>'Scénario référence'!$B$16*5+'Scénario référence'!$B$17*0+'Scénario référence'!$B$18*5</f>
        <v>5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86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67">
        <f t="shared" si="56"/>
        <v>183.33333333333334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2.2737367544323206E-13</v>
      </c>
      <c r="O123" s="13">
        <f>N123*VLOOKUP('Données projet'!$B$9,Paramètres!$A$1:$I$89,3,0)*VLOOKUP('Données projet'!$B$9,Paramètres!$A$1:$I$89,5,0)</f>
        <v>1.3596945791505279E-13</v>
      </c>
      <c r="P123" s="13">
        <f t="shared" si="87"/>
        <v>1.9708830566360721E-12</v>
      </c>
      <c r="Q123" s="20">
        <f t="shared" si="107"/>
        <v>3.669434796176543E-12</v>
      </c>
      <c r="R123" s="59">
        <f t="shared" si="55"/>
        <v>282.10816074348031</v>
      </c>
      <c r="S123" s="59">
        <f ca="1">AVERAGE(OFFSET($R$3,0,0,'Données projet'!$E$9+1,1))-AVERAGE(OFFSET($H$3,0,0,'Données projet'!$E$9+1,1))</f>
        <v>297.34058997955685</v>
      </c>
      <c r="T123" s="59">
        <f t="shared" si="88"/>
        <v>440.06633724144069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13.983069037883155</v>
      </c>
      <c r="AA123" s="21">
        <f>EXP(-LN(2)/25)*AA122+(1-EXP(-LN(2)/25))/(LN(2)/25)*Calculateur!V123*Calculateur!X123*VLOOKUP('Données projet'!$B$9,Paramètres!$A$1:$I$89,3,0)*0.475*44/12</f>
        <v>15.558024265501402</v>
      </c>
      <c r="AB123" s="21">
        <f>EXP(-LN(2)/2)*AB122+(1-EXP(-LN(2)/2))/(LN(2)/2)*V123*Y123*VLOOKUP('Données projet'!$B$9,Paramètres!$A$1:$I$89,3,0)*0.475*44/12</f>
        <v>0</v>
      </c>
      <c r="AC123" s="22">
        <f t="shared" si="57"/>
        <v>29.541093303384557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 t="e">
        <f>AI123*VLOOKUP('Données projet'!$B$10,Paramètres!$A$1:$I$89,3,0)*VLOOKUP('Données projet'!$B$10,Paramètres!$A$1:$I$89,5,0)</f>
        <v>#N/A</v>
      </c>
      <c r="AK123" s="13" t="e">
        <f t="shared" si="89"/>
        <v>#N/A</v>
      </c>
      <c r="AL123" s="20" t="e">
        <f t="shared" si="58"/>
        <v>#N/A</v>
      </c>
      <c r="AM123" s="59" t="e">
        <f t="shared" si="59"/>
        <v>#N/A</v>
      </c>
      <c r="AN123" s="59" t="e">
        <f ca="1">AVERAGE(OFFSET($AM$3,0,0,'Données projet'!$E$10+1,1))-AVERAGE(OFFSET($H$3,0,0,'Données projet'!$E$10+1,1))</f>
        <v>#N/A</v>
      </c>
      <c r="AO123" s="59" t="e">
        <f t="shared" si="90"/>
        <v>#N/A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 t="e">
        <f>EXP(-LN(2)/35)*AU122+(1-EXP(-LN(2)/35))/(LN(2)/35)*AQ123*AR123*VLOOKUP('Données projet'!$B$10,Paramètres!$A$1:$I$89,3,0)*0.475*44/12</f>
        <v>#N/A</v>
      </c>
      <c r="AV123" s="21" t="e">
        <f>EXP(-LN(2)/25)*AV122+(1-EXP(-LN(2)/25))/(LN(2)/25)*Calculateur!AQ123*Calculateur!AS123*VLOOKUP('Données projet'!$B$10,Paramètres!$A$1:$I$89,3,0)*0.475*44/12</f>
        <v>#N/A</v>
      </c>
      <c r="AW123" s="21" t="e">
        <f>EXP(-LN(2)/2)*AW122+(1-EXP(-LN(2)/2))/(LN(2)/2)*AQ123*AT123*VLOOKUP('Données projet'!$B$10,Paramètres!$A$1:$I$89,3,0)*0.475*44/12</f>
        <v>#N/A</v>
      </c>
      <c r="AX123" s="21" t="e">
        <f t="shared" si="60"/>
        <v>#N/A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3">
        <f>'Scénario référence'!$B$16*5+'Scénario référence'!$B$17*0+'Scénario référence'!$B$18*5</f>
        <v>5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86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67">
        <f t="shared" si="56"/>
        <v>183.33333333333334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2.2737367544323206E-13</v>
      </c>
      <c r="O124" s="13">
        <f>N124*VLOOKUP('Données projet'!$B$9,Paramètres!$A$1:$I$89,3,0)*VLOOKUP('Données projet'!$B$9,Paramètres!$A$1:$I$89,5,0)</f>
        <v>1.3596945791505279E-13</v>
      </c>
      <c r="P124" s="13">
        <f t="shared" si="87"/>
        <v>1.9708830566360721E-12</v>
      </c>
      <c r="Q124" s="20">
        <f t="shared" si="107"/>
        <v>3.669434796176543E-12</v>
      </c>
      <c r="R124" s="59">
        <f t="shared" si="55"/>
        <v>282.30289239218808</v>
      </c>
      <c r="S124" s="59">
        <f ca="1">AVERAGE(OFFSET($R$3,0,0,'Données projet'!$E$9+1,1))-AVERAGE(OFFSET($H$3,0,0,'Données projet'!$E$9+1,1))</f>
        <v>297.34058997955685</v>
      </c>
      <c r="T124" s="59">
        <f t="shared" si="88"/>
        <v>440.06633724144069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13.708869582880228</v>
      </c>
      <c r="AA124" s="21">
        <f>EXP(-LN(2)/25)*AA123+(1-EXP(-LN(2)/25))/(LN(2)/25)*Calculateur!V124*Calculateur!X124*VLOOKUP('Données projet'!$B$9,Paramètres!$A$1:$I$89,3,0)*0.475*44/12</f>
        <v>15.132589273800328</v>
      </c>
      <c r="AB124" s="21">
        <f>EXP(-LN(2)/2)*AB123+(1-EXP(-LN(2)/2))/(LN(2)/2)*V124*Y124*VLOOKUP('Données projet'!$B$9,Paramètres!$A$1:$I$89,3,0)*0.475*44/12</f>
        <v>0</v>
      </c>
      <c r="AC124" s="22">
        <f t="shared" si="57"/>
        <v>28.841458856680553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 t="e">
        <f>AI124*VLOOKUP('Données projet'!$B$10,Paramètres!$A$1:$I$89,3,0)*VLOOKUP('Données projet'!$B$10,Paramètres!$A$1:$I$89,5,0)</f>
        <v>#N/A</v>
      </c>
      <c r="AK124" s="13" t="e">
        <f t="shared" si="89"/>
        <v>#N/A</v>
      </c>
      <c r="AL124" s="20" t="e">
        <f t="shared" si="58"/>
        <v>#N/A</v>
      </c>
      <c r="AM124" s="59" t="e">
        <f t="shared" si="59"/>
        <v>#N/A</v>
      </c>
      <c r="AN124" s="59" t="e">
        <f ca="1">AVERAGE(OFFSET($AM$3,0,0,'Données projet'!$E$10+1,1))-AVERAGE(OFFSET($H$3,0,0,'Données projet'!$E$10+1,1))</f>
        <v>#N/A</v>
      </c>
      <c r="AO124" s="59" t="e">
        <f t="shared" si="90"/>
        <v>#N/A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 t="e">
        <f>EXP(-LN(2)/35)*AU123+(1-EXP(-LN(2)/35))/(LN(2)/35)*AQ124*AR124*VLOOKUP('Données projet'!$B$10,Paramètres!$A$1:$I$89,3,0)*0.475*44/12</f>
        <v>#N/A</v>
      </c>
      <c r="AV124" s="21" t="e">
        <f>EXP(-LN(2)/25)*AV123+(1-EXP(-LN(2)/25))/(LN(2)/25)*Calculateur!AQ124*Calculateur!AS124*VLOOKUP('Données projet'!$B$10,Paramètres!$A$1:$I$89,3,0)*0.475*44/12</f>
        <v>#N/A</v>
      </c>
      <c r="AW124" s="21" t="e">
        <f>EXP(-LN(2)/2)*AW123+(1-EXP(-LN(2)/2))/(LN(2)/2)*AQ124*AT124*VLOOKUP('Données projet'!$B$10,Paramètres!$A$1:$I$89,3,0)*0.475*44/12</f>
        <v>#N/A</v>
      </c>
      <c r="AX124" s="21" t="e">
        <f t="shared" si="60"/>
        <v>#N/A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3">
        <f>'Scénario référence'!$B$16*5+'Scénario référence'!$B$17*0+'Scénario référence'!$B$18*5</f>
        <v>5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86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67">
        <f t="shared" si="56"/>
        <v>183.33333333333334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2.2737367544323206E-13</v>
      </c>
      <c r="O125" s="13">
        <f>N125*VLOOKUP('Données projet'!$B$9,Paramètres!$A$1:$I$89,3,0)*VLOOKUP('Données projet'!$B$9,Paramètres!$A$1:$I$89,5,0)</f>
        <v>1.3596945791505279E-13</v>
      </c>
      <c r="P125" s="13">
        <f t="shared" si="87"/>
        <v>1.9708830566360721E-12</v>
      </c>
      <c r="Q125" s="20">
        <f t="shared" si="107"/>
        <v>3.669434796176543E-12</v>
      </c>
      <c r="R125" s="59">
        <f t="shared" si="55"/>
        <v>282.49424588214549</v>
      </c>
      <c r="S125" s="59">
        <f ca="1">AVERAGE(OFFSET($R$3,0,0,'Données projet'!$E$9+1,1))-AVERAGE(OFFSET($H$3,0,0,'Données projet'!$E$9+1,1))</f>
        <v>297.34058997955685</v>
      </c>
      <c r="T125" s="59">
        <f t="shared" si="88"/>
        <v>440.06633724144069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13.440047011944754</v>
      </c>
      <c r="AA125" s="21">
        <f>EXP(-LN(2)/25)*AA124+(1-EXP(-LN(2)/25))/(LN(2)/25)*Calculateur!V125*Calculateur!X125*VLOOKUP('Données projet'!$B$9,Paramètres!$A$1:$I$89,3,0)*0.475*44/12</f>
        <v>14.718787824319973</v>
      </c>
      <c r="AB125" s="21">
        <f>EXP(-LN(2)/2)*AB124+(1-EXP(-LN(2)/2))/(LN(2)/2)*V125*Y125*VLOOKUP('Données projet'!$B$9,Paramètres!$A$1:$I$89,3,0)*0.475*44/12</f>
        <v>0</v>
      </c>
      <c r="AC125" s="22">
        <f t="shared" si="57"/>
        <v>28.158834836264727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 t="e">
        <f>AI125*VLOOKUP('Données projet'!$B$10,Paramètres!$A$1:$I$89,3,0)*VLOOKUP('Données projet'!$B$10,Paramètres!$A$1:$I$89,5,0)</f>
        <v>#N/A</v>
      </c>
      <c r="AK125" s="13" t="e">
        <f t="shared" si="89"/>
        <v>#N/A</v>
      </c>
      <c r="AL125" s="20" t="e">
        <f t="shared" si="58"/>
        <v>#N/A</v>
      </c>
      <c r="AM125" s="59" t="e">
        <f t="shared" si="59"/>
        <v>#N/A</v>
      </c>
      <c r="AN125" s="59" t="e">
        <f ca="1">AVERAGE(OFFSET($AM$3,0,0,'Données projet'!$E$10+1,1))-AVERAGE(OFFSET($H$3,0,0,'Données projet'!$E$10+1,1))</f>
        <v>#N/A</v>
      </c>
      <c r="AO125" s="59" t="e">
        <f t="shared" si="90"/>
        <v>#N/A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 t="e">
        <f>EXP(-LN(2)/35)*AU124+(1-EXP(-LN(2)/35))/(LN(2)/35)*AQ125*AR125*VLOOKUP('Données projet'!$B$10,Paramètres!$A$1:$I$89,3,0)*0.475*44/12</f>
        <v>#N/A</v>
      </c>
      <c r="AV125" s="21" t="e">
        <f>EXP(-LN(2)/25)*AV124+(1-EXP(-LN(2)/25))/(LN(2)/25)*Calculateur!AQ125*Calculateur!AS125*VLOOKUP('Données projet'!$B$10,Paramètres!$A$1:$I$89,3,0)*0.475*44/12</f>
        <v>#N/A</v>
      </c>
      <c r="AW125" s="21" t="e">
        <f>EXP(-LN(2)/2)*AW124+(1-EXP(-LN(2)/2))/(LN(2)/2)*AQ125*AT125*VLOOKUP('Données projet'!$B$10,Paramètres!$A$1:$I$89,3,0)*0.475*44/12</f>
        <v>#N/A</v>
      </c>
      <c r="AX125" s="21" t="e">
        <f t="shared" si="60"/>
        <v>#N/A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3">
        <f>'Scénario référence'!$B$16*5+'Scénario référence'!$B$17*0+'Scénario référence'!$B$18*5</f>
        <v>5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86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67">
        <f t="shared" si="56"/>
        <v>183.33333333333334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2.2737367544323206E-13</v>
      </c>
      <c r="O126" s="13">
        <f>N126*VLOOKUP('Données projet'!$B$9,Paramètres!$A$1:$I$89,3,0)*VLOOKUP('Données projet'!$B$9,Paramètres!$A$1:$I$89,5,0)</f>
        <v>1.3596945791505279E-13</v>
      </c>
      <c r="P126" s="13">
        <f t="shared" si="87"/>
        <v>1.9708830566360721E-12</v>
      </c>
      <c r="Q126" s="20">
        <f t="shared" si="107"/>
        <v>3.669434796176543E-12</v>
      </c>
      <c r="R126" s="59">
        <f t="shared" si="55"/>
        <v>282.68227981685436</v>
      </c>
      <c r="S126" s="59">
        <f ca="1">AVERAGE(OFFSET($R$3,0,0,'Données projet'!$E$9+1,1))-AVERAGE(OFFSET($H$3,0,0,'Données projet'!$E$9+1,1))</f>
        <v>297.34058997955685</v>
      </c>
      <c r="T126" s="59">
        <f t="shared" si="88"/>
        <v>440.06633724144069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13.176495887659748</v>
      </c>
      <c r="AA126" s="21">
        <f>EXP(-LN(2)/25)*AA125+(1-EXP(-LN(2)/25))/(LN(2)/25)*Calculateur!V126*Calculateur!X126*VLOOKUP('Données projet'!$B$9,Paramètres!$A$1:$I$89,3,0)*0.475*44/12</f>
        <v>14.316301797236532</v>
      </c>
      <c r="AB126" s="21">
        <f>EXP(-LN(2)/2)*AB125+(1-EXP(-LN(2)/2))/(LN(2)/2)*V126*Y126*VLOOKUP('Données projet'!$B$9,Paramètres!$A$1:$I$89,3,0)*0.475*44/12</f>
        <v>0</v>
      </c>
      <c r="AC126" s="22">
        <f t="shared" si="57"/>
        <v>27.492797684896281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 t="e">
        <f>AI126*VLOOKUP('Données projet'!$B$10,Paramètres!$A$1:$I$89,3,0)*VLOOKUP('Données projet'!$B$10,Paramètres!$A$1:$I$89,5,0)</f>
        <v>#N/A</v>
      </c>
      <c r="AK126" s="13" t="e">
        <f t="shared" si="89"/>
        <v>#N/A</v>
      </c>
      <c r="AL126" s="20" t="e">
        <f t="shared" si="58"/>
        <v>#N/A</v>
      </c>
      <c r="AM126" s="59" t="e">
        <f t="shared" si="59"/>
        <v>#N/A</v>
      </c>
      <c r="AN126" s="59" t="e">
        <f ca="1">AVERAGE(OFFSET($AM$3,0,0,'Données projet'!$E$10+1,1))-AVERAGE(OFFSET($H$3,0,0,'Données projet'!$E$10+1,1))</f>
        <v>#N/A</v>
      </c>
      <c r="AO126" s="59" t="e">
        <f t="shared" si="90"/>
        <v>#N/A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 t="e">
        <f>EXP(-LN(2)/35)*AU125+(1-EXP(-LN(2)/35))/(LN(2)/35)*AQ126*AR126*VLOOKUP('Données projet'!$B$10,Paramètres!$A$1:$I$89,3,0)*0.475*44/12</f>
        <v>#N/A</v>
      </c>
      <c r="AV126" s="21" t="e">
        <f>EXP(-LN(2)/25)*AV125+(1-EXP(-LN(2)/25))/(LN(2)/25)*Calculateur!AQ126*Calculateur!AS126*VLOOKUP('Données projet'!$B$10,Paramètres!$A$1:$I$89,3,0)*0.475*44/12</f>
        <v>#N/A</v>
      </c>
      <c r="AW126" s="21" t="e">
        <f>EXP(-LN(2)/2)*AW125+(1-EXP(-LN(2)/2))/(LN(2)/2)*AQ126*AT126*VLOOKUP('Données projet'!$B$10,Paramètres!$A$1:$I$89,3,0)*0.475*44/12</f>
        <v>#N/A</v>
      </c>
      <c r="AX126" s="21" t="e">
        <f t="shared" si="60"/>
        <v>#N/A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3">
        <f>'Scénario référence'!$B$16*5+'Scénario référence'!$B$17*0+'Scénario référence'!$B$18*5</f>
        <v>5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86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67">
        <f t="shared" si="56"/>
        <v>183.33333333333334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2.2737367544323206E-13</v>
      </c>
      <c r="O127" s="13">
        <f>N127*VLOOKUP('Données projet'!$B$9,Paramètres!$A$1:$I$89,3,0)*VLOOKUP('Données projet'!$B$9,Paramètres!$A$1:$I$89,5,0)</f>
        <v>1.3596945791505279E-13</v>
      </c>
      <c r="P127" s="13">
        <f t="shared" si="87"/>
        <v>1.9708830566360721E-12</v>
      </c>
      <c r="Q127" s="20">
        <f t="shared" si="107"/>
        <v>3.669434796176543E-12</v>
      </c>
      <c r="R127" s="59">
        <f t="shared" si="55"/>
        <v>282.86705178317703</v>
      </c>
      <c r="S127" s="59">
        <f ca="1">AVERAGE(OFFSET($R$3,0,0,'Données projet'!$E$9+1,1))-AVERAGE(OFFSET($H$3,0,0,'Données projet'!$E$9+1,1))</f>
        <v>297.34058997955685</v>
      </c>
      <c r="T127" s="59">
        <f t="shared" si="88"/>
        <v>440.06633724144069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12.918112840171656</v>
      </c>
      <c r="AA127" s="21">
        <f>EXP(-LN(2)/25)*AA126+(1-EXP(-LN(2)/25))/(LN(2)/25)*Calculateur!V127*Calculateur!X127*VLOOKUP('Données projet'!$B$9,Paramètres!$A$1:$I$89,3,0)*0.475*44/12</f>
        <v>13.924821771729508</v>
      </c>
      <c r="AB127" s="21">
        <f>EXP(-LN(2)/2)*AB126+(1-EXP(-LN(2)/2))/(LN(2)/2)*V127*Y127*VLOOKUP('Données projet'!$B$9,Paramètres!$A$1:$I$89,3,0)*0.475*44/12</f>
        <v>0</v>
      </c>
      <c r="AC127" s="22">
        <f t="shared" si="57"/>
        <v>26.842934611901164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 t="e">
        <f>AI127*VLOOKUP('Données projet'!$B$10,Paramètres!$A$1:$I$89,3,0)*VLOOKUP('Données projet'!$B$10,Paramètres!$A$1:$I$89,5,0)</f>
        <v>#N/A</v>
      </c>
      <c r="AK127" s="13" t="e">
        <f t="shared" si="89"/>
        <v>#N/A</v>
      </c>
      <c r="AL127" s="20" t="e">
        <f t="shared" si="58"/>
        <v>#N/A</v>
      </c>
      <c r="AM127" s="59" t="e">
        <f t="shared" si="59"/>
        <v>#N/A</v>
      </c>
      <c r="AN127" s="59" t="e">
        <f ca="1">AVERAGE(OFFSET($AM$3,0,0,'Données projet'!$E$10+1,1))-AVERAGE(OFFSET($H$3,0,0,'Données projet'!$E$10+1,1))</f>
        <v>#N/A</v>
      </c>
      <c r="AO127" s="59" t="e">
        <f t="shared" si="90"/>
        <v>#N/A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 t="e">
        <f>EXP(-LN(2)/35)*AU126+(1-EXP(-LN(2)/35))/(LN(2)/35)*AQ127*AR127*VLOOKUP('Données projet'!$B$10,Paramètres!$A$1:$I$89,3,0)*0.475*44/12</f>
        <v>#N/A</v>
      </c>
      <c r="AV127" s="21" t="e">
        <f>EXP(-LN(2)/25)*AV126+(1-EXP(-LN(2)/25))/(LN(2)/25)*Calculateur!AQ127*Calculateur!AS127*VLOOKUP('Données projet'!$B$10,Paramètres!$A$1:$I$89,3,0)*0.475*44/12</f>
        <v>#N/A</v>
      </c>
      <c r="AW127" s="21" t="e">
        <f>EXP(-LN(2)/2)*AW126+(1-EXP(-LN(2)/2))/(LN(2)/2)*AQ127*AT127*VLOOKUP('Données projet'!$B$10,Paramètres!$A$1:$I$89,3,0)*0.475*44/12</f>
        <v>#N/A</v>
      </c>
      <c r="AX127" s="21" t="e">
        <f t="shared" si="60"/>
        <v>#N/A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3">
        <f>'Scénario référence'!$B$16*5+'Scénario référence'!$B$17*0+'Scénario référence'!$B$18*5</f>
        <v>5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86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67">
        <f t="shared" si="56"/>
        <v>183.33333333333334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2.2737367544323206E-13</v>
      </c>
      <c r="O128" s="13">
        <f>N128*VLOOKUP('Données projet'!$B$9,Paramètres!$A$1:$I$89,3,0)*VLOOKUP('Données projet'!$B$9,Paramètres!$A$1:$I$89,5,0)</f>
        <v>1.3596945791505279E-13</v>
      </c>
      <c r="P128" s="13">
        <f t="shared" si="87"/>
        <v>1.9708830566360721E-12</v>
      </c>
      <c r="Q128" s="20">
        <f t="shared" si="107"/>
        <v>3.669434796176543E-12</v>
      </c>
      <c r="R128" s="59">
        <f t="shared" si="55"/>
        <v>283.0486183689722</v>
      </c>
      <c r="S128" s="59">
        <f ca="1">AVERAGE(OFFSET($R$3,0,0,'Données projet'!$E$9+1,1))-AVERAGE(OFFSET($H$3,0,0,'Données projet'!$E$9+1,1))</f>
        <v>297.34058997955685</v>
      </c>
      <c r="T128" s="59">
        <f t="shared" si="88"/>
        <v>440.06633724144069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12.664796526646709</v>
      </c>
      <c r="AA128" s="21">
        <f>EXP(-LN(2)/25)*AA127+(1-EXP(-LN(2)/25))/(LN(2)/25)*Calculateur!V128*Calculateur!X128*VLOOKUP('Données projet'!$B$9,Paramètres!$A$1:$I$89,3,0)*0.475*44/12</f>
        <v>13.544046788107014</v>
      </c>
      <c r="AB128" s="21">
        <f>EXP(-LN(2)/2)*AB127+(1-EXP(-LN(2)/2))/(LN(2)/2)*V128*Y128*VLOOKUP('Données projet'!$B$9,Paramètres!$A$1:$I$89,3,0)*0.475*44/12</f>
        <v>0</v>
      </c>
      <c r="AC128" s="22">
        <f t="shared" si="57"/>
        <v>26.208843314753722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 t="e">
        <f>AI128*VLOOKUP('Données projet'!$B$10,Paramètres!$A$1:$I$89,3,0)*VLOOKUP('Données projet'!$B$10,Paramètres!$A$1:$I$89,5,0)</f>
        <v>#N/A</v>
      </c>
      <c r="AK128" s="13" t="e">
        <f t="shared" si="89"/>
        <v>#N/A</v>
      </c>
      <c r="AL128" s="20" t="e">
        <f t="shared" si="58"/>
        <v>#N/A</v>
      </c>
      <c r="AM128" s="59" t="e">
        <f t="shared" si="59"/>
        <v>#N/A</v>
      </c>
      <c r="AN128" s="59" t="e">
        <f ca="1">AVERAGE(OFFSET($AM$3,0,0,'Données projet'!$E$10+1,1))-AVERAGE(OFFSET($H$3,0,0,'Données projet'!$E$10+1,1))</f>
        <v>#N/A</v>
      </c>
      <c r="AO128" s="59" t="e">
        <f t="shared" si="90"/>
        <v>#N/A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 t="e">
        <f>EXP(-LN(2)/35)*AU127+(1-EXP(-LN(2)/35))/(LN(2)/35)*AQ128*AR128*VLOOKUP('Données projet'!$B$10,Paramètres!$A$1:$I$89,3,0)*0.475*44/12</f>
        <v>#N/A</v>
      </c>
      <c r="AV128" s="21" t="e">
        <f>EXP(-LN(2)/25)*AV127+(1-EXP(-LN(2)/25))/(LN(2)/25)*Calculateur!AQ128*Calculateur!AS128*VLOOKUP('Données projet'!$B$10,Paramètres!$A$1:$I$89,3,0)*0.475*44/12</f>
        <v>#N/A</v>
      </c>
      <c r="AW128" s="21" t="e">
        <f>EXP(-LN(2)/2)*AW127+(1-EXP(-LN(2)/2))/(LN(2)/2)*AQ128*AT128*VLOOKUP('Données projet'!$B$10,Paramètres!$A$1:$I$89,3,0)*0.475*44/12</f>
        <v>#N/A</v>
      </c>
      <c r="AX128" s="21" t="e">
        <f t="shared" si="60"/>
        <v>#N/A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3">
        <f>'Scénario référence'!$B$16*5+'Scénario référence'!$B$17*0+'Scénario référence'!$B$18*5</f>
        <v>5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86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67">
        <f t="shared" si="56"/>
        <v>183.33333333333334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2.2737367544323206E-13</v>
      </c>
      <c r="O129" s="13">
        <f>N129*VLOOKUP('Données projet'!$B$9,Paramètres!$A$1:$I$89,3,0)*VLOOKUP('Données projet'!$B$9,Paramètres!$A$1:$I$89,5,0)</f>
        <v>1.3596945791505279E-13</v>
      </c>
      <c r="P129" s="13">
        <f t="shared" si="87"/>
        <v>1.9708830566360721E-12</v>
      </c>
      <c r="Q129" s="20">
        <f t="shared" si="107"/>
        <v>3.669434796176543E-12</v>
      </c>
      <c r="R129" s="59">
        <f t="shared" si="55"/>
        <v>283.2270351804259</v>
      </c>
      <c r="S129" s="59">
        <f ca="1">AVERAGE(OFFSET($R$3,0,0,'Données projet'!$E$9+1,1))-AVERAGE(OFFSET($H$3,0,0,'Données projet'!$E$9+1,1))</f>
        <v>297.34058997955685</v>
      </c>
      <c r="T129" s="59">
        <f t="shared" si="88"/>
        <v>440.06633724144069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12.416447591522292</v>
      </c>
      <c r="AA129" s="21">
        <f>EXP(-LN(2)/25)*AA128+(1-EXP(-LN(2)/25))/(LN(2)/25)*Calculateur!V129*Calculateur!X129*VLOOKUP('Données projet'!$B$9,Paramètres!$A$1:$I$89,3,0)*0.475*44/12</f>
        <v>13.173684116435762</v>
      </c>
      <c r="AB129" s="21">
        <f>EXP(-LN(2)/2)*AB128+(1-EXP(-LN(2)/2))/(LN(2)/2)*V129*Y129*VLOOKUP('Données projet'!$B$9,Paramètres!$A$1:$I$89,3,0)*0.475*44/12</f>
        <v>0</v>
      </c>
      <c r="AC129" s="22">
        <f t="shared" si="57"/>
        <v>25.590131707958054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 t="e">
        <f>AI129*VLOOKUP('Données projet'!$B$10,Paramètres!$A$1:$I$89,3,0)*VLOOKUP('Données projet'!$B$10,Paramètres!$A$1:$I$89,5,0)</f>
        <v>#N/A</v>
      </c>
      <c r="AK129" s="13" t="e">
        <f t="shared" si="89"/>
        <v>#N/A</v>
      </c>
      <c r="AL129" s="20" t="e">
        <f t="shared" si="58"/>
        <v>#N/A</v>
      </c>
      <c r="AM129" s="59" t="e">
        <f t="shared" si="59"/>
        <v>#N/A</v>
      </c>
      <c r="AN129" s="59" t="e">
        <f ca="1">AVERAGE(OFFSET($AM$3,0,0,'Données projet'!$E$10+1,1))-AVERAGE(OFFSET($H$3,0,0,'Données projet'!$E$10+1,1))</f>
        <v>#N/A</v>
      </c>
      <c r="AO129" s="59" t="e">
        <f t="shared" si="90"/>
        <v>#N/A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 t="e">
        <f>EXP(-LN(2)/35)*AU128+(1-EXP(-LN(2)/35))/(LN(2)/35)*AQ129*AR129*VLOOKUP('Données projet'!$B$10,Paramètres!$A$1:$I$89,3,0)*0.475*44/12</f>
        <v>#N/A</v>
      </c>
      <c r="AV129" s="21" t="e">
        <f>EXP(-LN(2)/25)*AV128+(1-EXP(-LN(2)/25))/(LN(2)/25)*Calculateur!AQ129*Calculateur!AS129*VLOOKUP('Données projet'!$B$10,Paramètres!$A$1:$I$89,3,0)*0.475*44/12</f>
        <v>#N/A</v>
      </c>
      <c r="AW129" s="21" t="e">
        <f>EXP(-LN(2)/2)*AW128+(1-EXP(-LN(2)/2))/(LN(2)/2)*AQ129*AT129*VLOOKUP('Données projet'!$B$10,Paramètres!$A$1:$I$89,3,0)*0.475*44/12</f>
        <v>#N/A</v>
      </c>
      <c r="AX129" s="21" t="e">
        <f t="shared" si="60"/>
        <v>#N/A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3">
        <f>'Scénario référence'!$B$16*5+'Scénario référence'!$B$17*0+'Scénario référence'!$B$18*5</f>
        <v>5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86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67">
        <f t="shared" si="56"/>
        <v>183.33333333333334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2.2737367544323206E-13</v>
      </c>
      <c r="O130" s="13">
        <f>N130*VLOOKUP('Données projet'!$B$9,Paramètres!$A$1:$I$89,3,0)*VLOOKUP('Données projet'!$B$9,Paramètres!$A$1:$I$89,5,0)</f>
        <v>1.3596945791505279E-13</v>
      </c>
      <c r="P130" s="13">
        <f t="shared" si="87"/>
        <v>1.9708830566360721E-12</v>
      </c>
      <c r="Q130" s="20">
        <f t="shared" si="107"/>
        <v>3.669434796176543E-12</v>
      </c>
      <c r="R130" s="59">
        <f t="shared" si="55"/>
        <v>283.40235685908112</v>
      </c>
      <c r="S130" s="59">
        <f ca="1">AVERAGE(OFFSET($R$3,0,0,'Données projet'!$E$9+1,1))-AVERAGE(OFFSET($H$3,0,0,'Données projet'!$E$9+1,1))</f>
        <v>297.34058997955685</v>
      </c>
      <c r="T130" s="59">
        <f t="shared" si="88"/>
        <v>440.06633724144069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12.172968627537772</v>
      </c>
      <c r="AA130" s="21">
        <f>EXP(-LN(2)/25)*AA129+(1-EXP(-LN(2)/25))/(LN(2)/25)*Calculateur!V130*Calculateur!X130*VLOOKUP('Données projet'!$B$9,Paramètres!$A$1:$I$89,3,0)*0.475*44/12</f>
        <v>12.813449031497887</v>
      </c>
      <c r="AB130" s="21">
        <f>EXP(-LN(2)/2)*AB129+(1-EXP(-LN(2)/2))/(LN(2)/2)*V130*Y130*VLOOKUP('Données projet'!$B$9,Paramètres!$A$1:$I$89,3,0)*0.475*44/12</f>
        <v>0</v>
      </c>
      <c r="AC130" s="22">
        <f t="shared" si="57"/>
        <v>24.986417659035659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 t="e">
        <f>AI130*VLOOKUP('Données projet'!$B$10,Paramètres!$A$1:$I$89,3,0)*VLOOKUP('Données projet'!$B$10,Paramètres!$A$1:$I$89,5,0)</f>
        <v>#N/A</v>
      </c>
      <c r="AK130" s="13" t="e">
        <f t="shared" si="89"/>
        <v>#N/A</v>
      </c>
      <c r="AL130" s="20" t="e">
        <f t="shared" si="58"/>
        <v>#N/A</v>
      </c>
      <c r="AM130" s="59" t="e">
        <f t="shared" si="59"/>
        <v>#N/A</v>
      </c>
      <c r="AN130" s="59" t="e">
        <f ca="1">AVERAGE(OFFSET($AM$3,0,0,'Données projet'!$E$10+1,1))-AVERAGE(OFFSET($H$3,0,0,'Données projet'!$E$10+1,1))</f>
        <v>#N/A</v>
      </c>
      <c r="AO130" s="59" t="e">
        <f t="shared" si="90"/>
        <v>#N/A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 t="e">
        <f>EXP(-LN(2)/35)*AU129+(1-EXP(-LN(2)/35))/(LN(2)/35)*AQ130*AR130*VLOOKUP('Données projet'!$B$10,Paramètres!$A$1:$I$89,3,0)*0.475*44/12</f>
        <v>#N/A</v>
      </c>
      <c r="AV130" s="21" t="e">
        <f>EXP(-LN(2)/25)*AV129+(1-EXP(-LN(2)/25))/(LN(2)/25)*Calculateur!AQ130*Calculateur!AS130*VLOOKUP('Données projet'!$B$10,Paramètres!$A$1:$I$89,3,0)*0.475*44/12</f>
        <v>#N/A</v>
      </c>
      <c r="AW130" s="21" t="e">
        <f>EXP(-LN(2)/2)*AW129+(1-EXP(-LN(2)/2))/(LN(2)/2)*AQ130*AT130*VLOOKUP('Données projet'!$B$10,Paramètres!$A$1:$I$89,3,0)*0.475*44/12</f>
        <v>#N/A</v>
      </c>
      <c r="AX130" s="21" t="e">
        <f t="shared" si="60"/>
        <v>#N/A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3">
        <f>'Scénario référence'!$B$16*5+'Scénario référence'!$B$17*0+'Scénario référence'!$B$18*5</f>
        <v>5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86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67">
        <f t="shared" si="56"/>
        <v>183.33333333333334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2.2737367544323206E-13</v>
      </c>
      <c r="O131" s="13">
        <f>N131*VLOOKUP('Données projet'!$B$9,Paramètres!$A$1:$I$89,3,0)*VLOOKUP('Données projet'!$B$9,Paramètres!$A$1:$I$89,5,0)</f>
        <v>1.3596945791505279E-13</v>
      </c>
      <c r="P131" s="13">
        <f t="shared" si="87"/>
        <v>1.9708830566360721E-12</v>
      </c>
      <c r="Q131" s="20">
        <f t="shared" ref="Q131:Q153" si="108">(O131+P131)*0.475*44/12</f>
        <v>3.669434796176543E-12</v>
      </c>
      <c r="R131" s="59">
        <f t="shared" ref="R131:R194" si="109">Q131+(I131+J131)*44/12</f>
        <v>283.57463709857223</v>
      </c>
      <c r="S131" s="59">
        <f ca="1">AVERAGE(OFFSET($R$3,0,0,'Données projet'!$E$9+1,1))-AVERAGE(OFFSET($H$3,0,0,'Données projet'!$E$9+1,1))</f>
        <v>297.34058997955685</v>
      </c>
      <c r="T131" s="59">
        <f t="shared" si="88"/>
        <v>440.06633724144069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11.934264137529484</v>
      </c>
      <c r="AA131" s="21">
        <f>EXP(-LN(2)/25)*AA130+(1-EXP(-LN(2)/25))/(LN(2)/25)*Calculateur!V131*Calculateur!X131*VLOOKUP('Données projet'!$B$9,Paramètres!$A$1:$I$89,3,0)*0.475*44/12</f>
        <v>12.463064593901578</v>
      </c>
      <c r="AB131" s="21">
        <f>EXP(-LN(2)/2)*AB130+(1-EXP(-LN(2)/2))/(LN(2)/2)*V131*Y131*VLOOKUP('Données projet'!$B$9,Paramètres!$A$1:$I$89,3,0)*0.475*44/12</f>
        <v>0</v>
      </c>
      <c r="AC131" s="22">
        <f t="shared" si="57"/>
        <v>24.39732873143106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 t="e">
        <f>AI131*VLOOKUP('Données projet'!$B$10,Paramètres!$A$1:$I$89,3,0)*VLOOKUP('Données projet'!$B$10,Paramètres!$A$1:$I$89,5,0)</f>
        <v>#N/A</v>
      </c>
      <c r="AK131" s="13" t="e">
        <f t="shared" si="89"/>
        <v>#N/A</v>
      </c>
      <c r="AL131" s="20" t="e">
        <f t="shared" si="58"/>
        <v>#N/A</v>
      </c>
      <c r="AM131" s="59" t="e">
        <f t="shared" si="59"/>
        <v>#N/A</v>
      </c>
      <c r="AN131" s="59" t="e">
        <f ca="1">AVERAGE(OFFSET($AM$3,0,0,'Données projet'!$E$10+1,1))-AVERAGE(OFFSET($H$3,0,0,'Données projet'!$E$10+1,1))</f>
        <v>#N/A</v>
      </c>
      <c r="AO131" s="59" t="e">
        <f t="shared" si="90"/>
        <v>#N/A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 t="e">
        <f>EXP(-LN(2)/35)*AU130+(1-EXP(-LN(2)/35))/(LN(2)/35)*AQ131*AR131*VLOOKUP('Données projet'!$B$10,Paramètres!$A$1:$I$89,3,0)*0.475*44/12</f>
        <v>#N/A</v>
      </c>
      <c r="AV131" s="21" t="e">
        <f>EXP(-LN(2)/25)*AV130+(1-EXP(-LN(2)/25))/(LN(2)/25)*Calculateur!AQ131*Calculateur!AS131*VLOOKUP('Données projet'!$B$10,Paramètres!$A$1:$I$89,3,0)*0.475*44/12</f>
        <v>#N/A</v>
      </c>
      <c r="AW131" s="21" t="e">
        <f>EXP(-LN(2)/2)*AW130+(1-EXP(-LN(2)/2))/(LN(2)/2)*AQ131*AT131*VLOOKUP('Données projet'!$B$10,Paramètres!$A$1:$I$89,3,0)*0.475*44/12</f>
        <v>#N/A</v>
      </c>
      <c r="AX131" s="21" t="e">
        <f t="shared" si="60"/>
        <v>#N/A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3">
        <f>'Scénario référence'!$B$16*5+'Scénario référence'!$B$17*0+'Scénario référence'!$B$18*5</f>
        <v>5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86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67">
        <f t="shared" ref="H132:H195" si="110">(B132+E132+F132)*44/12+(C132+D132)*0.475*44/12</f>
        <v>183.33333333333334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2.2737367544323206E-13</v>
      </c>
      <c r="O132" s="13">
        <f>N132*VLOOKUP('Données projet'!$B$9,Paramètres!$A$1:$I$89,3,0)*VLOOKUP('Données projet'!$B$9,Paramètres!$A$1:$I$89,5,0)</f>
        <v>1.3596945791505279E-13</v>
      </c>
      <c r="P132" s="13">
        <f t="shared" si="87"/>
        <v>1.9708830566360721E-12</v>
      </c>
      <c r="Q132" s="20">
        <f t="shared" si="108"/>
        <v>3.669434796176543E-12</v>
      </c>
      <c r="R132" s="59">
        <f t="shared" si="109"/>
        <v>283.74392866106905</v>
      </c>
      <c r="S132" s="59">
        <f ca="1">AVERAGE(OFFSET($R$3,0,0,'Données projet'!$E$9+1,1))-AVERAGE(OFFSET($H$3,0,0,'Données projet'!$E$9+1,1))</f>
        <v>297.34058997955685</v>
      </c>
      <c r="T132" s="59">
        <f t="shared" si="88"/>
        <v>440.06633724144069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11.700240496974894</v>
      </c>
      <c r="AA132" s="21">
        <f>EXP(-LN(2)/25)*AA131+(1-EXP(-LN(2)/25))/(LN(2)/25)*Calculateur!V132*Calculateur!X132*VLOOKUP('Données projet'!$B$9,Paramètres!$A$1:$I$89,3,0)*0.475*44/12</f>
        <v>12.122261437177256</v>
      </c>
      <c r="AB132" s="21">
        <f>EXP(-LN(2)/2)*AB131+(1-EXP(-LN(2)/2))/(LN(2)/2)*V132*Y132*VLOOKUP('Données projet'!$B$9,Paramètres!$A$1:$I$89,3,0)*0.475*44/12</f>
        <v>0</v>
      </c>
      <c r="AC132" s="22">
        <f t="shared" ref="AC132:AC153" si="111">SUM(Z132:AB132)</f>
        <v>23.82250193415215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 t="e">
        <f>AI132*VLOOKUP('Données projet'!$B$10,Paramètres!$A$1:$I$89,3,0)*VLOOKUP('Données projet'!$B$10,Paramètres!$A$1:$I$89,5,0)</f>
        <v>#N/A</v>
      </c>
      <c r="AK132" s="13" t="e">
        <f t="shared" si="89"/>
        <v>#N/A</v>
      </c>
      <c r="AL132" s="20" t="e">
        <f t="shared" ref="AL132:AL153" si="112">(AJ132+AK132)*0.475*44/12</f>
        <v>#N/A</v>
      </c>
      <c r="AM132" s="59" t="e">
        <f t="shared" ref="AM132:AM195" si="113">AL132+(AD132+AE132)*44/12</f>
        <v>#N/A</v>
      </c>
      <c r="AN132" s="59" t="e">
        <f ca="1">AVERAGE(OFFSET($AM$3,0,0,'Données projet'!$E$10+1,1))-AVERAGE(OFFSET($H$3,0,0,'Données projet'!$E$10+1,1))</f>
        <v>#N/A</v>
      </c>
      <c r="AO132" s="59" t="e">
        <f t="shared" si="90"/>
        <v>#N/A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 t="e">
        <f>EXP(-LN(2)/35)*AU131+(1-EXP(-LN(2)/35))/(LN(2)/35)*AQ132*AR132*VLOOKUP('Données projet'!$B$10,Paramètres!$A$1:$I$89,3,0)*0.475*44/12</f>
        <v>#N/A</v>
      </c>
      <c r="AV132" s="21" t="e">
        <f>EXP(-LN(2)/25)*AV131+(1-EXP(-LN(2)/25))/(LN(2)/25)*Calculateur!AQ132*Calculateur!AS132*VLOOKUP('Données projet'!$B$10,Paramètres!$A$1:$I$89,3,0)*0.475*44/12</f>
        <v>#N/A</v>
      </c>
      <c r="AW132" s="21" t="e">
        <f>EXP(-LN(2)/2)*AW131+(1-EXP(-LN(2)/2))/(LN(2)/2)*AQ132*AT132*VLOOKUP('Données projet'!$B$10,Paramètres!$A$1:$I$89,3,0)*0.475*44/12</f>
        <v>#N/A</v>
      </c>
      <c r="AX132" s="21" t="e">
        <f t="shared" ref="AX132:AX153" si="114">SUM(AU132:AW132)</f>
        <v>#N/A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3">
        <f>'Scénario référence'!$B$16*5+'Scénario référence'!$B$17*0+'Scénario référence'!$B$18*5</f>
        <v>5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140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67">
        <f t="shared" si="110"/>
        <v>183.33333333333334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2.2737367544323206E-13</v>
      </c>
      <c r="O133" s="13">
        <f>N133*VLOOKUP('Données projet'!$B$9,Paramètres!$A$1:$I$89,3,0)*VLOOKUP('Données projet'!$B$9,Paramètres!$A$1:$I$89,5,0)</f>
        <v>1.3596945791505279E-13</v>
      </c>
      <c r="P133" s="13">
        <f t="shared" ref="P133:P196" si="141">EXP(-1.0587+0.8836*LN(O133)+0.284)</f>
        <v>1.9708830566360721E-12</v>
      </c>
      <c r="Q133" s="20">
        <f t="shared" si="108"/>
        <v>3.669434796176543E-12</v>
      </c>
      <c r="R133" s="59">
        <f t="shared" si="109"/>
        <v>283.9102833934358</v>
      </c>
      <c r="S133" s="59">
        <f ca="1">AVERAGE(OFFSET($R$3,0,0,'Données projet'!$E$9+1,1))-AVERAGE(OFFSET($H$3,0,0,'Données projet'!$E$9+1,1))</f>
        <v>297.34058997955685</v>
      </c>
      <c r="T133" s="59">
        <f t="shared" ref="T133:T196" si="142">$T$3</f>
        <v>440.06633724144069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11.470805917271255</v>
      </c>
      <c r="AA133" s="21">
        <f>EXP(-LN(2)/25)*AA132+(1-EXP(-LN(2)/25))/(LN(2)/25)*Calculateur!V133*Calculateur!X133*VLOOKUP('Données projet'!$B$9,Paramètres!$A$1:$I$89,3,0)*0.475*44/12</f>
        <v>11.79077756069562</v>
      </c>
      <c r="AB133" s="21">
        <f>EXP(-LN(2)/2)*AB132+(1-EXP(-LN(2)/2))/(LN(2)/2)*V133*Y133*VLOOKUP('Données projet'!$B$9,Paramètres!$A$1:$I$89,3,0)*0.475*44/12</f>
        <v>0</v>
      </c>
      <c r="AC133" s="22">
        <f t="shared" si="111"/>
        <v>23.261583477966873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 t="e">
        <f>AI133*VLOOKUP('Données projet'!$B$10,Paramètres!$A$1:$I$89,3,0)*VLOOKUP('Données projet'!$B$10,Paramètres!$A$1:$I$89,5,0)</f>
        <v>#N/A</v>
      </c>
      <c r="AK133" s="13" t="e">
        <f t="shared" ref="AK133:AK153" si="143">EXP(-1.0587+0.8836*LN(AJ133)+0.284)</f>
        <v>#N/A</v>
      </c>
      <c r="AL133" s="20" t="e">
        <f t="shared" si="112"/>
        <v>#N/A</v>
      </c>
      <c r="AM133" s="59" t="e">
        <f t="shared" si="113"/>
        <v>#N/A</v>
      </c>
      <c r="AN133" s="59" t="e">
        <f ca="1">AVERAGE(OFFSET($AM$3,0,0,'Données projet'!$E$10+1,1))-AVERAGE(OFFSET($H$3,0,0,'Données projet'!$E$10+1,1))</f>
        <v>#N/A</v>
      </c>
      <c r="AO133" s="59" t="e">
        <f t="shared" ref="AO133:AO196" si="144">$AO$3</f>
        <v>#N/A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 t="e">
        <f>EXP(-LN(2)/35)*AU132+(1-EXP(-LN(2)/35))/(LN(2)/35)*AQ133*AR133*VLOOKUP('Données projet'!$B$10,Paramètres!$A$1:$I$89,3,0)*0.475*44/12</f>
        <v>#N/A</v>
      </c>
      <c r="AV133" s="21" t="e">
        <f>EXP(-LN(2)/25)*AV132+(1-EXP(-LN(2)/25))/(LN(2)/25)*Calculateur!AQ133*Calculateur!AS133*VLOOKUP('Données projet'!$B$10,Paramètres!$A$1:$I$89,3,0)*0.475*44/12</f>
        <v>#N/A</v>
      </c>
      <c r="AW133" s="21" t="e">
        <f>EXP(-LN(2)/2)*AW132+(1-EXP(-LN(2)/2))/(LN(2)/2)*AQ133*AT133*VLOOKUP('Données projet'!$B$10,Paramètres!$A$1:$I$89,3,0)*0.475*44/12</f>
        <v>#N/A</v>
      </c>
      <c r="AX133" s="21" t="e">
        <f t="shared" si="114"/>
        <v>#N/A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3">
        <f>'Scénario référence'!$B$16*5+'Scénario référence'!$B$17*0+'Scénario référence'!$B$18*5</f>
        <v>5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40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67">
        <f t="shared" si="110"/>
        <v>183.33333333333334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2.2737367544323206E-13</v>
      </c>
      <c r="O134" s="13">
        <f>N134*VLOOKUP('Données projet'!$B$9,Paramètres!$A$1:$I$89,3,0)*VLOOKUP('Données projet'!$B$9,Paramètres!$A$1:$I$89,5,0)</f>
        <v>1.3596945791505279E-13</v>
      </c>
      <c r="P134" s="13">
        <f t="shared" si="141"/>
        <v>1.9708830566360721E-12</v>
      </c>
      <c r="Q134" s="20">
        <f t="shared" si="108"/>
        <v>3.669434796176543E-12</v>
      </c>
      <c r="R134" s="59">
        <f t="shared" si="109"/>
        <v>284.07375224310942</v>
      </c>
      <c r="S134" s="59">
        <f ca="1">AVERAGE(OFFSET($R$3,0,0,'Données projet'!$E$9+1,1))-AVERAGE(OFFSET($H$3,0,0,'Données projet'!$E$9+1,1))</f>
        <v>297.34058997955685</v>
      </c>
      <c r="T134" s="59">
        <f t="shared" si="142"/>
        <v>440.06633724144069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11.245870409734328</v>
      </c>
      <c r="AA134" s="21">
        <f>EXP(-LN(2)/25)*AA133+(1-EXP(-LN(2)/25))/(LN(2)/25)*Calculateur!V134*Calculateur!X134*VLOOKUP('Données projet'!$B$9,Paramètres!$A$1:$I$89,3,0)*0.475*44/12</f>
        <v>11.468358128248354</v>
      </c>
      <c r="AB134" s="21">
        <f>EXP(-LN(2)/2)*AB133+(1-EXP(-LN(2)/2))/(LN(2)/2)*V134*Y134*VLOOKUP('Données projet'!$B$9,Paramètres!$A$1:$I$89,3,0)*0.475*44/12</f>
        <v>0</v>
      </c>
      <c r="AC134" s="22">
        <f t="shared" si="111"/>
        <v>22.714228537982684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 t="e">
        <f>AI134*VLOOKUP('Données projet'!$B$10,Paramètres!$A$1:$I$89,3,0)*VLOOKUP('Données projet'!$B$10,Paramètres!$A$1:$I$89,5,0)</f>
        <v>#N/A</v>
      </c>
      <c r="AK134" s="13" t="e">
        <f t="shared" si="143"/>
        <v>#N/A</v>
      </c>
      <c r="AL134" s="20" t="e">
        <f t="shared" si="112"/>
        <v>#N/A</v>
      </c>
      <c r="AM134" s="59" t="e">
        <f t="shared" si="113"/>
        <v>#N/A</v>
      </c>
      <c r="AN134" s="59" t="e">
        <f ca="1">AVERAGE(OFFSET($AM$3,0,0,'Données projet'!$E$10+1,1))-AVERAGE(OFFSET($H$3,0,0,'Données projet'!$E$10+1,1))</f>
        <v>#N/A</v>
      </c>
      <c r="AO134" s="59" t="e">
        <f t="shared" si="144"/>
        <v>#N/A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 t="e">
        <f>EXP(-LN(2)/35)*AU133+(1-EXP(-LN(2)/35))/(LN(2)/35)*AQ134*AR134*VLOOKUP('Données projet'!$B$10,Paramètres!$A$1:$I$89,3,0)*0.475*44/12</f>
        <v>#N/A</v>
      </c>
      <c r="AV134" s="21" t="e">
        <f>EXP(-LN(2)/25)*AV133+(1-EXP(-LN(2)/25))/(LN(2)/25)*Calculateur!AQ134*Calculateur!AS134*VLOOKUP('Données projet'!$B$10,Paramètres!$A$1:$I$89,3,0)*0.475*44/12</f>
        <v>#N/A</v>
      </c>
      <c r="AW134" s="21" t="e">
        <f>EXP(-LN(2)/2)*AW133+(1-EXP(-LN(2)/2))/(LN(2)/2)*AQ134*AT134*VLOOKUP('Données projet'!$B$10,Paramètres!$A$1:$I$89,3,0)*0.475*44/12</f>
        <v>#N/A</v>
      </c>
      <c r="AX134" s="21" t="e">
        <f t="shared" si="114"/>
        <v>#N/A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3">
        <f>'Scénario référence'!$B$16*5+'Scénario référence'!$B$17*0+'Scénario référence'!$B$18*5</f>
        <v>5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40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67">
        <f t="shared" si="110"/>
        <v>183.33333333333334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2.2737367544323206E-13</v>
      </c>
      <c r="O135" s="13">
        <f>N135*VLOOKUP('Données projet'!$B$9,Paramètres!$A$1:$I$89,3,0)*VLOOKUP('Données projet'!$B$9,Paramètres!$A$1:$I$89,5,0)</f>
        <v>1.3596945791505279E-13</v>
      </c>
      <c r="P135" s="13">
        <f t="shared" si="141"/>
        <v>1.9708830566360721E-12</v>
      </c>
      <c r="Q135" s="20">
        <f t="shared" si="108"/>
        <v>3.669434796176543E-12</v>
      </c>
      <c r="R135" s="59">
        <f t="shared" si="109"/>
        <v>284.23438527370286</v>
      </c>
      <c r="S135" s="59">
        <f ca="1">AVERAGE(OFFSET($R$3,0,0,'Données projet'!$E$9+1,1))-AVERAGE(OFFSET($H$3,0,0,'Données projet'!$E$9+1,1))</f>
        <v>297.34058997955685</v>
      </c>
      <c r="T135" s="59">
        <f t="shared" si="142"/>
        <v>440.06633724144069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11.025345750303089</v>
      </c>
      <c r="AA135" s="21">
        <f>EXP(-LN(2)/25)*AA134+(1-EXP(-LN(2)/25))/(LN(2)/25)*Calculateur!V135*Calculateur!X135*VLOOKUP('Données projet'!$B$9,Paramètres!$A$1:$I$89,3,0)*0.475*44/12</f>
        <v>11.15475527213666</v>
      </c>
      <c r="AB135" s="21">
        <f>EXP(-LN(2)/2)*AB134+(1-EXP(-LN(2)/2))/(LN(2)/2)*V135*Y135*VLOOKUP('Données projet'!$B$9,Paramètres!$A$1:$I$89,3,0)*0.475*44/12</f>
        <v>0</v>
      </c>
      <c r="AC135" s="22">
        <f t="shared" si="111"/>
        <v>22.18010102243975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 t="e">
        <f>AI135*VLOOKUP('Données projet'!$B$10,Paramètres!$A$1:$I$89,3,0)*VLOOKUP('Données projet'!$B$10,Paramètres!$A$1:$I$89,5,0)</f>
        <v>#N/A</v>
      </c>
      <c r="AK135" s="13" t="e">
        <f t="shared" si="143"/>
        <v>#N/A</v>
      </c>
      <c r="AL135" s="20" t="e">
        <f t="shared" si="112"/>
        <v>#N/A</v>
      </c>
      <c r="AM135" s="59" t="e">
        <f t="shared" si="113"/>
        <v>#N/A</v>
      </c>
      <c r="AN135" s="59" t="e">
        <f ca="1">AVERAGE(OFFSET($AM$3,0,0,'Données projet'!$E$10+1,1))-AVERAGE(OFFSET($H$3,0,0,'Données projet'!$E$10+1,1))</f>
        <v>#N/A</v>
      </c>
      <c r="AO135" s="59" t="e">
        <f t="shared" si="144"/>
        <v>#N/A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 t="e">
        <f>EXP(-LN(2)/35)*AU134+(1-EXP(-LN(2)/35))/(LN(2)/35)*AQ135*AR135*VLOOKUP('Données projet'!$B$10,Paramètres!$A$1:$I$89,3,0)*0.475*44/12</f>
        <v>#N/A</v>
      </c>
      <c r="AV135" s="21" t="e">
        <f>EXP(-LN(2)/25)*AV134+(1-EXP(-LN(2)/25))/(LN(2)/25)*Calculateur!AQ135*Calculateur!AS135*VLOOKUP('Données projet'!$B$10,Paramètres!$A$1:$I$89,3,0)*0.475*44/12</f>
        <v>#N/A</v>
      </c>
      <c r="AW135" s="21" t="e">
        <f>EXP(-LN(2)/2)*AW134+(1-EXP(-LN(2)/2))/(LN(2)/2)*AQ135*AT135*VLOOKUP('Données projet'!$B$10,Paramètres!$A$1:$I$89,3,0)*0.475*44/12</f>
        <v>#N/A</v>
      </c>
      <c r="AX135" s="21" t="e">
        <f t="shared" si="114"/>
        <v>#N/A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3">
        <f>'Scénario référence'!$B$16*5+'Scénario référence'!$B$17*0+'Scénario référence'!$B$18*5</f>
        <v>5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40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67">
        <f t="shared" si="110"/>
        <v>183.33333333333334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2.2737367544323206E-13</v>
      </c>
      <c r="O136" s="13">
        <f>N136*VLOOKUP('Données projet'!$B$9,Paramètres!$A$1:$I$89,3,0)*VLOOKUP('Données projet'!$B$9,Paramètres!$A$1:$I$89,5,0)</f>
        <v>1.3596945791505279E-13</v>
      </c>
      <c r="P136" s="13">
        <f t="shared" si="141"/>
        <v>1.9708830566360721E-12</v>
      </c>
      <c r="Q136" s="20">
        <f t="shared" si="108"/>
        <v>3.669434796176543E-12</v>
      </c>
      <c r="R136" s="59">
        <f t="shared" si="109"/>
        <v>284.39223168033709</v>
      </c>
      <c r="S136" s="59">
        <f ca="1">AVERAGE(OFFSET($R$3,0,0,'Données projet'!$E$9+1,1))-AVERAGE(OFFSET($H$3,0,0,'Données projet'!$E$9+1,1))</f>
        <v>297.34058997955685</v>
      </c>
      <c r="T136" s="59">
        <f t="shared" si="142"/>
        <v>440.06633724144069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10.809145444936535</v>
      </c>
      <c r="AA136" s="21">
        <f>EXP(-LN(2)/25)*AA135+(1-EXP(-LN(2)/25))/(LN(2)/25)*Calculateur!V136*Calculateur!X136*VLOOKUP('Données projet'!$B$9,Paramètres!$A$1:$I$89,3,0)*0.475*44/12</f>
        <v>10.849727902616998</v>
      </c>
      <c r="AB136" s="21">
        <f>EXP(-LN(2)/2)*AB135+(1-EXP(-LN(2)/2))/(LN(2)/2)*V136*Y136*VLOOKUP('Données projet'!$B$9,Paramètres!$A$1:$I$89,3,0)*0.475*44/12</f>
        <v>0</v>
      </c>
      <c r="AC136" s="22">
        <f t="shared" si="111"/>
        <v>21.658873347553531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 t="e">
        <f>AI136*VLOOKUP('Données projet'!$B$10,Paramètres!$A$1:$I$89,3,0)*VLOOKUP('Données projet'!$B$10,Paramètres!$A$1:$I$89,5,0)</f>
        <v>#N/A</v>
      </c>
      <c r="AK136" s="13" t="e">
        <f t="shared" si="143"/>
        <v>#N/A</v>
      </c>
      <c r="AL136" s="20" t="e">
        <f t="shared" si="112"/>
        <v>#N/A</v>
      </c>
      <c r="AM136" s="59" t="e">
        <f t="shared" si="113"/>
        <v>#N/A</v>
      </c>
      <c r="AN136" s="59" t="e">
        <f ca="1">AVERAGE(OFFSET($AM$3,0,0,'Données projet'!$E$10+1,1))-AVERAGE(OFFSET($H$3,0,0,'Données projet'!$E$10+1,1))</f>
        <v>#N/A</v>
      </c>
      <c r="AO136" s="59" t="e">
        <f t="shared" si="144"/>
        <v>#N/A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 t="e">
        <f>EXP(-LN(2)/35)*AU135+(1-EXP(-LN(2)/35))/(LN(2)/35)*AQ136*AR136*VLOOKUP('Données projet'!$B$10,Paramètres!$A$1:$I$89,3,0)*0.475*44/12</f>
        <v>#N/A</v>
      </c>
      <c r="AV136" s="21" t="e">
        <f>EXP(-LN(2)/25)*AV135+(1-EXP(-LN(2)/25))/(LN(2)/25)*Calculateur!AQ136*Calculateur!AS136*VLOOKUP('Données projet'!$B$10,Paramètres!$A$1:$I$89,3,0)*0.475*44/12</f>
        <v>#N/A</v>
      </c>
      <c r="AW136" s="21" t="e">
        <f>EXP(-LN(2)/2)*AW135+(1-EXP(-LN(2)/2))/(LN(2)/2)*AQ136*AT136*VLOOKUP('Données projet'!$B$10,Paramètres!$A$1:$I$89,3,0)*0.475*44/12</f>
        <v>#N/A</v>
      </c>
      <c r="AX136" s="21" t="e">
        <f t="shared" si="114"/>
        <v>#N/A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3">
        <f>'Scénario référence'!$B$16*5+'Scénario référence'!$B$17*0+'Scénario référence'!$B$18*5</f>
        <v>5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40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67">
        <f t="shared" si="110"/>
        <v>183.33333333333334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2.2737367544323206E-13</v>
      </c>
      <c r="O137" s="13">
        <f>N137*VLOOKUP('Données projet'!$B$9,Paramètres!$A$1:$I$89,3,0)*VLOOKUP('Données projet'!$B$9,Paramètres!$A$1:$I$89,5,0)</f>
        <v>1.3596945791505279E-13</v>
      </c>
      <c r="P137" s="13">
        <f t="shared" si="141"/>
        <v>1.9708830566360721E-12</v>
      </c>
      <c r="Q137" s="20">
        <f t="shared" si="108"/>
        <v>3.669434796176543E-12</v>
      </c>
      <c r="R137" s="59">
        <f t="shared" si="109"/>
        <v>284.54733980470797</v>
      </c>
      <c r="S137" s="59">
        <f ca="1">AVERAGE(OFFSET($R$3,0,0,'Données projet'!$E$9+1,1))-AVERAGE(OFFSET($H$3,0,0,'Données projet'!$E$9+1,1))</f>
        <v>297.34058997955685</v>
      </c>
      <c r="T137" s="59">
        <f t="shared" si="142"/>
        <v>440.06633724144069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10.597184695689053</v>
      </c>
      <c r="AA137" s="21">
        <f>EXP(-LN(2)/25)*AA136+(1-EXP(-LN(2)/25))/(LN(2)/25)*Calculateur!V137*Calculateur!X137*VLOOKUP('Données projet'!$B$9,Paramètres!$A$1:$I$89,3,0)*0.475*44/12</f>
        <v>10.553041522557542</v>
      </c>
      <c r="AB137" s="21">
        <f>EXP(-LN(2)/2)*AB136+(1-EXP(-LN(2)/2))/(LN(2)/2)*V137*Y137*VLOOKUP('Données projet'!$B$9,Paramètres!$A$1:$I$89,3,0)*0.475*44/12</f>
        <v>0</v>
      </c>
      <c r="AC137" s="22">
        <f t="shared" si="111"/>
        <v>21.150226218246594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 t="e">
        <f>AI137*VLOOKUP('Données projet'!$B$10,Paramètres!$A$1:$I$89,3,0)*VLOOKUP('Données projet'!$B$10,Paramètres!$A$1:$I$89,5,0)</f>
        <v>#N/A</v>
      </c>
      <c r="AK137" s="13" t="e">
        <f t="shared" si="143"/>
        <v>#N/A</v>
      </c>
      <c r="AL137" s="20" t="e">
        <f t="shared" si="112"/>
        <v>#N/A</v>
      </c>
      <c r="AM137" s="59" t="e">
        <f t="shared" si="113"/>
        <v>#N/A</v>
      </c>
      <c r="AN137" s="59" t="e">
        <f ca="1">AVERAGE(OFFSET($AM$3,0,0,'Données projet'!$E$10+1,1))-AVERAGE(OFFSET($H$3,0,0,'Données projet'!$E$10+1,1))</f>
        <v>#N/A</v>
      </c>
      <c r="AO137" s="59" t="e">
        <f t="shared" si="144"/>
        <v>#N/A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 t="e">
        <f>EXP(-LN(2)/35)*AU136+(1-EXP(-LN(2)/35))/(LN(2)/35)*AQ137*AR137*VLOOKUP('Données projet'!$B$10,Paramètres!$A$1:$I$89,3,0)*0.475*44/12</f>
        <v>#N/A</v>
      </c>
      <c r="AV137" s="21" t="e">
        <f>EXP(-LN(2)/25)*AV136+(1-EXP(-LN(2)/25))/(LN(2)/25)*Calculateur!AQ137*Calculateur!AS137*VLOOKUP('Données projet'!$B$10,Paramètres!$A$1:$I$89,3,0)*0.475*44/12</f>
        <v>#N/A</v>
      </c>
      <c r="AW137" s="21" t="e">
        <f>EXP(-LN(2)/2)*AW136+(1-EXP(-LN(2)/2))/(LN(2)/2)*AQ137*AT137*VLOOKUP('Données projet'!$B$10,Paramètres!$A$1:$I$89,3,0)*0.475*44/12</f>
        <v>#N/A</v>
      </c>
      <c r="AX137" s="21" t="e">
        <f t="shared" si="114"/>
        <v>#N/A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3">
        <f>'Scénario référence'!$B$16*5+'Scénario référence'!$B$17*0+'Scénario référence'!$B$18*5</f>
        <v>5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40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67">
        <f t="shared" si="110"/>
        <v>183.33333333333334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2.2737367544323206E-13</v>
      </c>
      <c r="O138" s="13">
        <f>N138*VLOOKUP('Données projet'!$B$9,Paramètres!$A$1:$I$89,3,0)*VLOOKUP('Données projet'!$B$9,Paramètres!$A$1:$I$89,5,0)</f>
        <v>1.3596945791505279E-13</v>
      </c>
      <c r="P138" s="13">
        <f t="shared" si="141"/>
        <v>1.9708830566360721E-12</v>
      </c>
      <c r="Q138" s="20">
        <f t="shared" si="108"/>
        <v>3.669434796176543E-12</v>
      </c>
      <c r="R138" s="59">
        <f t="shared" si="109"/>
        <v>284.69975714989084</v>
      </c>
      <c r="S138" s="59">
        <f ca="1">AVERAGE(OFFSET($R$3,0,0,'Données projet'!$E$9+1,1))-AVERAGE(OFFSET($H$3,0,0,'Données projet'!$E$9+1,1))</f>
        <v>297.34058997955685</v>
      </c>
      <c r="T138" s="59">
        <f t="shared" si="142"/>
        <v>440.06633724144069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10.389380367451023</v>
      </c>
      <c r="AA138" s="21">
        <f>EXP(-LN(2)/25)*AA137+(1-EXP(-LN(2)/25))/(LN(2)/25)*Calculateur!V138*Calculateur!X138*VLOOKUP('Données projet'!$B$9,Paramètres!$A$1:$I$89,3,0)*0.475*44/12</f>
        <v>10.264468047162872</v>
      </c>
      <c r="AB138" s="21">
        <f>EXP(-LN(2)/2)*AB137+(1-EXP(-LN(2)/2))/(LN(2)/2)*V138*Y138*VLOOKUP('Données projet'!$B$9,Paramètres!$A$1:$I$89,3,0)*0.475*44/12</f>
        <v>0</v>
      </c>
      <c r="AC138" s="22">
        <f t="shared" si="111"/>
        <v>20.653848414613897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 t="e">
        <f>AI138*VLOOKUP('Données projet'!$B$10,Paramètres!$A$1:$I$89,3,0)*VLOOKUP('Données projet'!$B$10,Paramètres!$A$1:$I$89,5,0)</f>
        <v>#N/A</v>
      </c>
      <c r="AK138" s="13" t="e">
        <f t="shared" si="143"/>
        <v>#N/A</v>
      </c>
      <c r="AL138" s="20" t="e">
        <f t="shared" si="112"/>
        <v>#N/A</v>
      </c>
      <c r="AM138" s="59" t="e">
        <f t="shared" si="113"/>
        <v>#N/A</v>
      </c>
      <c r="AN138" s="59" t="e">
        <f ca="1">AVERAGE(OFFSET($AM$3,0,0,'Données projet'!$E$10+1,1))-AVERAGE(OFFSET($H$3,0,0,'Données projet'!$E$10+1,1))</f>
        <v>#N/A</v>
      </c>
      <c r="AO138" s="59" t="e">
        <f t="shared" si="144"/>
        <v>#N/A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 t="e">
        <f>EXP(-LN(2)/35)*AU137+(1-EXP(-LN(2)/35))/(LN(2)/35)*AQ138*AR138*VLOOKUP('Données projet'!$B$10,Paramètres!$A$1:$I$89,3,0)*0.475*44/12</f>
        <v>#N/A</v>
      </c>
      <c r="AV138" s="21" t="e">
        <f>EXP(-LN(2)/25)*AV137+(1-EXP(-LN(2)/25))/(LN(2)/25)*Calculateur!AQ138*Calculateur!AS138*VLOOKUP('Données projet'!$B$10,Paramètres!$A$1:$I$89,3,0)*0.475*44/12</f>
        <v>#N/A</v>
      </c>
      <c r="AW138" s="21" t="e">
        <f>EXP(-LN(2)/2)*AW137+(1-EXP(-LN(2)/2))/(LN(2)/2)*AQ138*AT138*VLOOKUP('Données projet'!$B$10,Paramètres!$A$1:$I$89,3,0)*0.475*44/12</f>
        <v>#N/A</v>
      </c>
      <c r="AX138" s="21" t="e">
        <f t="shared" si="114"/>
        <v>#N/A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3">
        <f>'Scénario référence'!$B$16*5+'Scénario référence'!$B$17*0+'Scénario référence'!$B$18*5</f>
        <v>5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40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67">
        <f t="shared" si="110"/>
        <v>183.33333333333334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2.2737367544323206E-13</v>
      </c>
      <c r="O139" s="13">
        <f>N139*VLOOKUP('Données projet'!$B$9,Paramètres!$A$1:$I$89,3,0)*VLOOKUP('Données projet'!$B$9,Paramètres!$A$1:$I$89,5,0)</f>
        <v>1.3596945791505279E-13</v>
      </c>
      <c r="P139" s="13">
        <f t="shared" si="141"/>
        <v>1.9708830566360721E-12</v>
      </c>
      <c r="Q139" s="20">
        <f t="shared" si="108"/>
        <v>3.669434796176543E-12</v>
      </c>
      <c r="R139" s="59">
        <f t="shared" si="109"/>
        <v>284.84953039488892</v>
      </c>
      <c r="S139" s="59">
        <f ca="1">AVERAGE(OFFSET($R$3,0,0,'Données projet'!$E$9+1,1))-AVERAGE(OFFSET($H$3,0,0,'Données projet'!$E$9+1,1))</f>
        <v>297.34058997955685</v>
      </c>
      <c r="T139" s="59">
        <f t="shared" si="142"/>
        <v>440.06633724144069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10.185650955341616</v>
      </c>
      <c r="AA139" s="21">
        <f>EXP(-LN(2)/25)*AA138+(1-EXP(-LN(2)/25))/(LN(2)/25)*Calculateur!V139*Calculateur!X139*VLOOKUP('Données projet'!$B$9,Paramètres!$A$1:$I$89,3,0)*0.475*44/12</f>
        <v>9.9837856286282882</v>
      </c>
      <c r="AB139" s="21">
        <f>EXP(-LN(2)/2)*AB138+(1-EXP(-LN(2)/2))/(LN(2)/2)*V139*Y139*VLOOKUP('Données projet'!$B$9,Paramètres!$A$1:$I$89,3,0)*0.475*44/12</f>
        <v>0</v>
      </c>
      <c r="AC139" s="22">
        <f t="shared" si="111"/>
        <v>20.169436583969905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 t="e">
        <f>AI139*VLOOKUP('Données projet'!$B$10,Paramètres!$A$1:$I$89,3,0)*VLOOKUP('Données projet'!$B$10,Paramètres!$A$1:$I$89,5,0)</f>
        <v>#N/A</v>
      </c>
      <c r="AK139" s="13" t="e">
        <f t="shared" si="143"/>
        <v>#N/A</v>
      </c>
      <c r="AL139" s="20" t="e">
        <f t="shared" si="112"/>
        <v>#N/A</v>
      </c>
      <c r="AM139" s="59" t="e">
        <f t="shared" si="113"/>
        <v>#N/A</v>
      </c>
      <c r="AN139" s="59" t="e">
        <f ca="1">AVERAGE(OFFSET($AM$3,0,0,'Données projet'!$E$10+1,1))-AVERAGE(OFFSET($H$3,0,0,'Données projet'!$E$10+1,1))</f>
        <v>#N/A</v>
      </c>
      <c r="AO139" s="59" t="e">
        <f t="shared" si="144"/>
        <v>#N/A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 t="e">
        <f>EXP(-LN(2)/35)*AU138+(1-EXP(-LN(2)/35))/(LN(2)/35)*AQ139*AR139*VLOOKUP('Données projet'!$B$10,Paramètres!$A$1:$I$89,3,0)*0.475*44/12</f>
        <v>#N/A</v>
      </c>
      <c r="AV139" s="21" t="e">
        <f>EXP(-LN(2)/25)*AV138+(1-EXP(-LN(2)/25))/(LN(2)/25)*Calculateur!AQ139*Calculateur!AS139*VLOOKUP('Données projet'!$B$10,Paramètres!$A$1:$I$89,3,0)*0.475*44/12</f>
        <v>#N/A</v>
      </c>
      <c r="AW139" s="21" t="e">
        <f>EXP(-LN(2)/2)*AW138+(1-EXP(-LN(2)/2))/(LN(2)/2)*AQ139*AT139*VLOOKUP('Données projet'!$B$10,Paramètres!$A$1:$I$89,3,0)*0.475*44/12</f>
        <v>#N/A</v>
      </c>
      <c r="AX139" s="21" t="e">
        <f t="shared" si="114"/>
        <v>#N/A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3">
        <f>'Scénario référence'!$B$16*5+'Scénario référence'!$B$17*0+'Scénario référence'!$B$18*5</f>
        <v>5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40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67">
        <f t="shared" si="110"/>
        <v>183.33333333333334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2.2737367544323206E-13</v>
      </c>
      <c r="O140" s="13">
        <f>N140*VLOOKUP('Données projet'!$B$9,Paramètres!$A$1:$I$89,3,0)*VLOOKUP('Données projet'!$B$9,Paramètres!$A$1:$I$89,5,0)</f>
        <v>1.3596945791505279E-13</v>
      </c>
      <c r="P140" s="13">
        <f t="shared" si="141"/>
        <v>1.9708830566360721E-12</v>
      </c>
      <c r="Q140" s="20">
        <f t="shared" si="108"/>
        <v>3.669434796176543E-12</v>
      </c>
      <c r="R140" s="59">
        <f t="shared" si="109"/>
        <v>284.99670540892907</v>
      </c>
      <c r="S140" s="59">
        <f ca="1">AVERAGE(OFFSET($R$3,0,0,'Données projet'!$E$9+1,1))-AVERAGE(OFFSET($H$3,0,0,'Données projet'!$E$9+1,1))</f>
        <v>297.34058997955685</v>
      </c>
      <c r="T140" s="59">
        <f t="shared" si="142"/>
        <v>440.06633724144069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9.9859165527410028</v>
      </c>
      <c r="AA140" s="21">
        <f>EXP(-LN(2)/25)*AA139+(1-EXP(-LN(2)/25))/(LN(2)/25)*Calculateur!V140*Calculateur!X140*VLOOKUP('Données projet'!$B$9,Paramètres!$A$1:$I$89,3,0)*0.475*44/12</f>
        <v>9.71077848558898</v>
      </c>
      <c r="AB140" s="21">
        <f>EXP(-LN(2)/2)*AB139+(1-EXP(-LN(2)/2))/(LN(2)/2)*V140*Y140*VLOOKUP('Données projet'!$B$9,Paramètres!$A$1:$I$89,3,0)*0.475*44/12</f>
        <v>0</v>
      </c>
      <c r="AC140" s="22">
        <f t="shared" si="111"/>
        <v>19.696695038329985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 t="e">
        <f>AI140*VLOOKUP('Données projet'!$B$10,Paramètres!$A$1:$I$89,3,0)*VLOOKUP('Données projet'!$B$10,Paramètres!$A$1:$I$89,5,0)</f>
        <v>#N/A</v>
      </c>
      <c r="AK140" s="13" t="e">
        <f t="shared" si="143"/>
        <v>#N/A</v>
      </c>
      <c r="AL140" s="20" t="e">
        <f t="shared" si="112"/>
        <v>#N/A</v>
      </c>
      <c r="AM140" s="59" t="e">
        <f t="shared" si="113"/>
        <v>#N/A</v>
      </c>
      <c r="AN140" s="59" t="e">
        <f ca="1">AVERAGE(OFFSET($AM$3,0,0,'Données projet'!$E$10+1,1))-AVERAGE(OFFSET($H$3,0,0,'Données projet'!$E$10+1,1))</f>
        <v>#N/A</v>
      </c>
      <c r="AO140" s="59" t="e">
        <f t="shared" si="144"/>
        <v>#N/A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 t="e">
        <f>EXP(-LN(2)/35)*AU139+(1-EXP(-LN(2)/35))/(LN(2)/35)*AQ140*AR140*VLOOKUP('Données projet'!$B$10,Paramètres!$A$1:$I$89,3,0)*0.475*44/12</f>
        <v>#N/A</v>
      </c>
      <c r="AV140" s="21" t="e">
        <f>EXP(-LN(2)/25)*AV139+(1-EXP(-LN(2)/25))/(LN(2)/25)*Calculateur!AQ140*Calculateur!AS140*VLOOKUP('Données projet'!$B$10,Paramètres!$A$1:$I$89,3,0)*0.475*44/12</f>
        <v>#N/A</v>
      </c>
      <c r="AW140" s="21" t="e">
        <f>EXP(-LN(2)/2)*AW139+(1-EXP(-LN(2)/2))/(LN(2)/2)*AQ140*AT140*VLOOKUP('Données projet'!$B$10,Paramètres!$A$1:$I$89,3,0)*0.475*44/12</f>
        <v>#N/A</v>
      </c>
      <c r="AX140" s="21" t="e">
        <f t="shared" si="114"/>
        <v>#N/A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3">
        <f>'Scénario référence'!$B$16*5+'Scénario référence'!$B$17*0+'Scénario référence'!$B$18*5</f>
        <v>5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40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67">
        <f t="shared" si="110"/>
        <v>183.33333333333334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2.2737367544323206E-13</v>
      </c>
      <c r="O141" s="13">
        <f>N141*VLOOKUP('Données projet'!$B$9,Paramètres!$A$1:$I$89,3,0)*VLOOKUP('Données projet'!$B$9,Paramètres!$A$1:$I$89,5,0)</f>
        <v>1.3596945791505279E-13</v>
      </c>
      <c r="P141" s="13">
        <f t="shared" si="141"/>
        <v>1.9708830566360721E-12</v>
      </c>
      <c r="Q141" s="20">
        <f t="shared" si="108"/>
        <v>3.669434796176543E-12</v>
      </c>
      <c r="R141" s="59">
        <f t="shared" si="109"/>
        <v>285.14132726550963</v>
      </c>
      <c r="S141" s="59">
        <f ca="1">AVERAGE(OFFSET($R$3,0,0,'Données projet'!$E$9+1,1))-AVERAGE(OFFSET($H$3,0,0,'Données projet'!$E$9+1,1))</f>
        <v>297.34058997955685</v>
      </c>
      <c r="T141" s="59">
        <f t="shared" si="142"/>
        <v>440.06633724144069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9.7900988199494314</v>
      </c>
      <c r="AA141" s="21">
        <f>EXP(-LN(2)/25)*AA140+(1-EXP(-LN(2)/25))/(LN(2)/25)*Calculateur!V141*Calculateur!X141*VLOOKUP('Données projet'!$B$9,Paramètres!$A$1:$I$89,3,0)*0.475*44/12</f>
        <v>9.4452367372329036</v>
      </c>
      <c r="AB141" s="21">
        <f>EXP(-LN(2)/2)*AB140+(1-EXP(-LN(2)/2))/(LN(2)/2)*V141*Y141*VLOOKUP('Données projet'!$B$9,Paramètres!$A$1:$I$89,3,0)*0.475*44/12</f>
        <v>0</v>
      </c>
      <c r="AC141" s="22">
        <f t="shared" si="111"/>
        <v>19.235335557182335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 t="e">
        <f>AI141*VLOOKUP('Données projet'!$B$10,Paramètres!$A$1:$I$89,3,0)*VLOOKUP('Données projet'!$B$10,Paramètres!$A$1:$I$89,5,0)</f>
        <v>#N/A</v>
      </c>
      <c r="AK141" s="13" t="e">
        <f t="shared" si="143"/>
        <v>#N/A</v>
      </c>
      <c r="AL141" s="20" t="e">
        <f t="shared" si="112"/>
        <v>#N/A</v>
      </c>
      <c r="AM141" s="59" t="e">
        <f t="shared" si="113"/>
        <v>#N/A</v>
      </c>
      <c r="AN141" s="59" t="e">
        <f ca="1">AVERAGE(OFFSET($AM$3,0,0,'Données projet'!$E$10+1,1))-AVERAGE(OFFSET($H$3,0,0,'Données projet'!$E$10+1,1))</f>
        <v>#N/A</v>
      </c>
      <c r="AO141" s="59" t="e">
        <f t="shared" si="144"/>
        <v>#N/A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 t="e">
        <f>EXP(-LN(2)/35)*AU140+(1-EXP(-LN(2)/35))/(LN(2)/35)*AQ141*AR141*VLOOKUP('Données projet'!$B$10,Paramètres!$A$1:$I$89,3,0)*0.475*44/12</f>
        <v>#N/A</v>
      </c>
      <c r="AV141" s="21" t="e">
        <f>EXP(-LN(2)/25)*AV140+(1-EXP(-LN(2)/25))/(LN(2)/25)*Calculateur!AQ141*Calculateur!AS141*VLOOKUP('Données projet'!$B$10,Paramètres!$A$1:$I$89,3,0)*0.475*44/12</f>
        <v>#N/A</v>
      </c>
      <c r="AW141" s="21" t="e">
        <f>EXP(-LN(2)/2)*AW140+(1-EXP(-LN(2)/2))/(LN(2)/2)*AQ141*AT141*VLOOKUP('Données projet'!$B$10,Paramètres!$A$1:$I$89,3,0)*0.475*44/12</f>
        <v>#N/A</v>
      </c>
      <c r="AX141" s="21" t="e">
        <f t="shared" si="114"/>
        <v>#N/A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3">
        <f>'Scénario référence'!$B$16*5+'Scénario référence'!$B$17*0+'Scénario référence'!$B$18*5</f>
        <v>5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40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67">
        <f t="shared" si="110"/>
        <v>183.33333333333334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2.2737367544323206E-13</v>
      </c>
      <c r="O142" s="13">
        <f>N142*VLOOKUP('Données projet'!$B$9,Paramètres!$A$1:$I$89,3,0)*VLOOKUP('Données projet'!$B$9,Paramètres!$A$1:$I$89,5,0)</f>
        <v>1.3596945791505279E-13</v>
      </c>
      <c r="P142" s="13">
        <f t="shared" si="141"/>
        <v>1.9708830566360721E-12</v>
      </c>
      <c r="Q142" s="20">
        <f t="shared" si="108"/>
        <v>3.669434796176543E-12</v>
      </c>
      <c r="R142" s="59">
        <f t="shared" si="109"/>
        <v>285.28344025620459</v>
      </c>
      <c r="S142" s="59">
        <f ca="1">AVERAGE(OFFSET($R$3,0,0,'Données projet'!$E$9+1,1))-AVERAGE(OFFSET($H$3,0,0,'Données projet'!$E$9+1,1))</f>
        <v>297.34058997955685</v>
      </c>
      <c r="T142" s="59">
        <f t="shared" si="142"/>
        <v>440.06633724144069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9.5981209534608798</v>
      </c>
      <c r="AA142" s="21">
        <f>EXP(-LN(2)/25)*AA141+(1-EXP(-LN(2)/25))/(LN(2)/25)*Calculateur!V142*Calculateur!X142*VLOOKUP('Données projet'!$B$9,Paramètres!$A$1:$I$89,3,0)*0.475*44/12</f>
        <v>9.1869562419498578</v>
      </c>
      <c r="AB142" s="21">
        <f>EXP(-LN(2)/2)*AB141+(1-EXP(-LN(2)/2))/(LN(2)/2)*V142*Y142*VLOOKUP('Données projet'!$B$9,Paramètres!$A$1:$I$89,3,0)*0.475*44/12</f>
        <v>0</v>
      </c>
      <c r="AC142" s="22">
        <f t="shared" si="111"/>
        <v>18.785077195410736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 t="e">
        <f>AI142*VLOOKUP('Données projet'!$B$10,Paramètres!$A$1:$I$89,3,0)*VLOOKUP('Données projet'!$B$10,Paramètres!$A$1:$I$89,5,0)</f>
        <v>#N/A</v>
      </c>
      <c r="AK142" s="13" t="e">
        <f t="shared" si="143"/>
        <v>#N/A</v>
      </c>
      <c r="AL142" s="20" t="e">
        <f t="shared" si="112"/>
        <v>#N/A</v>
      </c>
      <c r="AM142" s="59" t="e">
        <f t="shared" si="113"/>
        <v>#N/A</v>
      </c>
      <c r="AN142" s="59" t="e">
        <f ca="1">AVERAGE(OFFSET($AM$3,0,0,'Données projet'!$E$10+1,1))-AVERAGE(OFFSET($H$3,0,0,'Données projet'!$E$10+1,1))</f>
        <v>#N/A</v>
      </c>
      <c r="AO142" s="59" t="e">
        <f t="shared" si="144"/>
        <v>#N/A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 t="e">
        <f>EXP(-LN(2)/35)*AU141+(1-EXP(-LN(2)/35))/(LN(2)/35)*AQ142*AR142*VLOOKUP('Données projet'!$B$10,Paramètres!$A$1:$I$89,3,0)*0.475*44/12</f>
        <v>#N/A</v>
      </c>
      <c r="AV142" s="21" t="e">
        <f>EXP(-LN(2)/25)*AV141+(1-EXP(-LN(2)/25))/(LN(2)/25)*Calculateur!AQ142*Calculateur!AS142*VLOOKUP('Données projet'!$B$10,Paramètres!$A$1:$I$89,3,0)*0.475*44/12</f>
        <v>#N/A</v>
      </c>
      <c r="AW142" s="21" t="e">
        <f>EXP(-LN(2)/2)*AW141+(1-EXP(-LN(2)/2))/(LN(2)/2)*AQ142*AT142*VLOOKUP('Données projet'!$B$10,Paramètres!$A$1:$I$89,3,0)*0.475*44/12</f>
        <v>#N/A</v>
      </c>
      <c r="AX142" s="21" t="e">
        <f t="shared" si="114"/>
        <v>#N/A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3">
        <f>'Scénario référence'!$B$16*5+'Scénario référence'!$B$17*0+'Scénario référence'!$B$18*5</f>
        <v>5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40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67">
        <f t="shared" si="110"/>
        <v>183.33333333333334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2.2737367544323206E-13</v>
      </c>
      <c r="O143" s="13">
        <f>N143*VLOOKUP('Données projet'!$B$9,Paramètres!$A$1:$I$89,3,0)*VLOOKUP('Données projet'!$B$9,Paramètres!$A$1:$I$89,5,0)</f>
        <v>1.3596945791505279E-13</v>
      </c>
      <c r="P143" s="13">
        <f t="shared" si="141"/>
        <v>1.9708830566360721E-12</v>
      </c>
      <c r="Q143" s="20">
        <f t="shared" si="108"/>
        <v>3.669434796176543E-12</v>
      </c>
      <c r="R143" s="59">
        <f t="shared" si="109"/>
        <v>285.42308790422805</v>
      </c>
      <c r="S143" s="59">
        <f ca="1">AVERAGE(OFFSET($R$3,0,0,'Données projet'!$E$9+1,1))-AVERAGE(OFFSET($H$3,0,0,'Données projet'!$E$9+1,1))</f>
        <v>297.34058997955685</v>
      </c>
      <c r="T143" s="59">
        <f t="shared" si="142"/>
        <v>440.06633724144069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9.4099076558392323</v>
      </c>
      <c r="AA143" s="21">
        <f>EXP(-LN(2)/25)*AA142+(1-EXP(-LN(2)/25))/(LN(2)/25)*Calculateur!V143*Calculateur!X143*VLOOKUP('Données projet'!$B$9,Paramètres!$A$1:$I$89,3,0)*0.475*44/12</f>
        <v>8.9357384403927078</v>
      </c>
      <c r="AB143" s="21">
        <f>EXP(-LN(2)/2)*AB142+(1-EXP(-LN(2)/2))/(LN(2)/2)*V143*Y143*VLOOKUP('Données projet'!$B$9,Paramètres!$A$1:$I$89,3,0)*0.475*44/12</f>
        <v>0</v>
      </c>
      <c r="AC143" s="22">
        <f t="shared" si="111"/>
        <v>18.345646096231938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 t="e">
        <f>AI143*VLOOKUP('Données projet'!$B$10,Paramètres!$A$1:$I$89,3,0)*VLOOKUP('Données projet'!$B$10,Paramètres!$A$1:$I$89,5,0)</f>
        <v>#N/A</v>
      </c>
      <c r="AK143" s="13" t="e">
        <f t="shared" si="143"/>
        <v>#N/A</v>
      </c>
      <c r="AL143" s="20" t="e">
        <f t="shared" si="112"/>
        <v>#N/A</v>
      </c>
      <c r="AM143" s="59" t="e">
        <f t="shared" si="113"/>
        <v>#N/A</v>
      </c>
      <c r="AN143" s="59" t="e">
        <f ca="1">AVERAGE(OFFSET($AM$3,0,0,'Données projet'!$E$10+1,1))-AVERAGE(OFFSET($H$3,0,0,'Données projet'!$E$10+1,1))</f>
        <v>#N/A</v>
      </c>
      <c r="AO143" s="59" t="e">
        <f t="shared" si="144"/>
        <v>#N/A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 t="e">
        <f>EXP(-LN(2)/35)*AU142+(1-EXP(-LN(2)/35))/(LN(2)/35)*AQ143*AR143*VLOOKUP('Données projet'!$B$10,Paramètres!$A$1:$I$89,3,0)*0.475*44/12</f>
        <v>#N/A</v>
      </c>
      <c r="AV143" s="21" t="e">
        <f>EXP(-LN(2)/25)*AV142+(1-EXP(-LN(2)/25))/(LN(2)/25)*Calculateur!AQ143*Calculateur!AS143*VLOOKUP('Données projet'!$B$10,Paramètres!$A$1:$I$89,3,0)*0.475*44/12</f>
        <v>#N/A</v>
      </c>
      <c r="AW143" s="21" t="e">
        <f>EXP(-LN(2)/2)*AW142+(1-EXP(-LN(2)/2))/(LN(2)/2)*AQ143*AT143*VLOOKUP('Données projet'!$B$10,Paramètres!$A$1:$I$89,3,0)*0.475*44/12</f>
        <v>#N/A</v>
      </c>
      <c r="AX143" s="21" t="e">
        <f t="shared" si="114"/>
        <v>#N/A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3">
        <f>'Scénario référence'!$B$16*5+'Scénario référence'!$B$17*0+'Scénario référence'!$B$18*5</f>
        <v>5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40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67">
        <f t="shared" si="110"/>
        <v>183.33333333333334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2.2737367544323206E-13</v>
      </c>
      <c r="O144" s="13">
        <f>N144*VLOOKUP('Données projet'!$B$9,Paramètres!$A$1:$I$89,3,0)*VLOOKUP('Données projet'!$B$9,Paramètres!$A$1:$I$89,5,0)</f>
        <v>1.3596945791505279E-13</v>
      </c>
      <c r="P144" s="13">
        <f t="shared" si="141"/>
        <v>1.9708830566360721E-12</v>
      </c>
      <c r="Q144" s="20">
        <f t="shared" si="108"/>
        <v>3.669434796176543E-12</v>
      </c>
      <c r="R144" s="59">
        <f t="shared" si="109"/>
        <v>285.56031297776372</v>
      </c>
      <c r="S144" s="59">
        <f ca="1">AVERAGE(OFFSET($R$3,0,0,'Données projet'!$E$9+1,1))-AVERAGE(OFFSET($H$3,0,0,'Données projet'!$E$9+1,1))</f>
        <v>297.34058997955685</v>
      </c>
      <c r="T144" s="59">
        <f t="shared" si="142"/>
        <v>440.06633724144069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9.2253851061851684</v>
      </c>
      <c r="AA144" s="21">
        <f>EXP(-LN(2)/25)*AA143+(1-EXP(-LN(2)/25))/(LN(2)/25)*Calculateur!V144*Calculateur!X144*VLOOKUP('Données projet'!$B$9,Paramètres!$A$1:$I$89,3,0)*0.475*44/12</f>
        <v>8.6913902028301067</v>
      </c>
      <c r="AB144" s="21">
        <f>EXP(-LN(2)/2)*AB143+(1-EXP(-LN(2)/2))/(LN(2)/2)*V144*Y144*VLOOKUP('Données projet'!$B$9,Paramètres!$A$1:$I$89,3,0)*0.475*44/12</f>
        <v>0</v>
      </c>
      <c r="AC144" s="22">
        <f t="shared" si="111"/>
        <v>17.916775309015275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 t="e">
        <f>AI144*VLOOKUP('Données projet'!$B$10,Paramètres!$A$1:$I$89,3,0)*VLOOKUP('Données projet'!$B$10,Paramètres!$A$1:$I$89,5,0)</f>
        <v>#N/A</v>
      </c>
      <c r="AK144" s="13" t="e">
        <f t="shared" si="143"/>
        <v>#N/A</v>
      </c>
      <c r="AL144" s="20" t="e">
        <f t="shared" si="112"/>
        <v>#N/A</v>
      </c>
      <c r="AM144" s="59" t="e">
        <f t="shared" si="113"/>
        <v>#N/A</v>
      </c>
      <c r="AN144" s="59" t="e">
        <f ca="1">AVERAGE(OFFSET($AM$3,0,0,'Données projet'!$E$10+1,1))-AVERAGE(OFFSET($H$3,0,0,'Données projet'!$E$10+1,1))</f>
        <v>#N/A</v>
      </c>
      <c r="AO144" s="59" t="e">
        <f t="shared" si="144"/>
        <v>#N/A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 t="e">
        <f>EXP(-LN(2)/35)*AU143+(1-EXP(-LN(2)/35))/(LN(2)/35)*AQ144*AR144*VLOOKUP('Données projet'!$B$10,Paramètres!$A$1:$I$89,3,0)*0.475*44/12</f>
        <v>#N/A</v>
      </c>
      <c r="AV144" s="21" t="e">
        <f>EXP(-LN(2)/25)*AV143+(1-EXP(-LN(2)/25))/(LN(2)/25)*Calculateur!AQ144*Calculateur!AS144*VLOOKUP('Données projet'!$B$10,Paramètres!$A$1:$I$89,3,0)*0.475*44/12</f>
        <v>#N/A</v>
      </c>
      <c r="AW144" s="21" t="e">
        <f>EXP(-LN(2)/2)*AW143+(1-EXP(-LN(2)/2))/(LN(2)/2)*AQ144*AT144*VLOOKUP('Données projet'!$B$10,Paramètres!$A$1:$I$89,3,0)*0.475*44/12</f>
        <v>#N/A</v>
      </c>
      <c r="AX144" s="21" t="e">
        <f t="shared" si="114"/>
        <v>#N/A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3">
        <f>'Scénario référence'!$B$16*5+'Scénario référence'!$B$17*0+'Scénario référence'!$B$18*5</f>
        <v>5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40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67">
        <f t="shared" si="110"/>
        <v>183.33333333333334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2.2737367544323206E-13</v>
      </c>
      <c r="O145" s="13">
        <f>N145*VLOOKUP('Données projet'!$B$9,Paramètres!$A$1:$I$89,3,0)*VLOOKUP('Données projet'!$B$9,Paramètres!$A$1:$I$89,5,0)</f>
        <v>1.3596945791505279E-13</v>
      </c>
      <c r="P145" s="13">
        <f t="shared" si="141"/>
        <v>1.9708830566360721E-12</v>
      </c>
      <c r="Q145" s="20">
        <f t="shared" si="108"/>
        <v>3.669434796176543E-12</v>
      </c>
      <c r="R145" s="59">
        <f t="shared" si="109"/>
        <v>285.69515750306277</v>
      </c>
      <c r="S145" s="59">
        <f ca="1">AVERAGE(OFFSET($R$3,0,0,'Données projet'!$E$9+1,1))-AVERAGE(OFFSET($H$3,0,0,'Données projet'!$E$9+1,1))</f>
        <v>297.34058997955685</v>
      </c>
      <c r="T145" s="59">
        <f t="shared" si="142"/>
        <v>440.06633724144069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9.0444809311821786</v>
      </c>
      <c r="AA145" s="21">
        <f>EXP(-LN(2)/25)*AA144+(1-EXP(-LN(2)/25))/(LN(2)/25)*Calculateur!V145*Calculateur!X145*VLOOKUP('Données projet'!$B$9,Paramètres!$A$1:$I$89,3,0)*0.475*44/12</f>
        <v>8.4537236806733702</v>
      </c>
      <c r="AB145" s="21">
        <f>EXP(-LN(2)/2)*AB144+(1-EXP(-LN(2)/2))/(LN(2)/2)*V145*Y145*VLOOKUP('Données projet'!$B$9,Paramètres!$A$1:$I$89,3,0)*0.475*44/12</f>
        <v>0</v>
      </c>
      <c r="AC145" s="22">
        <f t="shared" si="111"/>
        <v>17.498204611855549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 t="e">
        <f>AI145*VLOOKUP('Données projet'!$B$10,Paramètres!$A$1:$I$89,3,0)*VLOOKUP('Données projet'!$B$10,Paramètres!$A$1:$I$89,5,0)</f>
        <v>#N/A</v>
      </c>
      <c r="AK145" s="13" t="e">
        <f t="shared" si="143"/>
        <v>#N/A</v>
      </c>
      <c r="AL145" s="20" t="e">
        <f t="shared" si="112"/>
        <v>#N/A</v>
      </c>
      <c r="AM145" s="59" t="e">
        <f t="shared" si="113"/>
        <v>#N/A</v>
      </c>
      <c r="AN145" s="59" t="e">
        <f ca="1">AVERAGE(OFFSET($AM$3,0,0,'Données projet'!$E$10+1,1))-AVERAGE(OFFSET($H$3,0,0,'Données projet'!$E$10+1,1))</f>
        <v>#N/A</v>
      </c>
      <c r="AO145" s="59" t="e">
        <f t="shared" si="144"/>
        <v>#N/A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 t="e">
        <f>EXP(-LN(2)/35)*AU144+(1-EXP(-LN(2)/35))/(LN(2)/35)*AQ145*AR145*VLOOKUP('Données projet'!$B$10,Paramètres!$A$1:$I$89,3,0)*0.475*44/12</f>
        <v>#N/A</v>
      </c>
      <c r="AV145" s="21" t="e">
        <f>EXP(-LN(2)/25)*AV144+(1-EXP(-LN(2)/25))/(LN(2)/25)*Calculateur!AQ145*Calculateur!AS145*VLOOKUP('Données projet'!$B$10,Paramètres!$A$1:$I$89,3,0)*0.475*44/12</f>
        <v>#N/A</v>
      </c>
      <c r="AW145" s="21" t="e">
        <f>EXP(-LN(2)/2)*AW144+(1-EXP(-LN(2)/2))/(LN(2)/2)*AQ145*AT145*VLOOKUP('Données projet'!$B$10,Paramètres!$A$1:$I$89,3,0)*0.475*44/12</f>
        <v>#N/A</v>
      </c>
      <c r="AX145" s="21" t="e">
        <f t="shared" si="114"/>
        <v>#N/A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3">
        <f>'Scénario référence'!$B$16*5+'Scénario référence'!$B$17*0+'Scénario référence'!$B$18*5</f>
        <v>5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40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67">
        <f t="shared" si="110"/>
        <v>183.33333333333334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2.2737367544323206E-13</v>
      </c>
      <c r="O146" s="13">
        <f>N146*VLOOKUP('Données projet'!$B$9,Paramètres!$A$1:$I$89,3,0)*VLOOKUP('Données projet'!$B$9,Paramètres!$A$1:$I$89,5,0)</f>
        <v>1.3596945791505279E-13</v>
      </c>
      <c r="P146" s="13">
        <f t="shared" si="141"/>
        <v>1.9708830566360721E-12</v>
      </c>
      <c r="Q146" s="20">
        <f t="shared" si="108"/>
        <v>3.669434796176543E-12</v>
      </c>
      <c r="R146" s="59">
        <f t="shared" si="109"/>
        <v>285.82766277731514</v>
      </c>
      <c r="S146" s="59">
        <f ca="1">AVERAGE(OFFSET($R$3,0,0,'Données projet'!$E$9+1,1))-AVERAGE(OFFSET($H$3,0,0,'Données projet'!$E$9+1,1))</f>
        <v>297.34058997955685</v>
      </c>
      <c r="T146" s="59">
        <f t="shared" si="142"/>
        <v>440.06633724144069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8.8671241767103464</v>
      </c>
      <c r="AA146" s="21">
        <f>EXP(-LN(2)/25)*AA145+(1-EXP(-LN(2)/25))/(LN(2)/25)*Calculateur!V146*Calculateur!X146*VLOOKUP('Données projet'!$B$9,Paramètres!$A$1:$I$89,3,0)*0.475*44/12</f>
        <v>8.2225561620633503</v>
      </c>
      <c r="AB146" s="21">
        <f>EXP(-LN(2)/2)*AB145+(1-EXP(-LN(2)/2))/(LN(2)/2)*V146*Y146*VLOOKUP('Données projet'!$B$9,Paramètres!$A$1:$I$89,3,0)*0.475*44/12</f>
        <v>0</v>
      </c>
      <c r="AC146" s="22">
        <f t="shared" si="111"/>
        <v>17.089680338773697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 t="e">
        <f>AI146*VLOOKUP('Données projet'!$B$10,Paramètres!$A$1:$I$89,3,0)*VLOOKUP('Données projet'!$B$10,Paramètres!$A$1:$I$89,5,0)</f>
        <v>#N/A</v>
      </c>
      <c r="AK146" s="13" t="e">
        <f t="shared" si="143"/>
        <v>#N/A</v>
      </c>
      <c r="AL146" s="20" t="e">
        <f t="shared" si="112"/>
        <v>#N/A</v>
      </c>
      <c r="AM146" s="59" t="e">
        <f t="shared" si="113"/>
        <v>#N/A</v>
      </c>
      <c r="AN146" s="59" t="e">
        <f ca="1">AVERAGE(OFFSET($AM$3,0,0,'Données projet'!$E$10+1,1))-AVERAGE(OFFSET($H$3,0,0,'Données projet'!$E$10+1,1))</f>
        <v>#N/A</v>
      </c>
      <c r="AO146" s="59" t="e">
        <f t="shared" si="144"/>
        <v>#N/A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 t="e">
        <f>EXP(-LN(2)/35)*AU145+(1-EXP(-LN(2)/35))/(LN(2)/35)*AQ146*AR146*VLOOKUP('Données projet'!$B$10,Paramètres!$A$1:$I$89,3,0)*0.475*44/12</f>
        <v>#N/A</v>
      </c>
      <c r="AV146" s="21" t="e">
        <f>EXP(-LN(2)/25)*AV145+(1-EXP(-LN(2)/25))/(LN(2)/25)*Calculateur!AQ146*Calculateur!AS146*VLOOKUP('Données projet'!$B$10,Paramètres!$A$1:$I$89,3,0)*0.475*44/12</f>
        <v>#N/A</v>
      </c>
      <c r="AW146" s="21" t="e">
        <f>EXP(-LN(2)/2)*AW145+(1-EXP(-LN(2)/2))/(LN(2)/2)*AQ146*AT146*VLOOKUP('Données projet'!$B$10,Paramètres!$A$1:$I$89,3,0)*0.475*44/12</f>
        <v>#N/A</v>
      </c>
      <c r="AX146" s="21" t="e">
        <f t="shared" si="114"/>
        <v>#N/A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3">
        <f>'Scénario référence'!$B$16*5+'Scénario référence'!$B$17*0+'Scénario référence'!$B$18*5</f>
        <v>5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40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67">
        <f t="shared" si="110"/>
        <v>183.33333333333334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2.2737367544323206E-13</v>
      </c>
      <c r="O147" s="13">
        <f>N147*VLOOKUP('Données projet'!$B$9,Paramètres!$A$1:$I$89,3,0)*VLOOKUP('Données projet'!$B$9,Paramètres!$A$1:$I$89,5,0)</f>
        <v>1.3596945791505279E-13</v>
      </c>
      <c r="P147" s="13">
        <f t="shared" si="141"/>
        <v>1.9708830566360721E-12</v>
      </c>
      <c r="Q147" s="20">
        <f t="shared" si="108"/>
        <v>3.669434796176543E-12</v>
      </c>
      <c r="R147" s="59">
        <f t="shared" si="109"/>
        <v>285.95786938129658</v>
      </c>
      <c r="S147" s="59">
        <f ca="1">AVERAGE(OFFSET($R$3,0,0,'Données projet'!$E$9+1,1))-AVERAGE(OFFSET($H$3,0,0,'Données projet'!$E$9+1,1))</f>
        <v>297.34058997955685</v>
      </c>
      <c r="T147" s="59">
        <f t="shared" si="142"/>
        <v>440.06633724144069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8.6932452800167681</v>
      </c>
      <c r="AA147" s="21">
        <f>EXP(-LN(2)/25)*AA146+(1-EXP(-LN(2)/25))/(LN(2)/25)*Calculateur!V147*Calculateur!X147*VLOOKUP('Données projet'!$B$9,Paramètres!$A$1:$I$89,3,0)*0.475*44/12</f>
        <v>7.997709931406292</v>
      </c>
      <c r="AB147" s="21">
        <f>EXP(-LN(2)/2)*AB146+(1-EXP(-LN(2)/2))/(LN(2)/2)*V147*Y147*VLOOKUP('Données projet'!$B$9,Paramètres!$A$1:$I$89,3,0)*0.475*44/12</f>
        <v>0</v>
      </c>
      <c r="AC147" s="22">
        <f t="shared" si="111"/>
        <v>16.690955211423059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 t="e">
        <f>AI147*VLOOKUP('Données projet'!$B$10,Paramètres!$A$1:$I$89,3,0)*VLOOKUP('Données projet'!$B$10,Paramètres!$A$1:$I$89,5,0)</f>
        <v>#N/A</v>
      </c>
      <c r="AK147" s="13" t="e">
        <f t="shared" si="143"/>
        <v>#N/A</v>
      </c>
      <c r="AL147" s="20" t="e">
        <f t="shared" si="112"/>
        <v>#N/A</v>
      </c>
      <c r="AM147" s="59" t="e">
        <f t="shared" si="113"/>
        <v>#N/A</v>
      </c>
      <c r="AN147" s="59" t="e">
        <f ca="1">AVERAGE(OFFSET($AM$3,0,0,'Données projet'!$E$10+1,1))-AVERAGE(OFFSET($H$3,0,0,'Données projet'!$E$10+1,1))</f>
        <v>#N/A</v>
      </c>
      <c r="AO147" s="59" t="e">
        <f t="shared" si="144"/>
        <v>#N/A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 t="e">
        <f>EXP(-LN(2)/35)*AU146+(1-EXP(-LN(2)/35))/(LN(2)/35)*AQ147*AR147*VLOOKUP('Données projet'!$B$10,Paramètres!$A$1:$I$89,3,0)*0.475*44/12</f>
        <v>#N/A</v>
      </c>
      <c r="AV147" s="21" t="e">
        <f>EXP(-LN(2)/25)*AV146+(1-EXP(-LN(2)/25))/(LN(2)/25)*Calculateur!AQ147*Calculateur!AS147*VLOOKUP('Données projet'!$B$10,Paramètres!$A$1:$I$89,3,0)*0.475*44/12</f>
        <v>#N/A</v>
      </c>
      <c r="AW147" s="21" t="e">
        <f>EXP(-LN(2)/2)*AW146+(1-EXP(-LN(2)/2))/(LN(2)/2)*AQ147*AT147*VLOOKUP('Données projet'!$B$10,Paramètres!$A$1:$I$89,3,0)*0.475*44/12</f>
        <v>#N/A</v>
      </c>
      <c r="AX147" s="21" t="e">
        <f t="shared" si="114"/>
        <v>#N/A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3">
        <f>'Scénario référence'!$B$16*5+'Scénario référence'!$B$17*0+'Scénario référence'!$B$18*5</f>
        <v>5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40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67">
        <f t="shared" si="110"/>
        <v>183.33333333333334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2.2737367544323206E-13</v>
      </c>
      <c r="O148" s="13">
        <f>N148*VLOOKUP('Données projet'!$B$9,Paramètres!$A$1:$I$89,3,0)*VLOOKUP('Données projet'!$B$9,Paramètres!$A$1:$I$89,5,0)</f>
        <v>1.3596945791505279E-13</v>
      </c>
      <c r="P148" s="13">
        <f t="shared" si="141"/>
        <v>1.9708830566360721E-12</v>
      </c>
      <c r="Q148" s="20">
        <f t="shared" si="108"/>
        <v>3.669434796176543E-12</v>
      </c>
      <c r="R148" s="59">
        <f t="shared" si="109"/>
        <v>286.08581719179728</v>
      </c>
      <c r="S148" s="59">
        <f ca="1">AVERAGE(OFFSET($R$3,0,0,'Données projet'!$E$9+1,1))-AVERAGE(OFFSET($H$3,0,0,'Données projet'!$E$9+1,1))</f>
        <v>297.34058997955685</v>
      </c>
      <c r="T148" s="59">
        <f t="shared" si="142"/>
        <v>440.06633724144069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8.5227760424316958</v>
      </c>
      <c r="AA148" s="21">
        <f>EXP(-LN(2)/25)*AA147+(1-EXP(-LN(2)/25))/(LN(2)/25)*Calculateur!V148*Calculateur!X148*VLOOKUP('Données projet'!$B$9,Paramètres!$A$1:$I$89,3,0)*0.475*44/12</f>
        <v>7.7790121327507009</v>
      </c>
      <c r="AB148" s="21">
        <f>EXP(-LN(2)/2)*AB147+(1-EXP(-LN(2)/2))/(LN(2)/2)*V148*Y148*VLOOKUP('Données projet'!$B$9,Paramètres!$A$1:$I$89,3,0)*0.475*44/12</f>
        <v>0</v>
      </c>
      <c r="AC148" s="22">
        <f t="shared" si="111"/>
        <v>16.301788175182395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 t="e">
        <f>AI148*VLOOKUP('Données projet'!$B$10,Paramètres!$A$1:$I$89,3,0)*VLOOKUP('Données projet'!$B$10,Paramètres!$A$1:$I$89,5,0)</f>
        <v>#N/A</v>
      </c>
      <c r="AK148" s="13" t="e">
        <f t="shared" si="143"/>
        <v>#N/A</v>
      </c>
      <c r="AL148" s="20" t="e">
        <f t="shared" si="112"/>
        <v>#N/A</v>
      </c>
      <c r="AM148" s="59" t="e">
        <f t="shared" si="113"/>
        <v>#N/A</v>
      </c>
      <c r="AN148" s="59" t="e">
        <f ca="1">AVERAGE(OFFSET($AM$3,0,0,'Données projet'!$E$10+1,1))-AVERAGE(OFFSET($H$3,0,0,'Données projet'!$E$10+1,1))</f>
        <v>#N/A</v>
      </c>
      <c r="AO148" s="59" t="e">
        <f t="shared" si="144"/>
        <v>#N/A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 t="e">
        <f>EXP(-LN(2)/35)*AU147+(1-EXP(-LN(2)/35))/(LN(2)/35)*AQ148*AR148*VLOOKUP('Données projet'!$B$10,Paramètres!$A$1:$I$89,3,0)*0.475*44/12</f>
        <v>#N/A</v>
      </c>
      <c r="AV148" s="21" t="e">
        <f>EXP(-LN(2)/25)*AV147+(1-EXP(-LN(2)/25))/(LN(2)/25)*Calculateur!AQ148*Calculateur!AS148*VLOOKUP('Données projet'!$B$10,Paramètres!$A$1:$I$89,3,0)*0.475*44/12</f>
        <v>#N/A</v>
      </c>
      <c r="AW148" s="21" t="e">
        <f>EXP(-LN(2)/2)*AW147+(1-EXP(-LN(2)/2))/(LN(2)/2)*AQ148*AT148*VLOOKUP('Données projet'!$B$10,Paramètres!$A$1:$I$89,3,0)*0.475*44/12</f>
        <v>#N/A</v>
      </c>
      <c r="AX148" s="21" t="e">
        <f t="shared" si="114"/>
        <v>#N/A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3">
        <f>'Scénario référence'!$B$16*5+'Scénario référence'!$B$17*0+'Scénario référence'!$B$18*5</f>
        <v>5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40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67">
        <f t="shared" si="110"/>
        <v>183.33333333333334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2.2737367544323206E-13</v>
      </c>
      <c r="O149" s="13">
        <f>N149*VLOOKUP('Données projet'!$B$9,Paramètres!$A$1:$I$89,3,0)*VLOOKUP('Données projet'!$B$9,Paramètres!$A$1:$I$89,5,0)</f>
        <v>1.3596945791505279E-13</v>
      </c>
      <c r="P149" s="13">
        <f t="shared" si="141"/>
        <v>1.9708830566360721E-12</v>
      </c>
      <c r="Q149" s="20">
        <f t="shared" si="108"/>
        <v>3.669434796176543E-12</v>
      </c>
      <c r="R149" s="59">
        <f t="shared" si="109"/>
        <v>286.21154539383434</v>
      </c>
      <c r="S149" s="59">
        <f ca="1">AVERAGE(OFFSET($R$3,0,0,'Données projet'!$E$9+1,1))-AVERAGE(OFFSET($H$3,0,0,'Données projet'!$E$9+1,1))</f>
        <v>297.34058997955685</v>
      </c>
      <c r="T149" s="59">
        <f t="shared" si="142"/>
        <v>440.06633724144069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8.3556496026196996</v>
      </c>
      <c r="AA149" s="21">
        <f>EXP(-LN(2)/25)*AA148+(1-EXP(-LN(2)/25))/(LN(2)/25)*Calculateur!V149*Calculateur!X149*VLOOKUP('Données projet'!$B$9,Paramètres!$A$1:$I$89,3,0)*0.475*44/12</f>
        <v>7.5662946369001638</v>
      </c>
      <c r="AB149" s="21">
        <f>EXP(-LN(2)/2)*AB148+(1-EXP(-LN(2)/2))/(LN(2)/2)*V149*Y149*VLOOKUP('Données projet'!$B$9,Paramètres!$A$1:$I$89,3,0)*0.475*44/12</f>
        <v>0</v>
      </c>
      <c r="AC149" s="22">
        <f t="shared" si="111"/>
        <v>15.921944239519863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 t="e">
        <f>AI149*VLOOKUP('Données projet'!$B$10,Paramètres!$A$1:$I$89,3,0)*VLOOKUP('Données projet'!$B$10,Paramètres!$A$1:$I$89,5,0)</f>
        <v>#N/A</v>
      </c>
      <c r="AK149" s="13" t="e">
        <f t="shared" si="143"/>
        <v>#N/A</v>
      </c>
      <c r="AL149" s="20" t="e">
        <f t="shared" si="112"/>
        <v>#N/A</v>
      </c>
      <c r="AM149" s="59" t="e">
        <f t="shared" si="113"/>
        <v>#N/A</v>
      </c>
      <c r="AN149" s="59" t="e">
        <f ca="1">AVERAGE(OFFSET($AM$3,0,0,'Données projet'!$E$10+1,1))-AVERAGE(OFFSET($H$3,0,0,'Données projet'!$E$10+1,1))</f>
        <v>#N/A</v>
      </c>
      <c r="AO149" s="59" t="e">
        <f t="shared" si="144"/>
        <v>#N/A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 t="e">
        <f>EXP(-LN(2)/35)*AU148+(1-EXP(-LN(2)/35))/(LN(2)/35)*AQ149*AR149*VLOOKUP('Données projet'!$B$10,Paramètres!$A$1:$I$89,3,0)*0.475*44/12</f>
        <v>#N/A</v>
      </c>
      <c r="AV149" s="21" t="e">
        <f>EXP(-LN(2)/25)*AV148+(1-EXP(-LN(2)/25))/(LN(2)/25)*Calculateur!AQ149*Calculateur!AS149*VLOOKUP('Données projet'!$B$10,Paramètres!$A$1:$I$89,3,0)*0.475*44/12</f>
        <v>#N/A</v>
      </c>
      <c r="AW149" s="21" t="e">
        <f>EXP(-LN(2)/2)*AW148+(1-EXP(-LN(2)/2))/(LN(2)/2)*AQ149*AT149*VLOOKUP('Données projet'!$B$10,Paramètres!$A$1:$I$89,3,0)*0.475*44/12</f>
        <v>#N/A</v>
      </c>
      <c r="AX149" s="21" t="e">
        <f t="shared" si="114"/>
        <v>#N/A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3">
        <f>'Scénario référence'!$B$16*5+'Scénario référence'!$B$17*0+'Scénario référence'!$B$18*5</f>
        <v>5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40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67">
        <f t="shared" si="110"/>
        <v>183.33333333333334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2.2737367544323206E-13</v>
      </c>
      <c r="O150" s="13">
        <f>N150*VLOOKUP('Données projet'!$B$9,Paramètres!$A$1:$I$89,3,0)*VLOOKUP('Données projet'!$B$9,Paramètres!$A$1:$I$89,5,0)</f>
        <v>1.3596945791505279E-13</v>
      </c>
      <c r="P150" s="13">
        <f t="shared" si="141"/>
        <v>1.9708830566360721E-12</v>
      </c>
      <c r="Q150" s="20">
        <f t="shared" si="108"/>
        <v>3.669434796176543E-12</v>
      </c>
      <c r="R150" s="59">
        <f t="shared" si="109"/>
        <v>286.33509249265211</v>
      </c>
      <c r="S150" s="59">
        <f ca="1">AVERAGE(OFFSET($R$3,0,0,'Données projet'!$E$9+1,1))-AVERAGE(OFFSET($H$3,0,0,'Données projet'!$E$9+1,1))</f>
        <v>297.34058997955685</v>
      </c>
      <c r="T150" s="59">
        <f t="shared" si="142"/>
        <v>440.06633724144069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8.1918004103553521</v>
      </c>
      <c r="AA150" s="21">
        <f>EXP(-LN(2)/25)*AA149+(1-EXP(-LN(2)/25))/(LN(2)/25)*Calculateur!V150*Calculateur!X150*VLOOKUP('Données projet'!$B$9,Paramètres!$A$1:$I$89,3,0)*0.475*44/12</f>
        <v>7.3593939121599865</v>
      </c>
      <c r="AB150" s="21">
        <f>EXP(-LN(2)/2)*AB149+(1-EXP(-LN(2)/2))/(LN(2)/2)*V150*Y150*VLOOKUP('Données projet'!$B$9,Paramètres!$A$1:$I$89,3,0)*0.475*44/12</f>
        <v>0</v>
      </c>
      <c r="AC150" s="22">
        <f t="shared" si="111"/>
        <v>15.55119432251534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 t="e">
        <f>AI150*VLOOKUP('Données projet'!$B$10,Paramètres!$A$1:$I$89,3,0)*VLOOKUP('Données projet'!$B$10,Paramètres!$A$1:$I$89,5,0)</f>
        <v>#N/A</v>
      </c>
      <c r="AK150" s="13" t="e">
        <f t="shared" si="143"/>
        <v>#N/A</v>
      </c>
      <c r="AL150" s="20" t="e">
        <f t="shared" si="112"/>
        <v>#N/A</v>
      </c>
      <c r="AM150" s="59" t="e">
        <f t="shared" si="113"/>
        <v>#N/A</v>
      </c>
      <c r="AN150" s="59" t="e">
        <f ca="1">AVERAGE(OFFSET($AM$3,0,0,'Données projet'!$E$10+1,1))-AVERAGE(OFFSET($H$3,0,0,'Données projet'!$E$10+1,1))</f>
        <v>#N/A</v>
      </c>
      <c r="AO150" s="59" t="e">
        <f t="shared" si="144"/>
        <v>#N/A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 t="e">
        <f>EXP(-LN(2)/35)*AU149+(1-EXP(-LN(2)/35))/(LN(2)/35)*AQ150*AR150*VLOOKUP('Données projet'!$B$10,Paramètres!$A$1:$I$89,3,0)*0.475*44/12</f>
        <v>#N/A</v>
      </c>
      <c r="AV150" s="21" t="e">
        <f>EXP(-LN(2)/25)*AV149+(1-EXP(-LN(2)/25))/(LN(2)/25)*Calculateur!AQ150*Calculateur!AS150*VLOOKUP('Données projet'!$B$10,Paramètres!$A$1:$I$89,3,0)*0.475*44/12</f>
        <v>#N/A</v>
      </c>
      <c r="AW150" s="21" t="e">
        <f>EXP(-LN(2)/2)*AW149+(1-EXP(-LN(2)/2))/(LN(2)/2)*AQ150*AT150*VLOOKUP('Données projet'!$B$10,Paramètres!$A$1:$I$89,3,0)*0.475*44/12</f>
        <v>#N/A</v>
      </c>
      <c r="AX150" s="21" t="e">
        <f t="shared" si="114"/>
        <v>#N/A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3">
        <f>'Scénario référence'!$B$16*5+'Scénario référence'!$B$17*0+'Scénario référence'!$B$18*5</f>
        <v>5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40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67">
        <f t="shared" si="110"/>
        <v>183.33333333333334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2.2737367544323206E-13</v>
      </c>
      <c r="O151" s="13">
        <f>N151*VLOOKUP('Données projet'!$B$9,Paramètres!$A$1:$I$89,3,0)*VLOOKUP('Données projet'!$B$9,Paramètres!$A$1:$I$89,5,0)</f>
        <v>1.3596945791505279E-13</v>
      </c>
      <c r="P151" s="13">
        <f t="shared" si="141"/>
        <v>1.9708830566360721E-12</v>
      </c>
      <c r="Q151" s="20">
        <f t="shared" si="108"/>
        <v>3.669434796176543E-12</v>
      </c>
      <c r="R151" s="59">
        <f t="shared" si="109"/>
        <v>286.45649632551539</v>
      </c>
      <c r="S151" s="59">
        <f ca="1">AVERAGE(OFFSET($R$3,0,0,'Données projet'!$E$9+1,1))-AVERAGE(OFFSET($H$3,0,0,'Données projet'!$E$9+1,1))</f>
        <v>297.34058997955685</v>
      </c>
      <c r="T151" s="59">
        <f t="shared" si="142"/>
        <v>440.06633724144069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8.031164200813171</v>
      </c>
      <c r="AA151" s="21">
        <f>EXP(-LN(2)/25)*AA150+(1-EXP(-LN(2)/25))/(LN(2)/25)*Calculateur!V151*Calculateur!X151*VLOOKUP('Données projet'!$B$9,Paramètres!$A$1:$I$89,3,0)*0.475*44/12</f>
        <v>7.158150898618266</v>
      </c>
      <c r="AB151" s="21">
        <f>EXP(-LN(2)/2)*AB150+(1-EXP(-LN(2)/2))/(LN(2)/2)*V151*Y151*VLOOKUP('Données projet'!$B$9,Paramètres!$A$1:$I$89,3,0)*0.475*44/12</f>
        <v>0</v>
      </c>
      <c r="AC151" s="22">
        <f t="shared" si="111"/>
        <v>15.189315099431436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 t="e">
        <f>AI151*VLOOKUP('Données projet'!$B$10,Paramètres!$A$1:$I$89,3,0)*VLOOKUP('Données projet'!$B$10,Paramètres!$A$1:$I$89,5,0)</f>
        <v>#N/A</v>
      </c>
      <c r="AK151" s="13" t="e">
        <f t="shared" si="143"/>
        <v>#N/A</v>
      </c>
      <c r="AL151" s="20" t="e">
        <f t="shared" si="112"/>
        <v>#N/A</v>
      </c>
      <c r="AM151" s="59" t="e">
        <f t="shared" si="113"/>
        <v>#N/A</v>
      </c>
      <c r="AN151" s="59" t="e">
        <f ca="1">AVERAGE(OFFSET($AM$3,0,0,'Données projet'!$E$10+1,1))-AVERAGE(OFFSET($H$3,0,0,'Données projet'!$E$10+1,1))</f>
        <v>#N/A</v>
      </c>
      <c r="AO151" s="59" t="e">
        <f t="shared" si="144"/>
        <v>#N/A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 t="e">
        <f>EXP(-LN(2)/35)*AU150+(1-EXP(-LN(2)/35))/(LN(2)/35)*AQ151*AR151*VLOOKUP('Données projet'!$B$10,Paramètres!$A$1:$I$89,3,0)*0.475*44/12</f>
        <v>#N/A</v>
      </c>
      <c r="AV151" s="21" t="e">
        <f>EXP(-LN(2)/25)*AV150+(1-EXP(-LN(2)/25))/(LN(2)/25)*Calculateur!AQ151*Calculateur!AS151*VLOOKUP('Données projet'!$B$10,Paramètres!$A$1:$I$89,3,0)*0.475*44/12</f>
        <v>#N/A</v>
      </c>
      <c r="AW151" s="21" t="e">
        <f>EXP(-LN(2)/2)*AW150+(1-EXP(-LN(2)/2))/(LN(2)/2)*AQ151*AT151*VLOOKUP('Données projet'!$B$10,Paramètres!$A$1:$I$89,3,0)*0.475*44/12</f>
        <v>#N/A</v>
      </c>
      <c r="AX151" s="21" t="e">
        <f t="shared" si="114"/>
        <v>#N/A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3">
        <f>'Scénario référence'!$B$16*5+'Scénario référence'!$B$17*0+'Scénario référence'!$B$18*5</f>
        <v>5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40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67">
        <f t="shared" si="110"/>
        <v>183.33333333333334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2.2737367544323206E-13</v>
      </c>
      <c r="O152" s="13">
        <f>N152*VLOOKUP('Données projet'!$B$9,Paramètres!$A$1:$I$89,3,0)*VLOOKUP('Données projet'!$B$9,Paramètres!$A$1:$I$89,5,0)</f>
        <v>1.3596945791505279E-13</v>
      </c>
      <c r="P152" s="13">
        <f t="shared" si="141"/>
        <v>1.9708830566360721E-12</v>
      </c>
      <c r="Q152" s="20">
        <f t="shared" si="108"/>
        <v>3.669434796176543E-12</v>
      </c>
      <c r="R152" s="59">
        <f t="shared" si="109"/>
        <v>286.57579407329678</v>
      </c>
      <c r="S152" s="59">
        <f ca="1">AVERAGE(OFFSET($R$3,0,0,'Données projet'!$E$9+1,1))-AVERAGE(OFFSET($H$3,0,0,'Données projet'!$E$9+1,1))</f>
        <v>297.34058997955685</v>
      </c>
      <c r="T152" s="59">
        <f t="shared" si="142"/>
        <v>440.06633724144069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7.8736779693616983</v>
      </c>
      <c r="AA152" s="21">
        <f>EXP(-LN(2)/25)*AA151+(1-EXP(-LN(2)/25))/(LN(2)/25)*Calculateur!V152*Calculateur!X152*VLOOKUP('Données projet'!$B$9,Paramètres!$A$1:$I$89,3,0)*0.475*44/12</f>
        <v>6.9624108858647542</v>
      </c>
      <c r="AB152" s="21">
        <f>EXP(-LN(2)/2)*AB151+(1-EXP(-LN(2)/2))/(LN(2)/2)*V152*Y152*VLOOKUP('Données projet'!$B$9,Paramètres!$A$1:$I$89,3,0)*0.475*44/12</f>
        <v>0</v>
      </c>
      <c r="AC152" s="22">
        <f t="shared" si="111"/>
        <v>14.836088855226453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 t="e">
        <f>AI152*VLOOKUP('Données projet'!$B$10,Paramètres!$A$1:$I$89,3,0)*VLOOKUP('Données projet'!$B$10,Paramètres!$A$1:$I$89,5,0)</f>
        <v>#N/A</v>
      </c>
      <c r="AK152" s="13" t="e">
        <f t="shared" si="143"/>
        <v>#N/A</v>
      </c>
      <c r="AL152" s="20" t="e">
        <f t="shared" si="112"/>
        <v>#N/A</v>
      </c>
      <c r="AM152" s="59" t="e">
        <f t="shared" si="113"/>
        <v>#N/A</v>
      </c>
      <c r="AN152" s="59" t="e">
        <f ca="1">AVERAGE(OFFSET($AM$3,0,0,'Données projet'!$E$10+1,1))-AVERAGE(OFFSET($H$3,0,0,'Données projet'!$E$10+1,1))</f>
        <v>#N/A</v>
      </c>
      <c r="AO152" s="59" t="e">
        <f t="shared" si="144"/>
        <v>#N/A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 t="e">
        <f>EXP(-LN(2)/35)*AU151+(1-EXP(-LN(2)/35))/(LN(2)/35)*AQ152*AR152*VLOOKUP('Données projet'!$B$10,Paramètres!$A$1:$I$89,3,0)*0.475*44/12</f>
        <v>#N/A</v>
      </c>
      <c r="AV152" s="21" t="e">
        <f>EXP(-LN(2)/25)*AV151+(1-EXP(-LN(2)/25))/(LN(2)/25)*Calculateur!AQ152*Calculateur!AS152*VLOOKUP('Données projet'!$B$10,Paramètres!$A$1:$I$89,3,0)*0.475*44/12</f>
        <v>#N/A</v>
      </c>
      <c r="AW152" s="21" t="e">
        <f>EXP(-LN(2)/2)*AW151+(1-EXP(-LN(2)/2))/(LN(2)/2)*AQ152*AT152*VLOOKUP('Données projet'!$B$10,Paramètres!$A$1:$I$89,3,0)*0.475*44/12</f>
        <v>#N/A</v>
      </c>
      <c r="AX152" s="21" t="e">
        <f t="shared" si="114"/>
        <v>#N/A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3">
        <f>'Scénario référence'!$B$16*5+'Scénario référence'!$B$17*0+'Scénario référence'!$B$18*5</f>
        <v>5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40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67">
        <f t="shared" si="110"/>
        <v>183.33333333333334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2.2737367544323206E-13</v>
      </c>
      <c r="O153" s="13">
        <f>N153*VLOOKUP('Données projet'!$B$9,Paramètres!$A$1:$I$89,3,0)*VLOOKUP('Données projet'!$B$9,Paramètres!$A$1:$I$89,5,0)</f>
        <v>1.3596945791505279E-13</v>
      </c>
      <c r="P153" s="13">
        <f t="shared" si="141"/>
        <v>1.9708830566360721E-12</v>
      </c>
      <c r="Q153" s="20">
        <f t="shared" si="108"/>
        <v>3.669434796176543E-12</v>
      </c>
      <c r="R153" s="59">
        <f t="shared" si="109"/>
        <v>286.69302227186404</v>
      </c>
      <c r="S153" s="59">
        <f ca="1">AVERAGE(OFFSET($R$3,0,0,'Données projet'!$E$9+1,1))-AVERAGE(OFFSET($H$3,0,0,'Données projet'!$E$9+1,1))</f>
        <v>297.34058997955685</v>
      </c>
      <c r="T153" s="59">
        <f t="shared" si="142"/>
        <v>440.06633724144069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7.7192799468518718</v>
      </c>
      <c r="AA153" s="21">
        <f>EXP(-LN(2)/25)*AA152+(1-EXP(-LN(2)/25))/(LN(2)/25)*Calculateur!V153*Calculateur!X153*VLOOKUP('Données projet'!$B$9,Paramètres!$A$1:$I$89,3,0)*0.475*44/12</f>
        <v>6.7720233940535071</v>
      </c>
      <c r="AB153" s="21">
        <f>EXP(-LN(2)/2)*AB152+(1-EXP(-LN(2)/2))/(LN(2)/2)*V153*Y153*VLOOKUP('Données projet'!$B$9,Paramètres!$A$1:$I$89,3,0)*0.475*44/12</f>
        <v>0</v>
      </c>
      <c r="AC153" s="22">
        <f t="shared" si="111"/>
        <v>14.491303340905379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 t="e">
        <f>AI153*VLOOKUP('Données projet'!$B$10,Paramètres!$A$1:$I$89,3,0)*VLOOKUP('Données projet'!$B$10,Paramètres!$A$1:$I$89,5,0)</f>
        <v>#N/A</v>
      </c>
      <c r="AK153" s="13" t="e">
        <f t="shared" si="143"/>
        <v>#N/A</v>
      </c>
      <c r="AL153" s="20" t="e">
        <f t="shared" si="112"/>
        <v>#N/A</v>
      </c>
      <c r="AM153" s="59" t="e">
        <f t="shared" si="113"/>
        <v>#N/A</v>
      </c>
      <c r="AN153" s="59" t="e">
        <f ca="1">AVERAGE(OFFSET($AM$3,0,0,'Données projet'!$E$10+1,1))-AVERAGE(OFFSET($H$3,0,0,'Données projet'!$E$10+1,1))</f>
        <v>#N/A</v>
      </c>
      <c r="AO153" s="59" t="e">
        <f t="shared" si="144"/>
        <v>#N/A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 t="e">
        <f>EXP(-LN(2)/35)*AU152+(1-EXP(-LN(2)/35))/(LN(2)/35)*AQ153*AR153*VLOOKUP('Données projet'!$B$10,Paramètres!$A$1:$I$89,3,0)*0.475*44/12</f>
        <v>#N/A</v>
      </c>
      <c r="AV153" s="21" t="e">
        <f>EXP(-LN(2)/25)*AV152+(1-EXP(-LN(2)/25))/(LN(2)/25)*Calculateur!AQ153*Calculateur!AS153*VLOOKUP('Données projet'!$B$10,Paramètres!$A$1:$I$89,3,0)*0.475*44/12</f>
        <v>#N/A</v>
      </c>
      <c r="AW153" s="21" t="e">
        <f>EXP(-LN(2)/2)*AW152+(1-EXP(-LN(2)/2))/(LN(2)/2)*AQ153*AT153*VLOOKUP('Données projet'!$B$10,Paramètres!$A$1:$I$89,3,0)*0.475*44/12</f>
        <v>#N/A</v>
      </c>
      <c r="AX153" s="21" t="e">
        <f t="shared" si="114"/>
        <v>#N/A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3">
        <f>'Scénario référence'!$B$16*5+'Scénario référence'!$B$17*0+'Scénario référence'!$B$18*5</f>
        <v>5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40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67">
        <f t="shared" si="110"/>
        <v>183.33333333333334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2.2737367544323206E-13</v>
      </c>
      <c r="O154" s="13">
        <f>N154*VLOOKUP('Données projet'!$B$9,Paramètres!$A$1:$I$89,3,0)*VLOOKUP('Données projet'!$B$9,Paramètres!$A$1:$I$89,5,0)</f>
        <v>1.3596945791505279E-13</v>
      </c>
      <c r="P154" s="13">
        <f t="shared" si="141"/>
        <v>1.9708830566360721E-12</v>
      </c>
      <c r="Q154" s="20">
        <f t="shared" ref="Q154:Q203" si="162">(O154+P154)*0.475*44/12</f>
        <v>3.669434796176543E-12</v>
      </c>
      <c r="R154" s="59">
        <f t="shared" si="109"/>
        <v>286.80821682326905</v>
      </c>
      <c r="S154" s="59">
        <f ca="1">AVERAGE(OFFSET($R$3,0,0,'Données projet'!$E$9+1,1))-AVERAGE(OFFSET($H$3,0,0,'Données projet'!$E$9+1,1))</f>
        <v>297.34058997955685</v>
      </c>
      <c r="T154" s="59">
        <f t="shared" si="142"/>
        <v>440.06633724144069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7.5679095753899688</v>
      </c>
      <c r="AA154" s="21">
        <f>EXP(-LN(2)/25)*AA153+(1-EXP(-LN(2)/25))/(LN(2)/25)*Calculateur!V154*Calculateur!X154*VLOOKUP('Données projet'!$B$9,Paramètres!$A$1:$I$89,3,0)*0.475*44/12</f>
        <v>6.586842058217881</v>
      </c>
      <c r="AB154" s="21">
        <f>EXP(-LN(2)/2)*AB153+(1-EXP(-LN(2)/2))/(LN(2)/2)*V154*Y154*VLOOKUP('Données projet'!$B$9,Paramètres!$A$1:$I$89,3,0)*0.475*44/12</f>
        <v>0</v>
      </c>
      <c r="AC154" s="22">
        <f t="shared" ref="AC154:AC203" si="163">SUM(Z154:AB154)</f>
        <v>14.15475163360785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 t="e">
        <f>AI154*VLOOKUP('Données projet'!$B$10,Paramètres!$A$1:$I$89,3,0)*VLOOKUP('Données projet'!$B$10,Paramètres!$A$1:$I$89,5,0)</f>
        <v>#N/A</v>
      </c>
      <c r="AK154" s="13" t="e">
        <f t="shared" ref="AK154:AK203" si="164">EXP(-1.0587+0.8836*LN(AJ154)+0.284)</f>
        <v>#N/A</v>
      </c>
      <c r="AL154" s="20" t="e">
        <f t="shared" ref="AL154:AL203" si="165">(AJ154+AK154)*0.475*44/12</f>
        <v>#N/A</v>
      </c>
      <c r="AM154" s="59" t="e">
        <f t="shared" si="113"/>
        <v>#N/A</v>
      </c>
      <c r="AN154" s="59" t="e">
        <f ca="1">AVERAGE(OFFSET($AM$3,0,0,'Données projet'!$E$10+1,1))-AVERAGE(OFFSET($H$3,0,0,'Données projet'!$E$10+1,1))</f>
        <v>#N/A</v>
      </c>
      <c r="AO154" s="59" t="e">
        <f t="shared" si="144"/>
        <v>#N/A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 t="e">
        <f>EXP(-LN(2)/35)*AU153+(1-EXP(-LN(2)/35))/(LN(2)/35)*AQ154*AR154*VLOOKUP('Données projet'!$B$10,Paramètres!$A$1:$I$89,3,0)*0.475*44/12</f>
        <v>#N/A</v>
      </c>
      <c r="AV154" s="21" t="e">
        <f>EXP(-LN(2)/25)*AV153+(1-EXP(-LN(2)/25))/(LN(2)/25)*Calculateur!AQ154*Calculateur!AS154*VLOOKUP('Données projet'!$B$10,Paramètres!$A$1:$I$89,3,0)*0.475*44/12</f>
        <v>#N/A</v>
      </c>
      <c r="AW154" s="21" t="e">
        <f>EXP(-LN(2)/2)*AW153+(1-EXP(-LN(2)/2))/(LN(2)/2)*AQ154*AT154*VLOOKUP('Données projet'!$B$10,Paramètres!$A$1:$I$89,3,0)*0.475*44/12</f>
        <v>#N/A</v>
      </c>
      <c r="AX154" s="21" t="e">
        <f t="shared" ref="AX154:AX203" si="166">SUM(AU154:AW154)</f>
        <v>#N/A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3">
        <f>'Scénario référence'!$B$16*5+'Scénario référence'!$B$17*0+'Scénario référence'!$B$18*5</f>
        <v>5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40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67">
        <f t="shared" si="110"/>
        <v>183.33333333333334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2.2737367544323206E-13</v>
      </c>
      <c r="O155" s="13">
        <f>N155*VLOOKUP('Données projet'!$B$9,Paramètres!$A$1:$I$89,3,0)*VLOOKUP('Données projet'!$B$9,Paramètres!$A$1:$I$89,5,0)</f>
        <v>1.3596945791505279E-13</v>
      </c>
      <c r="P155" s="13">
        <f t="shared" si="141"/>
        <v>1.9708830566360721E-12</v>
      </c>
      <c r="Q155" s="20">
        <f t="shared" si="162"/>
        <v>3.669434796176543E-12</v>
      </c>
      <c r="R155" s="59">
        <f t="shared" si="109"/>
        <v>286.92141300674359</v>
      </c>
      <c r="S155" s="59">
        <f ca="1">AVERAGE(OFFSET($R$3,0,0,'Données projet'!$E$9+1,1))-AVERAGE(OFFSET($H$3,0,0,'Données projet'!$E$9+1,1))</f>
        <v>297.34058997955685</v>
      </c>
      <c r="T155" s="59">
        <f t="shared" si="142"/>
        <v>440.06633724144069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7.4195074845856235</v>
      </c>
      <c r="AA155" s="21">
        <f>EXP(-LN(2)/25)*AA154+(1-EXP(-LN(2)/25))/(LN(2)/25)*Calculateur!V155*Calculateur!X155*VLOOKUP('Données projet'!$B$9,Paramètres!$A$1:$I$89,3,0)*0.475*44/12</f>
        <v>6.4067245157489436</v>
      </c>
      <c r="AB155" s="21">
        <f>EXP(-LN(2)/2)*AB154+(1-EXP(-LN(2)/2))/(LN(2)/2)*V155*Y155*VLOOKUP('Données projet'!$B$9,Paramètres!$A$1:$I$89,3,0)*0.475*44/12</f>
        <v>0</v>
      </c>
      <c r="AC155" s="22">
        <f t="shared" si="163"/>
        <v>13.826232000334567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 t="e">
        <f>AI155*VLOOKUP('Données projet'!$B$10,Paramètres!$A$1:$I$89,3,0)*VLOOKUP('Données projet'!$B$10,Paramètres!$A$1:$I$89,5,0)</f>
        <v>#N/A</v>
      </c>
      <c r="AK155" s="13" t="e">
        <f t="shared" si="164"/>
        <v>#N/A</v>
      </c>
      <c r="AL155" s="20" t="e">
        <f t="shared" si="165"/>
        <v>#N/A</v>
      </c>
      <c r="AM155" s="59" t="e">
        <f t="shared" si="113"/>
        <v>#N/A</v>
      </c>
      <c r="AN155" s="59" t="e">
        <f ca="1">AVERAGE(OFFSET($AM$3,0,0,'Données projet'!$E$10+1,1))-AVERAGE(OFFSET($H$3,0,0,'Données projet'!$E$10+1,1))</f>
        <v>#N/A</v>
      </c>
      <c r="AO155" s="59" t="e">
        <f t="shared" si="144"/>
        <v>#N/A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 t="e">
        <f>EXP(-LN(2)/35)*AU154+(1-EXP(-LN(2)/35))/(LN(2)/35)*AQ155*AR155*VLOOKUP('Données projet'!$B$10,Paramètres!$A$1:$I$89,3,0)*0.475*44/12</f>
        <v>#N/A</v>
      </c>
      <c r="AV155" s="21" t="e">
        <f>EXP(-LN(2)/25)*AV154+(1-EXP(-LN(2)/25))/(LN(2)/25)*Calculateur!AQ155*Calculateur!AS155*VLOOKUP('Données projet'!$B$10,Paramètres!$A$1:$I$89,3,0)*0.475*44/12</f>
        <v>#N/A</v>
      </c>
      <c r="AW155" s="21" t="e">
        <f>EXP(-LN(2)/2)*AW154+(1-EXP(-LN(2)/2))/(LN(2)/2)*AQ155*AT155*VLOOKUP('Données projet'!$B$10,Paramètres!$A$1:$I$89,3,0)*0.475*44/12</f>
        <v>#N/A</v>
      </c>
      <c r="AX155" s="21" t="e">
        <f t="shared" si="166"/>
        <v>#N/A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3">
        <f>'Scénario référence'!$B$16*5+'Scénario référence'!$B$17*0+'Scénario référence'!$B$18*5</f>
        <v>5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40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67">
        <f t="shared" si="110"/>
        <v>183.33333333333334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2.2737367544323206E-13</v>
      </c>
      <c r="O156" s="13">
        <f>N156*VLOOKUP('Données projet'!$B$9,Paramètres!$A$1:$I$89,3,0)*VLOOKUP('Données projet'!$B$9,Paramètres!$A$1:$I$89,5,0)</f>
        <v>1.3596945791505279E-13</v>
      </c>
      <c r="P156" s="13">
        <f t="shared" si="141"/>
        <v>1.9708830566360721E-12</v>
      </c>
      <c r="Q156" s="20">
        <f t="shared" si="162"/>
        <v>3.669434796176543E-12</v>
      </c>
      <c r="R156" s="59">
        <f t="shared" si="109"/>
        <v>287.03264548950369</v>
      </c>
      <c r="S156" s="59">
        <f ca="1">AVERAGE(OFFSET($R$3,0,0,'Données projet'!$E$9+1,1))-AVERAGE(OFFSET($H$3,0,0,'Données projet'!$E$9+1,1))</f>
        <v>297.34058997955685</v>
      </c>
      <c r="T156" s="59">
        <f t="shared" si="142"/>
        <v>440.06633724144069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7.2740154682656133</v>
      </c>
      <c r="AA156" s="21">
        <f>EXP(-LN(2)/25)*AA155+(1-EXP(-LN(2)/25))/(LN(2)/25)*Calculateur!V156*Calculateur!X156*VLOOKUP('Données projet'!$B$9,Paramètres!$A$1:$I$89,3,0)*0.475*44/12</f>
        <v>6.2315322969507889</v>
      </c>
      <c r="AB156" s="21">
        <f>EXP(-LN(2)/2)*AB155+(1-EXP(-LN(2)/2))/(LN(2)/2)*V156*Y156*VLOOKUP('Données projet'!$B$9,Paramètres!$A$1:$I$89,3,0)*0.475*44/12</f>
        <v>0</v>
      </c>
      <c r="AC156" s="22">
        <f t="shared" si="163"/>
        <v>13.505547765216402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 t="e">
        <f>AI156*VLOOKUP('Données projet'!$B$10,Paramètres!$A$1:$I$89,3,0)*VLOOKUP('Données projet'!$B$10,Paramètres!$A$1:$I$89,5,0)</f>
        <v>#N/A</v>
      </c>
      <c r="AK156" s="13" t="e">
        <f t="shared" si="164"/>
        <v>#N/A</v>
      </c>
      <c r="AL156" s="20" t="e">
        <f t="shared" si="165"/>
        <v>#N/A</v>
      </c>
      <c r="AM156" s="59" t="e">
        <f t="shared" si="113"/>
        <v>#N/A</v>
      </c>
      <c r="AN156" s="59" t="e">
        <f ca="1">AVERAGE(OFFSET($AM$3,0,0,'Données projet'!$E$10+1,1))-AVERAGE(OFFSET($H$3,0,0,'Données projet'!$E$10+1,1))</f>
        <v>#N/A</v>
      </c>
      <c r="AO156" s="59" t="e">
        <f t="shared" si="144"/>
        <v>#N/A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 t="e">
        <f>EXP(-LN(2)/35)*AU155+(1-EXP(-LN(2)/35))/(LN(2)/35)*AQ156*AR156*VLOOKUP('Données projet'!$B$10,Paramètres!$A$1:$I$89,3,0)*0.475*44/12</f>
        <v>#N/A</v>
      </c>
      <c r="AV156" s="21" t="e">
        <f>EXP(-LN(2)/25)*AV155+(1-EXP(-LN(2)/25))/(LN(2)/25)*Calculateur!AQ156*Calculateur!AS156*VLOOKUP('Données projet'!$B$10,Paramètres!$A$1:$I$89,3,0)*0.475*44/12</f>
        <v>#N/A</v>
      </c>
      <c r="AW156" s="21" t="e">
        <f>EXP(-LN(2)/2)*AW155+(1-EXP(-LN(2)/2))/(LN(2)/2)*AQ156*AT156*VLOOKUP('Données projet'!$B$10,Paramètres!$A$1:$I$89,3,0)*0.475*44/12</f>
        <v>#N/A</v>
      </c>
      <c r="AX156" s="21" t="e">
        <f t="shared" si="166"/>
        <v>#N/A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3">
        <f>'Scénario référence'!$B$16*5+'Scénario référence'!$B$17*0+'Scénario référence'!$B$18*5</f>
        <v>5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40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67">
        <f t="shared" si="110"/>
        <v>183.33333333333334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2.2737367544323206E-13</v>
      </c>
      <c r="O157" s="13">
        <f>N157*VLOOKUP('Données projet'!$B$9,Paramètres!$A$1:$I$89,3,0)*VLOOKUP('Données projet'!$B$9,Paramètres!$A$1:$I$89,5,0)</f>
        <v>1.3596945791505279E-13</v>
      </c>
      <c r="P157" s="13">
        <f t="shared" si="141"/>
        <v>1.9708830566360721E-12</v>
      </c>
      <c r="Q157" s="20">
        <f t="shared" si="162"/>
        <v>3.669434796176543E-12</v>
      </c>
      <c r="R157" s="59">
        <f t="shared" si="109"/>
        <v>287.14194833736644</v>
      </c>
      <c r="S157" s="59">
        <f ca="1">AVERAGE(OFFSET($R$3,0,0,'Données projet'!$E$9+1,1))-AVERAGE(OFFSET($H$3,0,0,'Données projet'!$E$9+1,1))</f>
        <v>297.34058997955685</v>
      </c>
      <c r="T157" s="59">
        <f t="shared" si="142"/>
        <v>440.06633724144069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7.1313764616442716</v>
      </c>
      <c r="AA157" s="21">
        <f>EXP(-LN(2)/25)*AA156+(1-EXP(-LN(2)/25))/(LN(2)/25)*Calculateur!V157*Calculateur!X157*VLOOKUP('Données projet'!$B$9,Paramètres!$A$1:$I$89,3,0)*0.475*44/12</f>
        <v>6.0611307185886281</v>
      </c>
      <c r="AB157" s="21">
        <f>EXP(-LN(2)/2)*AB156+(1-EXP(-LN(2)/2))/(LN(2)/2)*V157*Y157*VLOOKUP('Données projet'!$B$9,Paramètres!$A$1:$I$89,3,0)*0.475*44/12</f>
        <v>0</v>
      </c>
      <c r="AC157" s="22">
        <f t="shared" si="163"/>
        <v>13.1925071802329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 t="e">
        <f>AI157*VLOOKUP('Données projet'!$B$10,Paramètres!$A$1:$I$89,3,0)*VLOOKUP('Données projet'!$B$10,Paramètres!$A$1:$I$89,5,0)</f>
        <v>#N/A</v>
      </c>
      <c r="AK157" s="13" t="e">
        <f t="shared" si="164"/>
        <v>#N/A</v>
      </c>
      <c r="AL157" s="20" t="e">
        <f t="shared" si="165"/>
        <v>#N/A</v>
      </c>
      <c r="AM157" s="59" t="e">
        <f t="shared" si="113"/>
        <v>#N/A</v>
      </c>
      <c r="AN157" s="59" t="e">
        <f ca="1">AVERAGE(OFFSET($AM$3,0,0,'Données projet'!$E$10+1,1))-AVERAGE(OFFSET($H$3,0,0,'Données projet'!$E$10+1,1))</f>
        <v>#N/A</v>
      </c>
      <c r="AO157" s="59" t="e">
        <f t="shared" si="144"/>
        <v>#N/A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 t="e">
        <f>EXP(-LN(2)/35)*AU156+(1-EXP(-LN(2)/35))/(LN(2)/35)*AQ157*AR157*VLOOKUP('Données projet'!$B$10,Paramètres!$A$1:$I$89,3,0)*0.475*44/12</f>
        <v>#N/A</v>
      </c>
      <c r="AV157" s="21" t="e">
        <f>EXP(-LN(2)/25)*AV156+(1-EXP(-LN(2)/25))/(LN(2)/25)*Calculateur!AQ157*Calculateur!AS157*VLOOKUP('Données projet'!$B$10,Paramètres!$A$1:$I$89,3,0)*0.475*44/12</f>
        <v>#N/A</v>
      </c>
      <c r="AW157" s="21" t="e">
        <f>EXP(-LN(2)/2)*AW156+(1-EXP(-LN(2)/2))/(LN(2)/2)*AQ157*AT157*VLOOKUP('Données projet'!$B$10,Paramètres!$A$1:$I$89,3,0)*0.475*44/12</f>
        <v>#N/A</v>
      </c>
      <c r="AX157" s="21" t="e">
        <f t="shared" si="166"/>
        <v>#N/A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3">
        <f>'Scénario référence'!$B$16*5+'Scénario référence'!$B$17*0+'Scénario référence'!$B$18*5</f>
        <v>5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40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67">
        <f t="shared" si="110"/>
        <v>183.33333333333334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2.2737367544323206E-13</v>
      </c>
      <c r="O158" s="13">
        <f>N158*VLOOKUP('Données projet'!$B$9,Paramètres!$A$1:$I$89,3,0)*VLOOKUP('Données projet'!$B$9,Paramètres!$A$1:$I$89,5,0)</f>
        <v>1.3596945791505279E-13</v>
      </c>
      <c r="P158" s="13">
        <f t="shared" si="141"/>
        <v>1.9708830566360721E-12</v>
      </c>
      <c r="Q158" s="20">
        <f t="shared" si="162"/>
        <v>3.669434796176543E-12</v>
      </c>
      <c r="R158" s="59">
        <f t="shared" si="109"/>
        <v>287.24935502518338</v>
      </c>
      <c r="S158" s="59">
        <f ca="1">AVERAGE(OFFSET($R$3,0,0,'Données projet'!$E$9+1,1))-AVERAGE(OFFSET($H$3,0,0,'Données projet'!$E$9+1,1))</f>
        <v>297.34058997955685</v>
      </c>
      <c r="T158" s="59">
        <f t="shared" si="142"/>
        <v>440.06633724144069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6.9915345189415712</v>
      </c>
      <c r="AA158" s="21">
        <f>EXP(-LN(2)/25)*AA157+(1-EXP(-LN(2)/25))/(LN(2)/25)*Calculateur!V158*Calculateur!X158*VLOOKUP('Données projet'!$B$9,Paramètres!$A$1:$I$89,3,0)*0.475*44/12</f>
        <v>5.89538878034781</v>
      </c>
      <c r="AB158" s="21">
        <f>EXP(-LN(2)/2)*AB157+(1-EXP(-LN(2)/2))/(LN(2)/2)*V158*Y158*VLOOKUP('Données projet'!$B$9,Paramètres!$A$1:$I$89,3,0)*0.475*44/12</f>
        <v>0</v>
      </c>
      <c r="AC158" s="22">
        <f t="shared" si="163"/>
        <v>12.886923299289382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 t="e">
        <f>AI158*VLOOKUP('Données projet'!$B$10,Paramètres!$A$1:$I$89,3,0)*VLOOKUP('Données projet'!$B$10,Paramètres!$A$1:$I$89,5,0)</f>
        <v>#N/A</v>
      </c>
      <c r="AK158" s="13" t="e">
        <f t="shared" si="164"/>
        <v>#N/A</v>
      </c>
      <c r="AL158" s="20" t="e">
        <f t="shared" si="165"/>
        <v>#N/A</v>
      </c>
      <c r="AM158" s="59" t="e">
        <f t="shared" si="113"/>
        <v>#N/A</v>
      </c>
      <c r="AN158" s="59" t="e">
        <f ca="1">AVERAGE(OFFSET($AM$3,0,0,'Données projet'!$E$10+1,1))-AVERAGE(OFFSET($H$3,0,0,'Données projet'!$E$10+1,1))</f>
        <v>#N/A</v>
      </c>
      <c r="AO158" s="59" t="e">
        <f t="shared" si="144"/>
        <v>#N/A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 t="e">
        <f>EXP(-LN(2)/35)*AU157+(1-EXP(-LN(2)/35))/(LN(2)/35)*AQ158*AR158*VLOOKUP('Données projet'!$B$10,Paramètres!$A$1:$I$89,3,0)*0.475*44/12</f>
        <v>#N/A</v>
      </c>
      <c r="AV158" s="21" t="e">
        <f>EXP(-LN(2)/25)*AV157+(1-EXP(-LN(2)/25))/(LN(2)/25)*Calculateur!AQ158*Calculateur!AS158*VLOOKUP('Données projet'!$B$10,Paramètres!$A$1:$I$89,3,0)*0.475*44/12</f>
        <v>#N/A</v>
      </c>
      <c r="AW158" s="21" t="e">
        <f>EXP(-LN(2)/2)*AW157+(1-EXP(-LN(2)/2))/(LN(2)/2)*AQ158*AT158*VLOOKUP('Données projet'!$B$10,Paramètres!$A$1:$I$89,3,0)*0.475*44/12</f>
        <v>#N/A</v>
      </c>
      <c r="AX158" s="21" t="e">
        <f t="shared" si="166"/>
        <v>#N/A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3">
        <f>'Scénario référence'!$B$16*5+'Scénario référence'!$B$17*0+'Scénario référence'!$B$18*5</f>
        <v>5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40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67">
        <f t="shared" si="110"/>
        <v>183.33333333333334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2.2737367544323206E-13</v>
      </c>
      <c r="O159" s="13">
        <f>N159*VLOOKUP('Données projet'!$B$9,Paramètres!$A$1:$I$89,3,0)*VLOOKUP('Données projet'!$B$9,Paramètres!$A$1:$I$89,5,0)</f>
        <v>1.3596945791505279E-13</v>
      </c>
      <c r="P159" s="13">
        <f t="shared" si="141"/>
        <v>1.9708830566360721E-12</v>
      </c>
      <c r="Q159" s="20">
        <f t="shared" si="162"/>
        <v>3.669434796176543E-12</v>
      </c>
      <c r="R159" s="59">
        <f t="shared" si="109"/>
        <v>287.35489844709201</v>
      </c>
      <c r="S159" s="59">
        <f ca="1">AVERAGE(OFFSET($R$3,0,0,'Données projet'!$E$9+1,1))-AVERAGE(OFFSET($H$3,0,0,'Données projet'!$E$9+1,1))</f>
        <v>297.34058997955685</v>
      </c>
      <c r="T159" s="59">
        <f t="shared" si="142"/>
        <v>440.06633724144069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6.8544347914401076</v>
      </c>
      <c r="AA159" s="21">
        <f>EXP(-LN(2)/25)*AA158+(1-EXP(-LN(2)/25))/(LN(2)/25)*Calculateur!V159*Calculateur!X159*VLOOKUP('Données projet'!$B$9,Paramètres!$A$1:$I$89,3,0)*0.475*44/12</f>
        <v>5.7341790641241772</v>
      </c>
      <c r="AB159" s="21">
        <f>EXP(-LN(2)/2)*AB158+(1-EXP(-LN(2)/2))/(LN(2)/2)*V159*Y159*VLOOKUP('Données projet'!$B$9,Paramètres!$A$1:$I$89,3,0)*0.475*44/12</f>
        <v>0</v>
      </c>
      <c r="AC159" s="22">
        <f t="shared" si="163"/>
        <v>12.588613855564285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 t="e">
        <f>AI159*VLOOKUP('Données projet'!$B$10,Paramètres!$A$1:$I$89,3,0)*VLOOKUP('Données projet'!$B$10,Paramètres!$A$1:$I$89,5,0)</f>
        <v>#N/A</v>
      </c>
      <c r="AK159" s="13" t="e">
        <f t="shared" si="164"/>
        <v>#N/A</v>
      </c>
      <c r="AL159" s="20" t="e">
        <f t="shared" si="165"/>
        <v>#N/A</v>
      </c>
      <c r="AM159" s="59" t="e">
        <f t="shared" si="113"/>
        <v>#N/A</v>
      </c>
      <c r="AN159" s="59" t="e">
        <f ca="1">AVERAGE(OFFSET($AM$3,0,0,'Données projet'!$E$10+1,1))-AVERAGE(OFFSET($H$3,0,0,'Données projet'!$E$10+1,1))</f>
        <v>#N/A</v>
      </c>
      <c r="AO159" s="59" t="e">
        <f t="shared" si="144"/>
        <v>#N/A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 t="e">
        <f>EXP(-LN(2)/35)*AU158+(1-EXP(-LN(2)/35))/(LN(2)/35)*AQ159*AR159*VLOOKUP('Données projet'!$B$10,Paramètres!$A$1:$I$89,3,0)*0.475*44/12</f>
        <v>#N/A</v>
      </c>
      <c r="AV159" s="21" t="e">
        <f>EXP(-LN(2)/25)*AV158+(1-EXP(-LN(2)/25))/(LN(2)/25)*Calculateur!AQ159*Calculateur!AS159*VLOOKUP('Données projet'!$B$10,Paramètres!$A$1:$I$89,3,0)*0.475*44/12</f>
        <v>#N/A</v>
      </c>
      <c r="AW159" s="21" t="e">
        <f>EXP(-LN(2)/2)*AW158+(1-EXP(-LN(2)/2))/(LN(2)/2)*AQ159*AT159*VLOOKUP('Données projet'!$B$10,Paramètres!$A$1:$I$89,3,0)*0.475*44/12</f>
        <v>#N/A</v>
      </c>
      <c r="AX159" s="21" t="e">
        <f t="shared" si="166"/>
        <v>#N/A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3">
        <f>'Scénario référence'!$B$16*5+'Scénario référence'!$B$17*0+'Scénario référence'!$B$18*5</f>
        <v>5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40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67">
        <f t="shared" si="110"/>
        <v>183.33333333333334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2.2737367544323206E-13</v>
      </c>
      <c r="O160" s="13">
        <f>N160*VLOOKUP('Données projet'!$B$9,Paramètres!$A$1:$I$89,3,0)*VLOOKUP('Données projet'!$B$9,Paramètres!$A$1:$I$89,5,0)</f>
        <v>1.3596945791505279E-13</v>
      </c>
      <c r="P160" s="13">
        <f t="shared" si="141"/>
        <v>1.9708830566360721E-12</v>
      </c>
      <c r="Q160" s="20">
        <f t="shared" si="162"/>
        <v>3.669434796176543E-12</v>
      </c>
      <c r="R160" s="59">
        <f t="shared" si="109"/>
        <v>287.45861092659027</v>
      </c>
      <c r="S160" s="59">
        <f ca="1">AVERAGE(OFFSET($R$3,0,0,'Données projet'!$E$9+1,1))-AVERAGE(OFFSET($H$3,0,0,'Données projet'!$E$9+1,1))</f>
        <v>297.34058997955685</v>
      </c>
      <c r="T160" s="59">
        <f t="shared" si="142"/>
        <v>440.06633724144069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6.720023505972371</v>
      </c>
      <c r="AA160" s="21">
        <f>EXP(-LN(2)/25)*AA159+(1-EXP(-LN(2)/25))/(LN(2)/25)*Calculateur!V160*Calculateur!X160*VLOOKUP('Données projet'!$B$9,Paramètres!$A$1:$I$89,3,0)*0.475*44/12</f>
        <v>5.5773776360683298</v>
      </c>
      <c r="AB160" s="21">
        <f>EXP(-LN(2)/2)*AB159+(1-EXP(-LN(2)/2))/(LN(2)/2)*V160*Y160*VLOOKUP('Données projet'!$B$9,Paramètres!$A$1:$I$89,3,0)*0.475*44/12</f>
        <v>0</v>
      </c>
      <c r="AC160" s="22">
        <f t="shared" si="163"/>
        <v>12.297401142040702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 t="e">
        <f>AI160*VLOOKUP('Données projet'!$B$10,Paramètres!$A$1:$I$89,3,0)*VLOOKUP('Données projet'!$B$10,Paramètres!$A$1:$I$89,5,0)</f>
        <v>#N/A</v>
      </c>
      <c r="AK160" s="13" t="e">
        <f t="shared" si="164"/>
        <v>#N/A</v>
      </c>
      <c r="AL160" s="20" t="e">
        <f t="shared" si="165"/>
        <v>#N/A</v>
      </c>
      <c r="AM160" s="59" t="e">
        <f t="shared" si="113"/>
        <v>#N/A</v>
      </c>
      <c r="AN160" s="59" t="e">
        <f ca="1">AVERAGE(OFFSET($AM$3,0,0,'Données projet'!$E$10+1,1))-AVERAGE(OFFSET($H$3,0,0,'Données projet'!$E$10+1,1))</f>
        <v>#N/A</v>
      </c>
      <c r="AO160" s="59" t="e">
        <f t="shared" si="144"/>
        <v>#N/A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 t="e">
        <f>EXP(-LN(2)/35)*AU159+(1-EXP(-LN(2)/35))/(LN(2)/35)*AQ160*AR160*VLOOKUP('Données projet'!$B$10,Paramètres!$A$1:$I$89,3,0)*0.475*44/12</f>
        <v>#N/A</v>
      </c>
      <c r="AV160" s="21" t="e">
        <f>EXP(-LN(2)/25)*AV159+(1-EXP(-LN(2)/25))/(LN(2)/25)*Calculateur!AQ160*Calculateur!AS160*VLOOKUP('Données projet'!$B$10,Paramètres!$A$1:$I$89,3,0)*0.475*44/12</f>
        <v>#N/A</v>
      </c>
      <c r="AW160" s="21" t="e">
        <f>EXP(-LN(2)/2)*AW159+(1-EXP(-LN(2)/2))/(LN(2)/2)*AQ160*AT160*VLOOKUP('Données projet'!$B$10,Paramètres!$A$1:$I$89,3,0)*0.475*44/12</f>
        <v>#N/A</v>
      </c>
      <c r="AX160" s="21" t="e">
        <f t="shared" si="166"/>
        <v>#N/A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3">
        <f>'Scénario référence'!$B$16*5+'Scénario référence'!$B$17*0+'Scénario référence'!$B$18*5</f>
        <v>5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40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67">
        <f t="shared" si="110"/>
        <v>183.33333333333334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2.2737367544323206E-13</v>
      </c>
      <c r="O161" s="13">
        <f>N161*VLOOKUP('Données projet'!$B$9,Paramètres!$A$1:$I$89,3,0)*VLOOKUP('Données projet'!$B$9,Paramètres!$A$1:$I$89,5,0)</f>
        <v>1.3596945791505279E-13</v>
      </c>
      <c r="P161" s="13">
        <f t="shared" si="141"/>
        <v>1.9708830566360721E-12</v>
      </c>
      <c r="Q161" s="20">
        <f t="shared" si="162"/>
        <v>3.669434796176543E-12</v>
      </c>
      <c r="R161" s="59">
        <f t="shared" si="109"/>
        <v>287.56052422643569</v>
      </c>
      <c r="S161" s="59">
        <f ca="1">AVERAGE(OFFSET($R$3,0,0,'Données projet'!$E$9+1,1))-AVERAGE(OFFSET($H$3,0,0,'Données projet'!$E$9+1,1))</f>
        <v>297.34058997955685</v>
      </c>
      <c r="T161" s="59">
        <f t="shared" si="142"/>
        <v>440.06633724144069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6.5882479438298676</v>
      </c>
      <c r="AA161" s="21">
        <f>EXP(-LN(2)/25)*AA160+(1-EXP(-LN(2)/25))/(LN(2)/25)*Calculateur!V161*Calculateur!X161*VLOOKUP('Données projet'!$B$9,Paramètres!$A$1:$I$89,3,0)*0.475*44/12</f>
        <v>5.4248639513084989</v>
      </c>
      <c r="AB161" s="21">
        <f>EXP(-LN(2)/2)*AB160+(1-EXP(-LN(2)/2))/(LN(2)/2)*V161*Y161*VLOOKUP('Données projet'!$B$9,Paramètres!$A$1:$I$89,3,0)*0.475*44/12</f>
        <v>0</v>
      </c>
      <c r="AC161" s="22">
        <f t="shared" si="163"/>
        <v>12.013111895138366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 t="e">
        <f>AI161*VLOOKUP('Données projet'!$B$10,Paramètres!$A$1:$I$89,3,0)*VLOOKUP('Données projet'!$B$10,Paramètres!$A$1:$I$89,5,0)</f>
        <v>#N/A</v>
      </c>
      <c r="AK161" s="13" t="e">
        <f t="shared" si="164"/>
        <v>#N/A</v>
      </c>
      <c r="AL161" s="20" t="e">
        <f t="shared" si="165"/>
        <v>#N/A</v>
      </c>
      <c r="AM161" s="59" t="e">
        <f t="shared" si="113"/>
        <v>#N/A</v>
      </c>
      <c r="AN161" s="59" t="e">
        <f ca="1">AVERAGE(OFFSET($AM$3,0,0,'Données projet'!$E$10+1,1))-AVERAGE(OFFSET($H$3,0,0,'Données projet'!$E$10+1,1))</f>
        <v>#N/A</v>
      </c>
      <c r="AO161" s="59" t="e">
        <f t="shared" si="144"/>
        <v>#N/A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 t="e">
        <f>EXP(-LN(2)/35)*AU160+(1-EXP(-LN(2)/35))/(LN(2)/35)*AQ161*AR161*VLOOKUP('Données projet'!$B$10,Paramètres!$A$1:$I$89,3,0)*0.475*44/12</f>
        <v>#N/A</v>
      </c>
      <c r="AV161" s="21" t="e">
        <f>EXP(-LN(2)/25)*AV160+(1-EXP(-LN(2)/25))/(LN(2)/25)*Calculateur!AQ161*Calculateur!AS161*VLOOKUP('Données projet'!$B$10,Paramètres!$A$1:$I$89,3,0)*0.475*44/12</f>
        <v>#N/A</v>
      </c>
      <c r="AW161" s="21" t="e">
        <f>EXP(-LN(2)/2)*AW160+(1-EXP(-LN(2)/2))/(LN(2)/2)*AQ161*AT161*VLOOKUP('Données projet'!$B$10,Paramètres!$A$1:$I$89,3,0)*0.475*44/12</f>
        <v>#N/A</v>
      </c>
      <c r="AX161" s="21" t="e">
        <f t="shared" si="166"/>
        <v>#N/A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3">
        <f>'Scénario référence'!$B$16*5+'Scénario référence'!$B$17*0+'Scénario référence'!$B$18*5</f>
        <v>5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40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67">
        <f t="shared" si="110"/>
        <v>183.33333333333334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2.2737367544323206E-13</v>
      </c>
      <c r="O162" s="13">
        <f>N162*VLOOKUP('Données projet'!$B$9,Paramètres!$A$1:$I$89,3,0)*VLOOKUP('Données projet'!$B$9,Paramètres!$A$1:$I$89,5,0)</f>
        <v>1.3596945791505279E-13</v>
      </c>
      <c r="P162" s="13">
        <f t="shared" si="141"/>
        <v>1.9708830566360721E-12</v>
      </c>
      <c r="Q162" s="20">
        <f t="shared" si="162"/>
        <v>3.669434796176543E-12</v>
      </c>
      <c r="R162" s="59">
        <f t="shared" si="109"/>
        <v>287.66066955837266</v>
      </c>
      <c r="S162" s="59">
        <f ca="1">AVERAGE(OFFSET($R$3,0,0,'Données projet'!$E$9+1,1))-AVERAGE(OFFSET($H$3,0,0,'Données projet'!$E$9+1,1))</f>
        <v>297.34058997955685</v>
      </c>
      <c r="T162" s="59">
        <f t="shared" si="142"/>
        <v>440.06633724144069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6.4590564200858225</v>
      </c>
      <c r="AA162" s="21">
        <f>EXP(-LN(2)/25)*AA161+(1-EXP(-LN(2)/25))/(LN(2)/25)*Calculateur!V162*Calculateur!X162*VLOOKUP('Données projet'!$B$9,Paramètres!$A$1:$I$89,3,0)*0.475*44/12</f>
        <v>5.2765207612787712</v>
      </c>
      <c r="AB162" s="21">
        <f>EXP(-LN(2)/2)*AB161+(1-EXP(-LN(2)/2))/(LN(2)/2)*V162*Y162*VLOOKUP('Données projet'!$B$9,Paramètres!$A$1:$I$89,3,0)*0.475*44/12</f>
        <v>0</v>
      </c>
      <c r="AC162" s="22">
        <f t="shared" si="163"/>
        <v>11.735577181364594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 t="e">
        <f>AI162*VLOOKUP('Données projet'!$B$10,Paramètres!$A$1:$I$89,3,0)*VLOOKUP('Données projet'!$B$10,Paramètres!$A$1:$I$89,5,0)</f>
        <v>#N/A</v>
      </c>
      <c r="AK162" s="13" t="e">
        <f t="shared" si="164"/>
        <v>#N/A</v>
      </c>
      <c r="AL162" s="20" t="e">
        <f t="shared" si="165"/>
        <v>#N/A</v>
      </c>
      <c r="AM162" s="59" t="e">
        <f t="shared" si="113"/>
        <v>#N/A</v>
      </c>
      <c r="AN162" s="59" t="e">
        <f ca="1">AVERAGE(OFFSET($AM$3,0,0,'Données projet'!$E$10+1,1))-AVERAGE(OFFSET($H$3,0,0,'Données projet'!$E$10+1,1))</f>
        <v>#N/A</v>
      </c>
      <c r="AO162" s="59" t="e">
        <f t="shared" si="144"/>
        <v>#N/A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 t="e">
        <f>EXP(-LN(2)/35)*AU161+(1-EXP(-LN(2)/35))/(LN(2)/35)*AQ162*AR162*VLOOKUP('Données projet'!$B$10,Paramètres!$A$1:$I$89,3,0)*0.475*44/12</f>
        <v>#N/A</v>
      </c>
      <c r="AV162" s="21" t="e">
        <f>EXP(-LN(2)/25)*AV161+(1-EXP(-LN(2)/25))/(LN(2)/25)*Calculateur!AQ162*Calculateur!AS162*VLOOKUP('Données projet'!$B$10,Paramètres!$A$1:$I$89,3,0)*0.475*44/12</f>
        <v>#N/A</v>
      </c>
      <c r="AW162" s="21" t="e">
        <f>EXP(-LN(2)/2)*AW161+(1-EXP(-LN(2)/2))/(LN(2)/2)*AQ162*AT162*VLOOKUP('Données projet'!$B$10,Paramètres!$A$1:$I$89,3,0)*0.475*44/12</f>
        <v>#N/A</v>
      </c>
      <c r="AX162" s="21" t="e">
        <f t="shared" si="166"/>
        <v>#N/A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3">
        <f>'Scénario référence'!$B$16*5+'Scénario référence'!$B$17*0+'Scénario référence'!$B$18*5</f>
        <v>5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40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67">
        <f t="shared" si="110"/>
        <v>183.33333333333334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2.2737367544323206E-13</v>
      </c>
      <c r="O163" s="13">
        <f>N163*VLOOKUP('Données projet'!$B$9,Paramètres!$A$1:$I$89,3,0)*VLOOKUP('Données projet'!$B$9,Paramètres!$A$1:$I$89,5,0)</f>
        <v>1.3596945791505279E-13</v>
      </c>
      <c r="P163" s="13">
        <f t="shared" si="141"/>
        <v>1.9708830566360721E-12</v>
      </c>
      <c r="Q163" s="20">
        <f t="shared" si="162"/>
        <v>3.669434796176543E-12</v>
      </c>
      <c r="R163" s="59">
        <f t="shared" si="109"/>
        <v>287.75907759269205</v>
      </c>
      <c r="S163" s="59">
        <f ca="1">AVERAGE(OFFSET($R$3,0,0,'Données projet'!$E$9+1,1))-AVERAGE(OFFSET($H$3,0,0,'Données projet'!$E$9+1,1))</f>
        <v>297.34058997955685</v>
      </c>
      <c r="T163" s="59">
        <f t="shared" si="142"/>
        <v>440.06633724144069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6.3323982633233493</v>
      </c>
      <c r="AA163" s="21">
        <f>EXP(-LN(2)/25)*AA162+(1-EXP(-LN(2)/25))/(LN(2)/25)*Calculateur!V163*Calculateur!X163*VLOOKUP('Données projet'!$B$9,Paramètres!$A$1:$I$89,3,0)*0.475*44/12</f>
        <v>5.1322340235814359</v>
      </c>
      <c r="AB163" s="21">
        <f>EXP(-LN(2)/2)*AB162+(1-EXP(-LN(2)/2))/(LN(2)/2)*V163*Y163*VLOOKUP('Données projet'!$B$9,Paramètres!$A$1:$I$89,3,0)*0.475*44/12</f>
        <v>0</v>
      </c>
      <c r="AC163" s="22">
        <f t="shared" si="163"/>
        <v>11.464632286904784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 t="e">
        <f>AI163*VLOOKUP('Données projet'!$B$10,Paramètres!$A$1:$I$89,3,0)*VLOOKUP('Données projet'!$B$10,Paramètres!$A$1:$I$89,5,0)</f>
        <v>#N/A</v>
      </c>
      <c r="AK163" s="13" t="e">
        <f t="shared" si="164"/>
        <v>#N/A</v>
      </c>
      <c r="AL163" s="20" t="e">
        <f t="shared" si="165"/>
        <v>#N/A</v>
      </c>
      <c r="AM163" s="59" t="e">
        <f t="shared" si="113"/>
        <v>#N/A</v>
      </c>
      <c r="AN163" s="59" t="e">
        <f ca="1">AVERAGE(OFFSET($AM$3,0,0,'Données projet'!$E$10+1,1))-AVERAGE(OFFSET($H$3,0,0,'Données projet'!$E$10+1,1))</f>
        <v>#N/A</v>
      </c>
      <c r="AO163" s="59" t="e">
        <f t="shared" si="144"/>
        <v>#N/A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 t="e">
        <f>EXP(-LN(2)/35)*AU162+(1-EXP(-LN(2)/35))/(LN(2)/35)*AQ163*AR163*VLOOKUP('Données projet'!$B$10,Paramètres!$A$1:$I$89,3,0)*0.475*44/12</f>
        <v>#N/A</v>
      </c>
      <c r="AV163" s="21" t="e">
        <f>EXP(-LN(2)/25)*AV162+(1-EXP(-LN(2)/25))/(LN(2)/25)*Calculateur!AQ163*Calculateur!AS163*VLOOKUP('Données projet'!$B$10,Paramètres!$A$1:$I$89,3,0)*0.475*44/12</f>
        <v>#N/A</v>
      </c>
      <c r="AW163" s="21" t="e">
        <f>EXP(-LN(2)/2)*AW162+(1-EXP(-LN(2)/2))/(LN(2)/2)*AQ163*AT163*VLOOKUP('Données projet'!$B$10,Paramètres!$A$1:$I$89,3,0)*0.475*44/12</f>
        <v>#N/A</v>
      </c>
      <c r="AX163" s="21" t="e">
        <f t="shared" si="166"/>
        <v>#N/A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3">
        <f>'Scénario référence'!$B$16*5+'Scénario référence'!$B$17*0+'Scénario référence'!$B$18*5</f>
        <v>5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140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67">
        <f t="shared" si="110"/>
        <v>183.33333333333334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2.2737367544323206E-13</v>
      </c>
      <c r="O164" s="13">
        <f>N164*VLOOKUP('Données projet'!$B$9,Paramètres!$A$1:$I$89,3,0)*VLOOKUP('Données projet'!$B$9,Paramètres!$A$1:$I$89,5,0)</f>
        <v>1.3596945791505279E-13</v>
      </c>
      <c r="P164" s="13">
        <f t="shared" si="141"/>
        <v>1.9708830566360721E-12</v>
      </c>
      <c r="Q164" s="20">
        <f t="shared" si="162"/>
        <v>3.669434796176543E-12</v>
      </c>
      <c r="R164" s="59">
        <f t="shared" si="109"/>
        <v>287.8557784676234</v>
      </c>
      <c r="S164" s="59">
        <f ca="1">AVERAGE(OFFSET($R$3,0,0,'Données projet'!$E$9+1,1))-AVERAGE(OFFSET($H$3,0,0,'Données projet'!$E$9+1,1))</f>
        <v>297.34058997955685</v>
      </c>
      <c r="T164" s="59">
        <f t="shared" si="142"/>
        <v>440.06633724144069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6.2082237957611408</v>
      </c>
      <c r="AA164" s="21">
        <f>EXP(-LN(2)/25)*AA163+(1-EXP(-LN(2)/25))/(LN(2)/25)*Calculateur!V164*Calculateur!X164*VLOOKUP('Données projet'!$B$9,Paramètres!$A$1:$I$89,3,0)*0.475*44/12</f>
        <v>4.9918928143141441</v>
      </c>
      <c r="AB164" s="21">
        <f>EXP(-LN(2)/2)*AB163+(1-EXP(-LN(2)/2))/(LN(2)/2)*V164*Y164*VLOOKUP('Données projet'!$B$9,Paramètres!$A$1:$I$89,3,0)*0.475*44/12</f>
        <v>0</v>
      </c>
      <c r="AC164" s="22">
        <f t="shared" si="163"/>
        <v>11.200116610075284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 t="e">
        <f>AI164*VLOOKUP('Données projet'!$B$10,Paramètres!$A$1:$I$89,3,0)*VLOOKUP('Données projet'!$B$10,Paramètres!$A$1:$I$89,5,0)</f>
        <v>#N/A</v>
      </c>
      <c r="AK164" s="13" t="e">
        <f t="shared" si="164"/>
        <v>#N/A</v>
      </c>
      <c r="AL164" s="20" t="e">
        <f t="shared" si="165"/>
        <v>#N/A</v>
      </c>
      <c r="AM164" s="59" t="e">
        <f t="shared" si="113"/>
        <v>#N/A</v>
      </c>
      <c r="AN164" s="59" t="e">
        <f ca="1">AVERAGE(OFFSET($AM$3,0,0,'Données projet'!$E$10+1,1))-AVERAGE(OFFSET($H$3,0,0,'Données projet'!$E$10+1,1))</f>
        <v>#N/A</v>
      </c>
      <c r="AO164" s="59" t="e">
        <f t="shared" si="144"/>
        <v>#N/A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 t="e">
        <f>EXP(-LN(2)/35)*AU163+(1-EXP(-LN(2)/35))/(LN(2)/35)*AQ164*AR164*VLOOKUP('Données projet'!$B$10,Paramètres!$A$1:$I$89,3,0)*0.475*44/12</f>
        <v>#N/A</v>
      </c>
      <c r="AV164" s="21" t="e">
        <f>EXP(-LN(2)/25)*AV163+(1-EXP(-LN(2)/25))/(LN(2)/25)*Calculateur!AQ164*Calculateur!AS164*VLOOKUP('Données projet'!$B$10,Paramètres!$A$1:$I$89,3,0)*0.475*44/12</f>
        <v>#N/A</v>
      </c>
      <c r="AW164" s="21" t="e">
        <f>EXP(-LN(2)/2)*AW163+(1-EXP(-LN(2)/2))/(LN(2)/2)*AQ164*AT164*VLOOKUP('Données projet'!$B$10,Paramètres!$A$1:$I$89,3,0)*0.475*44/12</f>
        <v>#N/A</v>
      </c>
      <c r="AX164" s="21" t="e">
        <f t="shared" si="166"/>
        <v>#N/A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3">
        <f>'Scénario référence'!$B$16*5+'Scénario référence'!$B$17*0+'Scénario référence'!$B$18*5</f>
        <v>5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140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67">
        <f t="shared" si="110"/>
        <v>183.33333333333334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2.2737367544323206E-13</v>
      </c>
      <c r="O165" s="13">
        <f>N165*VLOOKUP('Données projet'!$B$9,Paramètres!$A$1:$I$89,3,0)*VLOOKUP('Données projet'!$B$9,Paramètres!$A$1:$I$89,5,0)</f>
        <v>1.3596945791505279E-13</v>
      </c>
      <c r="P165" s="13">
        <f t="shared" si="141"/>
        <v>1.9708830566360721E-12</v>
      </c>
      <c r="Q165" s="20">
        <f t="shared" si="162"/>
        <v>3.669434796176543E-12</v>
      </c>
      <c r="R165" s="59">
        <f t="shared" si="109"/>
        <v>287.95080179856541</v>
      </c>
      <c r="S165" s="59">
        <f ca="1">AVERAGE(OFFSET($R$3,0,0,'Données projet'!$E$9+1,1))-AVERAGE(OFFSET($H$3,0,0,'Données projet'!$E$9+1,1))</f>
        <v>297.34058997955685</v>
      </c>
      <c r="T165" s="59">
        <f t="shared" si="142"/>
        <v>440.06633724144069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6.0864843137688807</v>
      </c>
      <c r="AA165" s="21">
        <f>EXP(-LN(2)/25)*AA164+(1-EXP(-LN(2)/25))/(LN(2)/25)*Calculateur!V165*Calculateur!X165*VLOOKUP('Données projet'!$B$9,Paramètres!$A$1:$I$89,3,0)*0.475*44/12</f>
        <v>4.85538924279449</v>
      </c>
      <c r="AB165" s="21">
        <f>EXP(-LN(2)/2)*AB164+(1-EXP(-LN(2)/2))/(LN(2)/2)*V165*Y165*VLOOKUP('Données projet'!$B$9,Paramètres!$A$1:$I$89,3,0)*0.475*44/12</f>
        <v>0</v>
      </c>
      <c r="AC165" s="22">
        <f t="shared" si="163"/>
        <v>10.941873556563371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 t="e">
        <f>AI165*VLOOKUP('Données projet'!$B$10,Paramètres!$A$1:$I$89,3,0)*VLOOKUP('Données projet'!$B$10,Paramètres!$A$1:$I$89,5,0)</f>
        <v>#N/A</v>
      </c>
      <c r="AK165" s="13" t="e">
        <f t="shared" si="164"/>
        <v>#N/A</v>
      </c>
      <c r="AL165" s="20" t="e">
        <f t="shared" si="165"/>
        <v>#N/A</v>
      </c>
      <c r="AM165" s="59" t="e">
        <f t="shared" si="113"/>
        <v>#N/A</v>
      </c>
      <c r="AN165" s="59" t="e">
        <f ca="1">AVERAGE(OFFSET($AM$3,0,0,'Données projet'!$E$10+1,1))-AVERAGE(OFFSET($H$3,0,0,'Données projet'!$E$10+1,1))</f>
        <v>#N/A</v>
      </c>
      <c r="AO165" s="59" t="e">
        <f t="shared" si="144"/>
        <v>#N/A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 t="e">
        <f>EXP(-LN(2)/35)*AU164+(1-EXP(-LN(2)/35))/(LN(2)/35)*AQ165*AR165*VLOOKUP('Données projet'!$B$10,Paramètres!$A$1:$I$89,3,0)*0.475*44/12</f>
        <v>#N/A</v>
      </c>
      <c r="AV165" s="21" t="e">
        <f>EXP(-LN(2)/25)*AV164+(1-EXP(-LN(2)/25))/(LN(2)/25)*Calculateur!AQ165*Calculateur!AS165*VLOOKUP('Données projet'!$B$10,Paramètres!$A$1:$I$89,3,0)*0.475*44/12</f>
        <v>#N/A</v>
      </c>
      <c r="AW165" s="21" t="e">
        <f>EXP(-LN(2)/2)*AW164+(1-EXP(-LN(2)/2))/(LN(2)/2)*AQ165*AT165*VLOOKUP('Données projet'!$B$10,Paramètres!$A$1:$I$89,3,0)*0.475*44/12</f>
        <v>#N/A</v>
      </c>
      <c r="AX165" s="21" t="e">
        <f t="shared" si="166"/>
        <v>#N/A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3">
        <f>'Scénario référence'!$B$16*5+'Scénario référence'!$B$17*0+'Scénario référence'!$B$18*5</f>
        <v>5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140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67">
        <f t="shared" si="110"/>
        <v>183.33333333333334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2.2737367544323206E-13</v>
      </c>
      <c r="O166" s="13">
        <f>N166*VLOOKUP('Données projet'!$B$9,Paramètres!$A$1:$I$89,3,0)*VLOOKUP('Données projet'!$B$9,Paramètres!$A$1:$I$89,5,0)</f>
        <v>1.3596945791505279E-13</v>
      </c>
      <c r="P166" s="13">
        <f t="shared" si="141"/>
        <v>1.9708830566360721E-12</v>
      </c>
      <c r="Q166" s="20">
        <f t="shared" si="162"/>
        <v>3.669434796176543E-12</v>
      </c>
      <c r="R166" s="59">
        <f t="shared" si="109"/>
        <v>288.04417668715593</v>
      </c>
      <c r="S166" s="59">
        <f ca="1">AVERAGE(OFFSET($R$3,0,0,'Données projet'!$E$9+1,1))-AVERAGE(OFFSET($H$3,0,0,'Données projet'!$E$9+1,1))</f>
        <v>297.34058997955685</v>
      </c>
      <c r="T166" s="59">
        <f t="shared" si="142"/>
        <v>440.06633724144069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5.9671320687647365</v>
      </c>
      <c r="AA166" s="21">
        <f>EXP(-LN(2)/25)*AA165+(1-EXP(-LN(2)/25))/(LN(2)/25)*Calculateur!V166*Calculateur!X166*VLOOKUP('Données projet'!$B$9,Paramètres!$A$1:$I$89,3,0)*0.475*44/12</f>
        <v>4.7226183686164518</v>
      </c>
      <c r="AB166" s="21">
        <f>EXP(-LN(2)/2)*AB165+(1-EXP(-LN(2)/2))/(LN(2)/2)*V166*Y166*VLOOKUP('Données projet'!$B$9,Paramètres!$A$1:$I$89,3,0)*0.475*44/12</f>
        <v>0</v>
      </c>
      <c r="AC166" s="22">
        <f t="shared" si="163"/>
        <v>10.689750437381189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 t="e">
        <f>AI166*VLOOKUP('Données projet'!$B$10,Paramètres!$A$1:$I$89,3,0)*VLOOKUP('Données projet'!$B$10,Paramètres!$A$1:$I$89,5,0)</f>
        <v>#N/A</v>
      </c>
      <c r="AK166" s="13" t="e">
        <f t="shared" si="164"/>
        <v>#N/A</v>
      </c>
      <c r="AL166" s="20" t="e">
        <f t="shared" si="165"/>
        <v>#N/A</v>
      </c>
      <c r="AM166" s="59" t="e">
        <f t="shared" si="113"/>
        <v>#N/A</v>
      </c>
      <c r="AN166" s="59" t="e">
        <f ca="1">AVERAGE(OFFSET($AM$3,0,0,'Données projet'!$E$10+1,1))-AVERAGE(OFFSET($H$3,0,0,'Données projet'!$E$10+1,1))</f>
        <v>#N/A</v>
      </c>
      <c r="AO166" s="59" t="e">
        <f t="shared" si="144"/>
        <v>#N/A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 t="e">
        <f>EXP(-LN(2)/35)*AU165+(1-EXP(-LN(2)/35))/(LN(2)/35)*AQ166*AR166*VLOOKUP('Données projet'!$B$10,Paramètres!$A$1:$I$89,3,0)*0.475*44/12</f>
        <v>#N/A</v>
      </c>
      <c r="AV166" s="21" t="e">
        <f>EXP(-LN(2)/25)*AV165+(1-EXP(-LN(2)/25))/(LN(2)/25)*Calculateur!AQ166*Calculateur!AS166*VLOOKUP('Données projet'!$B$10,Paramètres!$A$1:$I$89,3,0)*0.475*44/12</f>
        <v>#N/A</v>
      </c>
      <c r="AW166" s="21" t="e">
        <f>EXP(-LN(2)/2)*AW165+(1-EXP(-LN(2)/2))/(LN(2)/2)*AQ166*AT166*VLOOKUP('Données projet'!$B$10,Paramètres!$A$1:$I$89,3,0)*0.475*44/12</f>
        <v>#N/A</v>
      </c>
      <c r="AX166" s="21" t="e">
        <f t="shared" si="166"/>
        <v>#N/A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3">
        <f>'Scénario référence'!$B$16*5+'Scénario référence'!$B$17*0+'Scénario référence'!$B$18*5</f>
        <v>5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140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67">
        <f t="shared" si="110"/>
        <v>183.33333333333334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2.2737367544323206E-13</v>
      </c>
      <c r="O167" s="13">
        <f>N167*VLOOKUP('Données projet'!$B$9,Paramètres!$A$1:$I$89,3,0)*VLOOKUP('Données projet'!$B$9,Paramètres!$A$1:$I$89,5,0)</f>
        <v>1.3596945791505279E-13</v>
      </c>
      <c r="P167" s="13">
        <f t="shared" si="141"/>
        <v>1.9708830566360721E-12</v>
      </c>
      <c r="Q167" s="20">
        <f t="shared" si="162"/>
        <v>3.669434796176543E-12</v>
      </c>
      <c r="R167" s="59">
        <f t="shared" si="109"/>
        <v>288.13593173018438</v>
      </c>
      <c r="S167" s="59">
        <f ca="1">AVERAGE(OFFSET($R$3,0,0,'Données projet'!$E$9+1,1))-AVERAGE(OFFSET($H$3,0,0,'Données projet'!$E$9+1,1))</f>
        <v>297.34058997955685</v>
      </c>
      <c r="T167" s="59">
        <f t="shared" si="142"/>
        <v>440.06633724144069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5.8501202484874417</v>
      </c>
      <c r="AA167" s="21">
        <f>EXP(-LN(2)/25)*AA166+(1-EXP(-LN(2)/25))/(LN(2)/25)*Calculateur!V167*Calculateur!X167*VLOOKUP('Données projet'!$B$9,Paramètres!$A$1:$I$89,3,0)*0.475*44/12</f>
        <v>4.5934781209749289</v>
      </c>
      <c r="AB167" s="21">
        <f>EXP(-LN(2)/2)*AB166+(1-EXP(-LN(2)/2))/(LN(2)/2)*V167*Y167*VLOOKUP('Données projet'!$B$9,Paramètres!$A$1:$I$89,3,0)*0.475*44/12</f>
        <v>0</v>
      </c>
      <c r="AC167" s="22">
        <f t="shared" si="163"/>
        <v>10.443598369462372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 t="e">
        <f>AI167*VLOOKUP('Données projet'!$B$10,Paramètres!$A$1:$I$89,3,0)*VLOOKUP('Données projet'!$B$10,Paramètres!$A$1:$I$89,5,0)</f>
        <v>#N/A</v>
      </c>
      <c r="AK167" s="13" t="e">
        <f t="shared" si="164"/>
        <v>#N/A</v>
      </c>
      <c r="AL167" s="20" t="e">
        <f t="shared" si="165"/>
        <v>#N/A</v>
      </c>
      <c r="AM167" s="59" t="e">
        <f t="shared" si="113"/>
        <v>#N/A</v>
      </c>
      <c r="AN167" s="59" t="e">
        <f ca="1">AVERAGE(OFFSET($AM$3,0,0,'Données projet'!$E$10+1,1))-AVERAGE(OFFSET($H$3,0,0,'Données projet'!$E$10+1,1))</f>
        <v>#N/A</v>
      </c>
      <c r="AO167" s="59" t="e">
        <f t="shared" si="144"/>
        <v>#N/A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 t="e">
        <f>EXP(-LN(2)/35)*AU166+(1-EXP(-LN(2)/35))/(LN(2)/35)*AQ167*AR167*VLOOKUP('Données projet'!$B$10,Paramètres!$A$1:$I$89,3,0)*0.475*44/12</f>
        <v>#N/A</v>
      </c>
      <c r="AV167" s="21" t="e">
        <f>EXP(-LN(2)/25)*AV166+(1-EXP(-LN(2)/25))/(LN(2)/25)*Calculateur!AQ167*Calculateur!AS167*VLOOKUP('Données projet'!$B$10,Paramètres!$A$1:$I$89,3,0)*0.475*44/12</f>
        <v>#N/A</v>
      </c>
      <c r="AW167" s="21" t="e">
        <f>EXP(-LN(2)/2)*AW166+(1-EXP(-LN(2)/2))/(LN(2)/2)*AQ167*AT167*VLOOKUP('Données projet'!$B$10,Paramètres!$A$1:$I$89,3,0)*0.475*44/12</f>
        <v>#N/A</v>
      </c>
      <c r="AX167" s="21" t="e">
        <f t="shared" si="166"/>
        <v>#N/A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3">
        <f>'Scénario référence'!$B$16*5+'Scénario référence'!$B$17*0+'Scénario référence'!$B$18*5</f>
        <v>5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140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67">
        <f t="shared" si="110"/>
        <v>183.33333333333334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2.2737367544323206E-13</v>
      </c>
      <c r="O168" s="13">
        <f>N168*VLOOKUP('Données projet'!$B$9,Paramètres!$A$1:$I$89,3,0)*VLOOKUP('Données projet'!$B$9,Paramètres!$A$1:$I$89,5,0)</f>
        <v>1.3596945791505279E-13</v>
      </c>
      <c r="P168" s="13">
        <f t="shared" si="141"/>
        <v>1.9708830566360721E-12</v>
      </c>
      <c r="Q168" s="20">
        <f t="shared" si="162"/>
        <v>3.669434796176543E-12</v>
      </c>
      <c r="R168" s="59">
        <f t="shared" si="109"/>
        <v>288.22609502834985</v>
      </c>
      <c r="S168" s="59">
        <f ca="1">AVERAGE(OFFSET($R$3,0,0,'Données projet'!$E$9+1,1))-AVERAGE(OFFSET($H$3,0,0,'Données projet'!$E$9+1,1))</f>
        <v>297.34058997955685</v>
      </c>
      <c r="T168" s="59">
        <f t="shared" si="142"/>
        <v>440.06633724144069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5.7354029586356221</v>
      </c>
      <c r="AA168" s="21">
        <f>EXP(-LN(2)/25)*AA167+(1-EXP(-LN(2)/25))/(LN(2)/25)*Calculateur!V168*Calculateur!X168*VLOOKUP('Données projet'!$B$9,Paramètres!$A$1:$I$89,3,0)*0.475*44/12</f>
        <v>4.4678692201963539</v>
      </c>
      <c r="AB168" s="21">
        <f>EXP(-LN(2)/2)*AB167+(1-EXP(-LN(2)/2))/(LN(2)/2)*V168*Y168*VLOOKUP('Données projet'!$B$9,Paramètres!$A$1:$I$89,3,0)*0.475*44/12</f>
        <v>0</v>
      </c>
      <c r="AC168" s="22">
        <f t="shared" si="163"/>
        <v>10.203272178831977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 t="e">
        <f>AI168*VLOOKUP('Données projet'!$B$10,Paramètres!$A$1:$I$89,3,0)*VLOOKUP('Données projet'!$B$10,Paramètres!$A$1:$I$89,5,0)</f>
        <v>#N/A</v>
      </c>
      <c r="AK168" s="13" t="e">
        <f t="shared" si="164"/>
        <v>#N/A</v>
      </c>
      <c r="AL168" s="20" t="e">
        <f t="shared" si="165"/>
        <v>#N/A</v>
      </c>
      <c r="AM168" s="59" t="e">
        <f t="shared" si="113"/>
        <v>#N/A</v>
      </c>
      <c r="AN168" s="59" t="e">
        <f ca="1">AVERAGE(OFFSET($AM$3,0,0,'Données projet'!$E$10+1,1))-AVERAGE(OFFSET($H$3,0,0,'Données projet'!$E$10+1,1))</f>
        <v>#N/A</v>
      </c>
      <c r="AO168" s="59" t="e">
        <f t="shared" si="144"/>
        <v>#N/A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 t="e">
        <f>EXP(-LN(2)/35)*AU167+(1-EXP(-LN(2)/35))/(LN(2)/35)*AQ168*AR168*VLOOKUP('Données projet'!$B$10,Paramètres!$A$1:$I$89,3,0)*0.475*44/12</f>
        <v>#N/A</v>
      </c>
      <c r="AV168" s="21" t="e">
        <f>EXP(-LN(2)/25)*AV167+(1-EXP(-LN(2)/25))/(LN(2)/25)*Calculateur!AQ168*Calculateur!AS168*VLOOKUP('Données projet'!$B$10,Paramètres!$A$1:$I$89,3,0)*0.475*44/12</f>
        <v>#N/A</v>
      </c>
      <c r="AW168" s="21" t="e">
        <f>EXP(-LN(2)/2)*AW167+(1-EXP(-LN(2)/2))/(LN(2)/2)*AQ168*AT168*VLOOKUP('Données projet'!$B$10,Paramètres!$A$1:$I$89,3,0)*0.475*44/12</f>
        <v>#N/A</v>
      </c>
      <c r="AX168" s="21" t="e">
        <f t="shared" si="166"/>
        <v>#N/A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3">
        <f>'Scénario référence'!$B$16*5+'Scénario référence'!$B$17*0+'Scénario référence'!$B$18*5</f>
        <v>5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140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67">
        <f t="shared" si="110"/>
        <v>183.33333333333334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2.2737367544323206E-13</v>
      </c>
      <c r="O169" s="13">
        <f>N169*VLOOKUP('Données projet'!$B$9,Paramètres!$A$1:$I$89,3,0)*VLOOKUP('Données projet'!$B$9,Paramètres!$A$1:$I$89,5,0)</f>
        <v>1.3596945791505279E-13</v>
      </c>
      <c r="P169" s="13">
        <f t="shared" si="141"/>
        <v>1.9708830566360721E-12</v>
      </c>
      <c r="Q169" s="20">
        <f t="shared" si="162"/>
        <v>3.669434796176543E-12</v>
      </c>
      <c r="R169" s="59">
        <f t="shared" si="109"/>
        <v>288.31469419486712</v>
      </c>
      <c r="S169" s="59">
        <f ca="1">AVERAGE(OFFSET($R$3,0,0,'Données projet'!$E$9+1,1))-AVERAGE(OFFSET($H$3,0,0,'Données projet'!$E$9+1,1))</f>
        <v>297.34058997955685</v>
      </c>
      <c r="T169" s="59">
        <f t="shared" si="142"/>
        <v>440.06633724144069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5.6229352048671588</v>
      </c>
      <c r="AA169" s="21">
        <f>EXP(-LN(2)/25)*AA168+(1-EXP(-LN(2)/25))/(LN(2)/25)*Calculateur!V169*Calculateur!X169*VLOOKUP('Données projet'!$B$9,Paramètres!$A$1:$I$89,3,0)*0.475*44/12</f>
        <v>4.3456951014150533</v>
      </c>
      <c r="AB169" s="21">
        <f>EXP(-LN(2)/2)*AB168+(1-EXP(-LN(2)/2))/(LN(2)/2)*V169*Y169*VLOOKUP('Données projet'!$B$9,Paramètres!$A$1:$I$89,3,0)*0.475*44/12</f>
        <v>0</v>
      </c>
      <c r="AC169" s="22">
        <f t="shared" si="163"/>
        <v>9.9686303062822113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 t="e">
        <f>AI169*VLOOKUP('Données projet'!$B$10,Paramètres!$A$1:$I$89,3,0)*VLOOKUP('Données projet'!$B$10,Paramètres!$A$1:$I$89,5,0)</f>
        <v>#N/A</v>
      </c>
      <c r="AK169" s="13" t="e">
        <f t="shared" si="164"/>
        <v>#N/A</v>
      </c>
      <c r="AL169" s="20" t="e">
        <f t="shared" si="165"/>
        <v>#N/A</v>
      </c>
      <c r="AM169" s="59" t="e">
        <f t="shared" si="113"/>
        <v>#N/A</v>
      </c>
      <c r="AN169" s="59" t="e">
        <f ca="1">AVERAGE(OFFSET($AM$3,0,0,'Données projet'!$E$10+1,1))-AVERAGE(OFFSET($H$3,0,0,'Données projet'!$E$10+1,1))</f>
        <v>#N/A</v>
      </c>
      <c r="AO169" s="59" t="e">
        <f t="shared" si="144"/>
        <v>#N/A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 t="e">
        <f>EXP(-LN(2)/35)*AU168+(1-EXP(-LN(2)/35))/(LN(2)/35)*AQ169*AR169*VLOOKUP('Données projet'!$B$10,Paramètres!$A$1:$I$89,3,0)*0.475*44/12</f>
        <v>#N/A</v>
      </c>
      <c r="AV169" s="21" t="e">
        <f>EXP(-LN(2)/25)*AV168+(1-EXP(-LN(2)/25))/(LN(2)/25)*Calculateur!AQ169*Calculateur!AS169*VLOOKUP('Données projet'!$B$10,Paramètres!$A$1:$I$89,3,0)*0.475*44/12</f>
        <v>#N/A</v>
      </c>
      <c r="AW169" s="21" t="e">
        <f>EXP(-LN(2)/2)*AW168+(1-EXP(-LN(2)/2))/(LN(2)/2)*AQ169*AT169*VLOOKUP('Données projet'!$B$10,Paramètres!$A$1:$I$89,3,0)*0.475*44/12</f>
        <v>#N/A</v>
      </c>
      <c r="AX169" s="21" t="e">
        <f t="shared" si="166"/>
        <v>#N/A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3">
        <f>'Scénario référence'!$B$16*5+'Scénario référence'!$B$17*0+'Scénario référence'!$B$18*5</f>
        <v>5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140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67">
        <f t="shared" si="110"/>
        <v>183.33333333333334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2.2737367544323206E-13</v>
      </c>
      <c r="O170" s="13">
        <f>N170*VLOOKUP('Données projet'!$B$9,Paramètres!$A$1:$I$89,3,0)*VLOOKUP('Données projet'!$B$9,Paramètres!$A$1:$I$89,5,0)</f>
        <v>1.3596945791505279E-13</v>
      </c>
      <c r="P170" s="13">
        <f t="shared" si="141"/>
        <v>1.9708830566360721E-12</v>
      </c>
      <c r="Q170" s="20">
        <f t="shared" si="162"/>
        <v>3.669434796176543E-12</v>
      </c>
      <c r="R170" s="59">
        <f t="shared" si="109"/>
        <v>288.40175636392331</v>
      </c>
      <c r="S170" s="59">
        <f ca="1">AVERAGE(OFFSET($R$3,0,0,'Données projet'!$E$9+1,1))-AVERAGE(OFFSET($H$3,0,0,'Données projet'!$E$9+1,1))</f>
        <v>297.34058997955685</v>
      </c>
      <c r="T170" s="59">
        <f t="shared" si="142"/>
        <v>440.06633724144069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5.512672875151539</v>
      </c>
      <c r="AA170" s="21">
        <f>EXP(-LN(2)/25)*AA169+(1-EXP(-LN(2)/25))/(LN(2)/25)*Calculateur!V170*Calculateur!X170*VLOOKUP('Données projet'!$B$9,Paramètres!$A$1:$I$89,3,0)*0.475*44/12</f>
        <v>4.2268618403366851</v>
      </c>
      <c r="AB170" s="21">
        <f>EXP(-LN(2)/2)*AB169+(1-EXP(-LN(2)/2))/(LN(2)/2)*V170*Y170*VLOOKUP('Données projet'!$B$9,Paramètres!$A$1:$I$89,3,0)*0.475*44/12</f>
        <v>0</v>
      </c>
      <c r="AC170" s="22">
        <f t="shared" si="163"/>
        <v>9.7395347154882241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 t="e">
        <f>AI170*VLOOKUP('Données projet'!$B$10,Paramètres!$A$1:$I$89,3,0)*VLOOKUP('Données projet'!$B$10,Paramètres!$A$1:$I$89,5,0)</f>
        <v>#N/A</v>
      </c>
      <c r="AK170" s="13" t="e">
        <f t="shared" si="164"/>
        <v>#N/A</v>
      </c>
      <c r="AL170" s="20" t="e">
        <f t="shared" si="165"/>
        <v>#N/A</v>
      </c>
      <c r="AM170" s="59" t="e">
        <f t="shared" si="113"/>
        <v>#N/A</v>
      </c>
      <c r="AN170" s="59" t="e">
        <f ca="1">AVERAGE(OFFSET($AM$3,0,0,'Données projet'!$E$10+1,1))-AVERAGE(OFFSET($H$3,0,0,'Données projet'!$E$10+1,1))</f>
        <v>#N/A</v>
      </c>
      <c r="AO170" s="59" t="e">
        <f t="shared" si="144"/>
        <v>#N/A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 t="e">
        <f>EXP(-LN(2)/35)*AU169+(1-EXP(-LN(2)/35))/(LN(2)/35)*AQ170*AR170*VLOOKUP('Données projet'!$B$10,Paramètres!$A$1:$I$89,3,0)*0.475*44/12</f>
        <v>#N/A</v>
      </c>
      <c r="AV170" s="21" t="e">
        <f>EXP(-LN(2)/25)*AV169+(1-EXP(-LN(2)/25))/(LN(2)/25)*Calculateur!AQ170*Calculateur!AS170*VLOOKUP('Données projet'!$B$10,Paramètres!$A$1:$I$89,3,0)*0.475*44/12</f>
        <v>#N/A</v>
      </c>
      <c r="AW170" s="21" t="e">
        <f>EXP(-LN(2)/2)*AW169+(1-EXP(-LN(2)/2))/(LN(2)/2)*AQ170*AT170*VLOOKUP('Données projet'!$B$10,Paramètres!$A$1:$I$89,3,0)*0.475*44/12</f>
        <v>#N/A</v>
      </c>
      <c r="AX170" s="21" t="e">
        <f t="shared" si="166"/>
        <v>#N/A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3">
        <f>'Scénario référence'!$B$16*5+'Scénario référence'!$B$17*0+'Scénario référence'!$B$18*5</f>
        <v>5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140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67">
        <f t="shared" si="110"/>
        <v>183.33333333333334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2.2737367544323206E-13</v>
      </c>
      <c r="O171" s="13">
        <f>N171*VLOOKUP('Données projet'!$B$9,Paramètres!$A$1:$I$89,3,0)*VLOOKUP('Données projet'!$B$9,Paramètres!$A$1:$I$89,5,0)</f>
        <v>1.3596945791505279E-13</v>
      </c>
      <c r="P171" s="13">
        <f t="shared" si="141"/>
        <v>1.9708830566360721E-12</v>
      </c>
      <c r="Q171" s="20">
        <f t="shared" si="162"/>
        <v>3.669434796176543E-12</v>
      </c>
      <c r="R171" s="59">
        <f t="shared" si="109"/>
        <v>288.48730819898822</v>
      </c>
      <c r="S171" s="59">
        <f ca="1">AVERAGE(OFFSET($R$3,0,0,'Données projet'!$E$9+1,1))-AVERAGE(OFFSET($H$3,0,0,'Données projet'!$E$9+1,1))</f>
        <v>297.34058997955685</v>
      </c>
      <c r="T171" s="59">
        <f t="shared" si="142"/>
        <v>440.06633724144069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5.404572722468262</v>
      </c>
      <c r="AA171" s="21">
        <f>EXP(-LN(2)/25)*AA170+(1-EXP(-LN(2)/25))/(LN(2)/25)*Calculateur!V171*Calculateur!X171*VLOOKUP('Données projet'!$B$9,Paramètres!$A$1:$I$89,3,0)*0.475*44/12</f>
        <v>4.1112780810316751</v>
      </c>
      <c r="AB171" s="21">
        <f>EXP(-LN(2)/2)*AB170+(1-EXP(-LN(2)/2))/(LN(2)/2)*V171*Y171*VLOOKUP('Données projet'!$B$9,Paramètres!$A$1:$I$89,3,0)*0.475*44/12</f>
        <v>0</v>
      </c>
      <c r="AC171" s="22">
        <f t="shared" si="163"/>
        <v>9.5158508034999372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 t="e">
        <f>AI171*VLOOKUP('Données projet'!$B$10,Paramètres!$A$1:$I$89,3,0)*VLOOKUP('Données projet'!$B$10,Paramètres!$A$1:$I$89,5,0)</f>
        <v>#N/A</v>
      </c>
      <c r="AK171" s="13" t="e">
        <f t="shared" si="164"/>
        <v>#N/A</v>
      </c>
      <c r="AL171" s="20" t="e">
        <f t="shared" si="165"/>
        <v>#N/A</v>
      </c>
      <c r="AM171" s="59" t="e">
        <f t="shared" si="113"/>
        <v>#N/A</v>
      </c>
      <c r="AN171" s="59" t="e">
        <f ca="1">AVERAGE(OFFSET($AM$3,0,0,'Données projet'!$E$10+1,1))-AVERAGE(OFFSET($H$3,0,0,'Données projet'!$E$10+1,1))</f>
        <v>#N/A</v>
      </c>
      <c r="AO171" s="59" t="e">
        <f t="shared" si="144"/>
        <v>#N/A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 t="e">
        <f>EXP(-LN(2)/35)*AU170+(1-EXP(-LN(2)/35))/(LN(2)/35)*AQ171*AR171*VLOOKUP('Données projet'!$B$10,Paramètres!$A$1:$I$89,3,0)*0.475*44/12</f>
        <v>#N/A</v>
      </c>
      <c r="AV171" s="21" t="e">
        <f>EXP(-LN(2)/25)*AV170+(1-EXP(-LN(2)/25))/(LN(2)/25)*Calculateur!AQ171*Calculateur!AS171*VLOOKUP('Données projet'!$B$10,Paramètres!$A$1:$I$89,3,0)*0.475*44/12</f>
        <v>#N/A</v>
      </c>
      <c r="AW171" s="21" t="e">
        <f>EXP(-LN(2)/2)*AW170+(1-EXP(-LN(2)/2))/(LN(2)/2)*AQ171*AT171*VLOOKUP('Données projet'!$B$10,Paramètres!$A$1:$I$89,3,0)*0.475*44/12</f>
        <v>#N/A</v>
      </c>
      <c r="AX171" s="21" t="e">
        <f t="shared" si="166"/>
        <v>#N/A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3">
        <f>'Scénario référence'!$B$16*5+'Scénario référence'!$B$17*0+'Scénario référence'!$B$18*5</f>
        <v>5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140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67">
        <f t="shared" si="110"/>
        <v>183.33333333333334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2.2737367544323206E-13</v>
      </c>
      <c r="O172" s="13">
        <f>N172*VLOOKUP('Données projet'!$B$9,Paramètres!$A$1:$I$89,3,0)*VLOOKUP('Données projet'!$B$9,Paramètres!$A$1:$I$89,5,0)</f>
        <v>1.3596945791505279E-13</v>
      </c>
      <c r="P172" s="13">
        <f t="shared" si="141"/>
        <v>1.9708830566360721E-12</v>
      </c>
      <c r="Q172" s="20">
        <f t="shared" si="162"/>
        <v>3.669434796176543E-12</v>
      </c>
      <c r="R172" s="59">
        <f t="shared" si="109"/>
        <v>288.57137590098012</v>
      </c>
      <c r="S172" s="59">
        <f ca="1">AVERAGE(OFFSET($R$3,0,0,'Données projet'!$E$9+1,1))-AVERAGE(OFFSET($H$3,0,0,'Données projet'!$E$9+1,1))</f>
        <v>297.34058997955685</v>
      </c>
      <c r="T172" s="59">
        <f t="shared" si="142"/>
        <v>440.06633724144069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5.2985923478445214</v>
      </c>
      <c r="AA172" s="21">
        <f>EXP(-LN(2)/25)*AA171+(1-EXP(-LN(2)/25))/(LN(2)/25)*Calculateur!V172*Calculateur!X172*VLOOKUP('Données projet'!$B$9,Paramètres!$A$1:$I$89,3,0)*0.475*44/12</f>
        <v>3.998854965703146</v>
      </c>
      <c r="AB172" s="21">
        <f>EXP(-LN(2)/2)*AB171+(1-EXP(-LN(2)/2))/(LN(2)/2)*V172*Y172*VLOOKUP('Données projet'!$B$9,Paramètres!$A$1:$I$89,3,0)*0.475*44/12</f>
        <v>0</v>
      </c>
      <c r="AC172" s="22">
        <f t="shared" si="163"/>
        <v>9.2974473135476678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 t="e">
        <f>AI172*VLOOKUP('Données projet'!$B$10,Paramètres!$A$1:$I$89,3,0)*VLOOKUP('Données projet'!$B$10,Paramètres!$A$1:$I$89,5,0)</f>
        <v>#N/A</v>
      </c>
      <c r="AK172" s="13" t="e">
        <f t="shared" si="164"/>
        <v>#N/A</v>
      </c>
      <c r="AL172" s="20" t="e">
        <f t="shared" si="165"/>
        <v>#N/A</v>
      </c>
      <c r="AM172" s="59" t="e">
        <f t="shared" si="113"/>
        <v>#N/A</v>
      </c>
      <c r="AN172" s="59" t="e">
        <f ca="1">AVERAGE(OFFSET($AM$3,0,0,'Données projet'!$E$10+1,1))-AVERAGE(OFFSET($H$3,0,0,'Données projet'!$E$10+1,1))</f>
        <v>#N/A</v>
      </c>
      <c r="AO172" s="59" t="e">
        <f t="shared" si="144"/>
        <v>#N/A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 t="e">
        <f>EXP(-LN(2)/35)*AU171+(1-EXP(-LN(2)/35))/(LN(2)/35)*AQ172*AR172*VLOOKUP('Données projet'!$B$10,Paramètres!$A$1:$I$89,3,0)*0.475*44/12</f>
        <v>#N/A</v>
      </c>
      <c r="AV172" s="21" t="e">
        <f>EXP(-LN(2)/25)*AV171+(1-EXP(-LN(2)/25))/(LN(2)/25)*Calculateur!AQ172*Calculateur!AS172*VLOOKUP('Données projet'!$B$10,Paramètres!$A$1:$I$89,3,0)*0.475*44/12</f>
        <v>#N/A</v>
      </c>
      <c r="AW172" s="21" t="e">
        <f>EXP(-LN(2)/2)*AW171+(1-EXP(-LN(2)/2))/(LN(2)/2)*AQ172*AT172*VLOOKUP('Données projet'!$B$10,Paramètres!$A$1:$I$89,3,0)*0.475*44/12</f>
        <v>#N/A</v>
      </c>
      <c r="AX172" s="21" t="e">
        <f t="shared" si="166"/>
        <v>#N/A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3">
        <f>'Scénario référence'!$B$16*5+'Scénario référence'!$B$17*0+'Scénario référence'!$B$18*5</f>
        <v>5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140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67">
        <f t="shared" si="110"/>
        <v>183.33333333333334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2.2737367544323206E-13</v>
      </c>
      <c r="O173" s="13">
        <f>N173*VLOOKUP('Données projet'!$B$9,Paramètres!$A$1:$I$89,3,0)*VLOOKUP('Données projet'!$B$9,Paramètres!$A$1:$I$89,5,0)</f>
        <v>1.3596945791505279E-13</v>
      </c>
      <c r="P173" s="13">
        <f t="shared" si="141"/>
        <v>1.9708830566360721E-12</v>
      </c>
      <c r="Q173" s="20">
        <f t="shared" si="162"/>
        <v>3.669434796176543E-12</v>
      </c>
      <c r="R173" s="59">
        <f t="shared" si="109"/>
        <v>288.65398521628958</v>
      </c>
      <c r="S173" s="59">
        <f ca="1">AVERAGE(OFFSET($R$3,0,0,'Données projet'!$E$9+1,1))-AVERAGE(OFFSET($H$3,0,0,'Données projet'!$E$9+1,1))</f>
        <v>297.34058997955685</v>
      </c>
      <c r="T173" s="59">
        <f t="shared" si="142"/>
        <v>440.06633724144069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5.1946901837255064</v>
      </c>
      <c r="AA173" s="21">
        <f>EXP(-LN(2)/25)*AA172+(1-EXP(-LN(2)/25))/(LN(2)/25)*Calculateur!V173*Calculateur!X173*VLOOKUP('Données projet'!$B$9,Paramètres!$A$1:$I$89,3,0)*0.475*44/12</f>
        <v>3.8895060663753505</v>
      </c>
      <c r="AB173" s="21">
        <f>EXP(-LN(2)/2)*AB172+(1-EXP(-LN(2)/2))/(LN(2)/2)*V173*Y173*VLOOKUP('Données projet'!$B$9,Paramètres!$A$1:$I$89,3,0)*0.475*44/12</f>
        <v>0</v>
      </c>
      <c r="AC173" s="22">
        <f t="shared" si="163"/>
        <v>9.084196250100856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 t="e">
        <f>AI173*VLOOKUP('Données projet'!$B$10,Paramètres!$A$1:$I$89,3,0)*VLOOKUP('Données projet'!$B$10,Paramètres!$A$1:$I$89,5,0)</f>
        <v>#N/A</v>
      </c>
      <c r="AK173" s="13" t="e">
        <f t="shared" si="164"/>
        <v>#N/A</v>
      </c>
      <c r="AL173" s="20" t="e">
        <f t="shared" si="165"/>
        <v>#N/A</v>
      </c>
      <c r="AM173" s="59" t="e">
        <f t="shared" si="113"/>
        <v>#N/A</v>
      </c>
      <c r="AN173" s="59" t="e">
        <f ca="1">AVERAGE(OFFSET($AM$3,0,0,'Données projet'!$E$10+1,1))-AVERAGE(OFFSET($H$3,0,0,'Données projet'!$E$10+1,1))</f>
        <v>#N/A</v>
      </c>
      <c r="AO173" s="59" t="e">
        <f t="shared" si="144"/>
        <v>#N/A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 t="e">
        <f>EXP(-LN(2)/35)*AU172+(1-EXP(-LN(2)/35))/(LN(2)/35)*AQ173*AR173*VLOOKUP('Données projet'!$B$10,Paramètres!$A$1:$I$89,3,0)*0.475*44/12</f>
        <v>#N/A</v>
      </c>
      <c r="AV173" s="21" t="e">
        <f>EXP(-LN(2)/25)*AV172+(1-EXP(-LN(2)/25))/(LN(2)/25)*Calculateur!AQ173*Calculateur!AS173*VLOOKUP('Données projet'!$B$10,Paramètres!$A$1:$I$89,3,0)*0.475*44/12</f>
        <v>#N/A</v>
      </c>
      <c r="AW173" s="21" t="e">
        <f>EXP(-LN(2)/2)*AW172+(1-EXP(-LN(2)/2))/(LN(2)/2)*AQ173*AT173*VLOOKUP('Données projet'!$B$10,Paramètres!$A$1:$I$89,3,0)*0.475*44/12</f>
        <v>#N/A</v>
      </c>
      <c r="AX173" s="21" t="e">
        <f t="shared" si="166"/>
        <v>#N/A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3">
        <f>'Scénario référence'!$B$16*5+'Scénario référence'!$B$17*0+'Scénario référence'!$B$18*5</f>
        <v>5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140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67">
        <f t="shared" si="110"/>
        <v>183.33333333333334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2.2737367544323206E-13</v>
      </c>
      <c r="O174" s="13">
        <f>N174*VLOOKUP('Données projet'!$B$9,Paramètres!$A$1:$I$89,3,0)*VLOOKUP('Données projet'!$B$9,Paramètres!$A$1:$I$89,5,0)</f>
        <v>1.3596945791505279E-13</v>
      </c>
      <c r="P174" s="13">
        <f t="shared" si="141"/>
        <v>1.9708830566360721E-12</v>
      </c>
      <c r="Q174" s="20">
        <f t="shared" si="162"/>
        <v>3.669434796176543E-12</v>
      </c>
      <c r="R174" s="59">
        <f t="shared" si="109"/>
        <v>288.73516144466521</v>
      </c>
      <c r="S174" s="59">
        <f ca="1">AVERAGE(OFFSET($R$3,0,0,'Données projet'!$E$9+1,1))-AVERAGE(OFFSET($H$3,0,0,'Données projet'!$E$9+1,1))</f>
        <v>297.34058997955685</v>
      </c>
      <c r="T174" s="59">
        <f t="shared" si="142"/>
        <v>440.06633724144069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5.0928254776708028</v>
      </c>
      <c r="AA174" s="21">
        <f>EXP(-LN(2)/25)*AA173+(1-EXP(-LN(2)/25))/(LN(2)/25)*Calculateur!V174*Calculateur!X174*VLOOKUP('Données projet'!$B$9,Paramètres!$A$1:$I$89,3,0)*0.475*44/12</f>
        <v>3.7831473184500819</v>
      </c>
      <c r="AB174" s="21">
        <f>EXP(-LN(2)/2)*AB173+(1-EXP(-LN(2)/2))/(LN(2)/2)*V174*Y174*VLOOKUP('Données projet'!$B$9,Paramètres!$A$1:$I$89,3,0)*0.475*44/12</f>
        <v>0</v>
      </c>
      <c r="AC174" s="22">
        <f t="shared" si="163"/>
        <v>8.8759727961208839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 t="e">
        <f>AI174*VLOOKUP('Données projet'!$B$10,Paramètres!$A$1:$I$89,3,0)*VLOOKUP('Données projet'!$B$10,Paramètres!$A$1:$I$89,5,0)</f>
        <v>#N/A</v>
      </c>
      <c r="AK174" s="13" t="e">
        <f t="shared" si="164"/>
        <v>#N/A</v>
      </c>
      <c r="AL174" s="20" t="e">
        <f t="shared" si="165"/>
        <v>#N/A</v>
      </c>
      <c r="AM174" s="59" t="e">
        <f t="shared" si="113"/>
        <v>#N/A</v>
      </c>
      <c r="AN174" s="59" t="e">
        <f ca="1">AVERAGE(OFFSET($AM$3,0,0,'Données projet'!$E$10+1,1))-AVERAGE(OFFSET($H$3,0,0,'Données projet'!$E$10+1,1))</f>
        <v>#N/A</v>
      </c>
      <c r="AO174" s="59" t="e">
        <f t="shared" si="144"/>
        <v>#N/A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 t="e">
        <f>EXP(-LN(2)/35)*AU173+(1-EXP(-LN(2)/35))/(LN(2)/35)*AQ174*AR174*VLOOKUP('Données projet'!$B$10,Paramètres!$A$1:$I$89,3,0)*0.475*44/12</f>
        <v>#N/A</v>
      </c>
      <c r="AV174" s="21" t="e">
        <f>EXP(-LN(2)/25)*AV173+(1-EXP(-LN(2)/25))/(LN(2)/25)*Calculateur!AQ174*Calculateur!AS174*VLOOKUP('Données projet'!$B$10,Paramètres!$A$1:$I$89,3,0)*0.475*44/12</f>
        <v>#N/A</v>
      </c>
      <c r="AW174" s="21" t="e">
        <f>EXP(-LN(2)/2)*AW173+(1-EXP(-LN(2)/2))/(LN(2)/2)*AQ174*AT174*VLOOKUP('Données projet'!$B$10,Paramètres!$A$1:$I$89,3,0)*0.475*44/12</f>
        <v>#N/A</v>
      </c>
      <c r="AX174" s="21" t="e">
        <f t="shared" si="166"/>
        <v>#N/A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3">
        <f>'Scénario référence'!$B$16*5+'Scénario référence'!$B$17*0+'Scénario référence'!$B$18*5</f>
        <v>5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140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67">
        <f t="shared" si="110"/>
        <v>183.33333333333334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2.2737367544323206E-13</v>
      </c>
      <c r="O175" s="13">
        <f>N175*VLOOKUP('Données projet'!$B$9,Paramètres!$A$1:$I$89,3,0)*VLOOKUP('Données projet'!$B$9,Paramètres!$A$1:$I$89,5,0)</f>
        <v>1.3596945791505279E-13</v>
      </c>
      <c r="P175" s="13">
        <f t="shared" si="141"/>
        <v>1.9708830566360721E-12</v>
      </c>
      <c r="Q175" s="20">
        <f t="shared" si="162"/>
        <v>3.669434796176543E-12</v>
      </c>
      <c r="R175" s="59">
        <f t="shared" si="109"/>
        <v>288.81492944696134</v>
      </c>
      <c r="S175" s="59">
        <f ca="1">AVERAGE(OFFSET($R$3,0,0,'Données projet'!$E$9+1,1))-AVERAGE(OFFSET($H$3,0,0,'Données projet'!$E$9+1,1))</f>
        <v>297.34058997955685</v>
      </c>
      <c r="T175" s="59">
        <f t="shared" si="142"/>
        <v>440.06633724144069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4.9929582763704961</v>
      </c>
      <c r="AA175" s="21">
        <f>EXP(-LN(2)/25)*AA174+(1-EXP(-LN(2)/25))/(LN(2)/25)*Calculateur!V175*Calculateur!X175*VLOOKUP('Données projet'!$B$9,Paramètres!$A$1:$I$89,3,0)*0.475*44/12</f>
        <v>3.6796969560799933</v>
      </c>
      <c r="AB175" s="21">
        <f>EXP(-LN(2)/2)*AB174+(1-EXP(-LN(2)/2))/(LN(2)/2)*V175*Y175*VLOOKUP('Données projet'!$B$9,Paramètres!$A$1:$I$89,3,0)*0.475*44/12</f>
        <v>0</v>
      </c>
      <c r="AC175" s="22">
        <f t="shared" si="163"/>
        <v>8.6726552324504897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 t="e">
        <f>AI175*VLOOKUP('Données projet'!$B$10,Paramètres!$A$1:$I$89,3,0)*VLOOKUP('Données projet'!$B$10,Paramètres!$A$1:$I$89,5,0)</f>
        <v>#N/A</v>
      </c>
      <c r="AK175" s="13" t="e">
        <f t="shared" si="164"/>
        <v>#N/A</v>
      </c>
      <c r="AL175" s="20" t="e">
        <f t="shared" si="165"/>
        <v>#N/A</v>
      </c>
      <c r="AM175" s="59" t="e">
        <f t="shared" si="113"/>
        <v>#N/A</v>
      </c>
      <c r="AN175" s="59" t="e">
        <f ca="1">AVERAGE(OFFSET($AM$3,0,0,'Données projet'!$E$10+1,1))-AVERAGE(OFFSET($H$3,0,0,'Données projet'!$E$10+1,1))</f>
        <v>#N/A</v>
      </c>
      <c r="AO175" s="59" t="e">
        <f t="shared" si="144"/>
        <v>#N/A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 t="e">
        <f>EXP(-LN(2)/35)*AU174+(1-EXP(-LN(2)/35))/(LN(2)/35)*AQ175*AR175*VLOOKUP('Données projet'!$B$10,Paramètres!$A$1:$I$89,3,0)*0.475*44/12</f>
        <v>#N/A</v>
      </c>
      <c r="AV175" s="21" t="e">
        <f>EXP(-LN(2)/25)*AV174+(1-EXP(-LN(2)/25))/(LN(2)/25)*Calculateur!AQ175*Calculateur!AS175*VLOOKUP('Données projet'!$B$10,Paramètres!$A$1:$I$89,3,0)*0.475*44/12</f>
        <v>#N/A</v>
      </c>
      <c r="AW175" s="21" t="e">
        <f>EXP(-LN(2)/2)*AW174+(1-EXP(-LN(2)/2))/(LN(2)/2)*AQ175*AT175*VLOOKUP('Données projet'!$B$10,Paramètres!$A$1:$I$89,3,0)*0.475*44/12</f>
        <v>#N/A</v>
      </c>
      <c r="AX175" s="21" t="e">
        <f t="shared" si="166"/>
        <v>#N/A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3">
        <f>'Scénario référence'!$B$16*5+'Scénario référence'!$B$17*0+'Scénario référence'!$B$18*5</f>
        <v>5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140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67">
        <f t="shared" si="110"/>
        <v>183.33333333333334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2.2737367544323206E-13</v>
      </c>
      <c r="O176" s="13">
        <f>N176*VLOOKUP('Données projet'!$B$9,Paramètres!$A$1:$I$89,3,0)*VLOOKUP('Données projet'!$B$9,Paramètres!$A$1:$I$89,5,0)</f>
        <v>1.3596945791505279E-13</v>
      </c>
      <c r="P176" s="13">
        <f t="shared" si="141"/>
        <v>1.9708830566360721E-12</v>
      </c>
      <c r="Q176" s="20">
        <f t="shared" si="162"/>
        <v>3.669434796176543E-12</v>
      </c>
      <c r="R176" s="59">
        <f t="shared" si="109"/>
        <v>288.89331365275217</v>
      </c>
      <c r="S176" s="59">
        <f ca="1">AVERAGE(OFFSET($R$3,0,0,'Données projet'!$E$9+1,1))-AVERAGE(OFFSET($H$3,0,0,'Données projet'!$E$9+1,1))</f>
        <v>297.34058997955685</v>
      </c>
      <c r="T176" s="59">
        <f t="shared" si="142"/>
        <v>440.06633724144069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4.8950494099747104</v>
      </c>
      <c r="AA176" s="21">
        <f>EXP(-LN(2)/25)*AA175+(1-EXP(-LN(2)/25))/(LN(2)/25)*Calculateur!V176*Calculateur!X176*VLOOKUP('Données projet'!$B$9,Paramètres!$A$1:$I$89,3,0)*0.475*44/12</f>
        <v>3.579075449309133</v>
      </c>
      <c r="AB176" s="21">
        <f>EXP(-LN(2)/2)*AB175+(1-EXP(-LN(2)/2))/(LN(2)/2)*V176*Y176*VLOOKUP('Données projet'!$B$9,Paramètres!$A$1:$I$89,3,0)*0.475*44/12</f>
        <v>0</v>
      </c>
      <c r="AC176" s="22">
        <f t="shared" si="163"/>
        <v>8.4741248592838438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 t="e">
        <f>AI176*VLOOKUP('Données projet'!$B$10,Paramètres!$A$1:$I$89,3,0)*VLOOKUP('Données projet'!$B$10,Paramètres!$A$1:$I$89,5,0)</f>
        <v>#N/A</v>
      </c>
      <c r="AK176" s="13" t="e">
        <f t="shared" si="164"/>
        <v>#N/A</v>
      </c>
      <c r="AL176" s="20" t="e">
        <f t="shared" si="165"/>
        <v>#N/A</v>
      </c>
      <c r="AM176" s="59" t="e">
        <f t="shared" si="113"/>
        <v>#N/A</v>
      </c>
      <c r="AN176" s="59" t="e">
        <f ca="1">AVERAGE(OFFSET($AM$3,0,0,'Données projet'!$E$10+1,1))-AVERAGE(OFFSET($H$3,0,0,'Données projet'!$E$10+1,1))</f>
        <v>#N/A</v>
      </c>
      <c r="AO176" s="59" t="e">
        <f t="shared" si="144"/>
        <v>#N/A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 t="e">
        <f>EXP(-LN(2)/35)*AU175+(1-EXP(-LN(2)/35))/(LN(2)/35)*AQ176*AR176*VLOOKUP('Données projet'!$B$10,Paramètres!$A$1:$I$89,3,0)*0.475*44/12</f>
        <v>#N/A</v>
      </c>
      <c r="AV176" s="21" t="e">
        <f>EXP(-LN(2)/25)*AV175+(1-EXP(-LN(2)/25))/(LN(2)/25)*Calculateur!AQ176*Calculateur!AS176*VLOOKUP('Données projet'!$B$10,Paramètres!$A$1:$I$89,3,0)*0.475*44/12</f>
        <v>#N/A</v>
      </c>
      <c r="AW176" s="21" t="e">
        <f>EXP(-LN(2)/2)*AW175+(1-EXP(-LN(2)/2))/(LN(2)/2)*AQ176*AT176*VLOOKUP('Données projet'!$B$10,Paramètres!$A$1:$I$89,3,0)*0.475*44/12</f>
        <v>#N/A</v>
      </c>
      <c r="AX176" s="21" t="e">
        <f t="shared" si="166"/>
        <v>#N/A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3">
        <f>'Scénario référence'!$B$16*5+'Scénario référence'!$B$17*0+'Scénario référence'!$B$18*5</f>
        <v>5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140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67">
        <f t="shared" si="110"/>
        <v>183.33333333333334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2.2737367544323206E-13</v>
      </c>
      <c r="O177" s="13">
        <f>N177*VLOOKUP('Données projet'!$B$9,Paramètres!$A$1:$I$89,3,0)*VLOOKUP('Données projet'!$B$9,Paramètres!$A$1:$I$89,5,0)</f>
        <v>1.3596945791505279E-13</v>
      </c>
      <c r="P177" s="13">
        <f t="shared" si="141"/>
        <v>1.9708830566360721E-12</v>
      </c>
      <c r="Q177" s="20">
        <f t="shared" si="162"/>
        <v>3.669434796176543E-12</v>
      </c>
      <c r="R177" s="59">
        <f t="shared" si="109"/>
        <v>288.97033806781343</v>
      </c>
      <c r="S177" s="59">
        <f ca="1">AVERAGE(OFFSET($R$3,0,0,'Données projet'!$E$9+1,1))-AVERAGE(OFFSET($H$3,0,0,'Données projet'!$E$9+1,1))</f>
        <v>297.34058997955685</v>
      </c>
      <c r="T177" s="59">
        <f t="shared" si="142"/>
        <v>440.06633724144069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4.7990604767304346</v>
      </c>
      <c r="AA177" s="21">
        <f>EXP(-LN(2)/25)*AA176+(1-EXP(-LN(2)/25))/(LN(2)/25)*Calculateur!V177*Calculateur!X177*VLOOKUP('Données projet'!$B$9,Paramètres!$A$1:$I$89,3,0)*0.475*44/12</f>
        <v>3.4812054429323771</v>
      </c>
      <c r="AB177" s="21">
        <f>EXP(-LN(2)/2)*AB176+(1-EXP(-LN(2)/2))/(LN(2)/2)*V177*Y177*VLOOKUP('Données projet'!$B$9,Paramètres!$A$1:$I$89,3,0)*0.475*44/12</f>
        <v>0</v>
      </c>
      <c r="AC177" s="22">
        <f t="shared" si="163"/>
        <v>8.2802659196628117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 t="e">
        <f>AI177*VLOOKUP('Données projet'!$B$10,Paramètres!$A$1:$I$89,3,0)*VLOOKUP('Données projet'!$B$10,Paramètres!$A$1:$I$89,5,0)</f>
        <v>#N/A</v>
      </c>
      <c r="AK177" s="13" t="e">
        <f t="shared" si="164"/>
        <v>#N/A</v>
      </c>
      <c r="AL177" s="20" t="e">
        <f t="shared" si="165"/>
        <v>#N/A</v>
      </c>
      <c r="AM177" s="59" t="e">
        <f t="shared" si="113"/>
        <v>#N/A</v>
      </c>
      <c r="AN177" s="59" t="e">
        <f ca="1">AVERAGE(OFFSET($AM$3,0,0,'Données projet'!$E$10+1,1))-AVERAGE(OFFSET($H$3,0,0,'Données projet'!$E$10+1,1))</f>
        <v>#N/A</v>
      </c>
      <c r="AO177" s="59" t="e">
        <f t="shared" si="144"/>
        <v>#N/A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 t="e">
        <f>EXP(-LN(2)/35)*AU176+(1-EXP(-LN(2)/35))/(LN(2)/35)*AQ177*AR177*VLOOKUP('Données projet'!$B$10,Paramètres!$A$1:$I$89,3,0)*0.475*44/12</f>
        <v>#N/A</v>
      </c>
      <c r="AV177" s="21" t="e">
        <f>EXP(-LN(2)/25)*AV176+(1-EXP(-LN(2)/25))/(LN(2)/25)*Calculateur!AQ177*Calculateur!AS177*VLOOKUP('Données projet'!$B$10,Paramètres!$A$1:$I$89,3,0)*0.475*44/12</f>
        <v>#N/A</v>
      </c>
      <c r="AW177" s="21" t="e">
        <f>EXP(-LN(2)/2)*AW176+(1-EXP(-LN(2)/2))/(LN(2)/2)*AQ177*AT177*VLOOKUP('Données projet'!$B$10,Paramètres!$A$1:$I$89,3,0)*0.475*44/12</f>
        <v>#N/A</v>
      </c>
      <c r="AX177" s="21" t="e">
        <f t="shared" si="166"/>
        <v>#N/A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3">
        <f>'Scénario référence'!$B$16*5+'Scénario référence'!$B$17*0+'Scénario référence'!$B$18*5</f>
        <v>5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140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67">
        <f t="shared" si="110"/>
        <v>183.33333333333334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2.2737367544323206E-13</v>
      </c>
      <c r="O178" s="13">
        <f>N178*VLOOKUP('Données projet'!$B$9,Paramètres!$A$1:$I$89,3,0)*VLOOKUP('Données projet'!$B$9,Paramètres!$A$1:$I$89,5,0)</f>
        <v>1.3596945791505279E-13</v>
      </c>
      <c r="P178" s="13">
        <f t="shared" si="141"/>
        <v>1.9708830566360721E-12</v>
      </c>
      <c r="Q178" s="20">
        <f t="shared" si="162"/>
        <v>3.669434796176543E-12</v>
      </c>
      <c r="R178" s="59">
        <f t="shared" si="109"/>
        <v>289.0460262814741</v>
      </c>
      <c r="S178" s="59">
        <f ca="1">AVERAGE(OFFSET($R$3,0,0,'Données projet'!$E$9+1,1))-AVERAGE(OFFSET($H$3,0,0,'Données projet'!$E$9+1,1))</f>
        <v>297.34058997955685</v>
      </c>
      <c r="T178" s="59">
        <f t="shared" si="142"/>
        <v>440.06633724144069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4.7049538279196108</v>
      </c>
      <c r="AA178" s="21">
        <f>EXP(-LN(2)/25)*AA177+(1-EXP(-LN(2)/25))/(LN(2)/25)*Calculateur!V178*Calculateur!X178*VLOOKUP('Données projet'!$B$9,Paramètres!$A$1:$I$89,3,0)*0.475*44/12</f>
        <v>3.3860116970267535</v>
      </c>
      <c r="AB178" s="21">
        <f>EXP(-LN(2)/2)*AB177+(1-EXP(-LN(2)/2))/(LN(2)/2)*V178*Y178*VLOOKUP('Données projet'!$B$9,Paramètres!$A$1:$I$89,3,0)*0.475*44/12</f>
        <v>0</v>
      </c>
      <c r="AC178" s="22">
        <f t="shared" si="163"/>
        <v>8.0909655249463643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 t="e">
        <f>AI178*VLOOKUP('Données projet'!$B$10,Paramètres!$A$1:$I$89,3,0)*VLOOKUP('Données projet'!$B$10,Paramètres!$A$1:$I$89,5,0)</f>
        <v>#N/A</v>
      </c>
      <c r="AK178" s="13" t="e">
        <f t="shared" si="164"/>
        <v>#N/A</v>
      </c>
      <c r="AL178" s="20" t="e">
        <f t="shared" si="165"/>
        <v>#N/A</v>
      </c>
      <c r="AM178" s="59" t="e">
        <f t="shared" si="113"/>
        <v>#N/A</v>
      </c>
      <c r="AN178" s="59" t="e">
        <f ca="1">AVERAGE(OFFSET($AM$3,0,0,'Données projet'!$E$10+1,1))-AVERAGE(OFFSET($H$3,0,0,'Données projet'!$E$10+1,1))</f>
        <v>#N/A</v>
      </c>
      <c r="AO178" s="59" t="e">
        <f t="shared" si="144"/>
        <v>#N/A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 t="e">
        <f>EXP(-LN(2)/35)*AU177+(1-EXP(-LN(2)/35))/(LN(2)/35)*AQ178*AR178*VLOOKUP('Données projet'!$B$10,Paramètres!$A$1:$I$89,3,0)*0.475*44/12</f>
        <v>#N/A</v>
      </c>
      <c r="AV178" s="21" t="e">
        <f>EXP(-LN(2)/25)*AV177+(1-EXP(-LN(2)/25))/(LN(2)/25)*Calculateur!AQ178*Calculateur!AS178*VLOOKUP('Données projet'!$B$10,Paramètres!$A$1:$I$89,3,0)*0.475*44/12</f>
        <v>#N/A</v>
      </c>
      <c r="AW178" s="21" t="e">
        <f>EXP(-LN(2)/2)*AW177+(1-EXP(-LN(2)/2))/(LN(2)/2)*AQ178*AT178*VLOOKUP('Données projet'!$B$10,Paramètres!$A$1:$I$89,3,0)*0.475*44/12</f>
        <v>#N/A</v>
      </c>
      <c r="AX178" s="21" t="e">
        <f t="shared" si="166"/>
        <v>#N/A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3">
        <f>'Scénario référence'!$B$16*5+'Scénario référence'!$B$17*0+'Scénario référence'!$B$18*5</f>
        <v>5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140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67">
        <f t="shared" si="110"/>
        <v>183.33333333333334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2.2737367544323206E-13</v>
      </c>
      <c r="O179" s="13">
        <f>N179*VLOOKUP('Données projet'!$B$9,Paramètres!$A$1:$I$89,3,0)*VLOOKUP('Données projet'!$B$9,Paramètres!$A$1:$I$89,5,0)</f>
        <v>1.3596945791505279E-13</v>
      </c>
      <c r="P179" s="13">
        <f t="shared" si="141"/>
        <v>1.9708830566360721E-12</v>
      </c>
      <c r="Q179" s="20">
        <f t="shared" si="162"/>
        <v>3.669434796176543E-12</v>
      </c>
      <c r="R179" s="59">
        <f t="shared" si="109"/>
        <v>289.1204014738413</v>
      </c>
      <c r="S179" s="59">
        <f ca="1">AVERAGE(OFFSET($R$3,0,0,'Données projet'!$E$9+1,1))-AVERAGE(OFFSET($H$3,0,0,'Données projet'!$E$9+1,1))</f>
        <v>297.34058997955685</v>
      </c>
      <c r="T179" s="59">
        <f t="shared" si="142"/>
        <v>440.06633724144069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4.6126925530925789</v>
      </c>
      <c r="AA179" s="21">
        <f>EXP(-LN(2)/25)*AA178+(1-EXP(-LN(2)/25))/(LN(2)/25)*Calculateur!V179*Calculateur!X179*VLOOKUP('Données projet'!$B$9,Paramètres!$A$1:$I$89,3,0)*0.475*44/12</f>
        <v>3.2934210291089405</v>
      </c>
      <c r="AB179" s="21">
        <f>EXP(-LN(2)/2)*AB178+(1-EXP(-LN(2)/2))/(LN(2)/2)*V179*Y179*VLOOKUP('Données projet'!$B$9,Paramètres!$A$1:$I$89,3,0)*0.475*44/12</f>
        <v>0</v>
      </c>
      <c r="AC179" s="22">
        <f t="shared" si="163"/>
        <v>7.9061135822015194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 t="e">
        <f>AI179*VLOOKUP('Données projet'!$B$10,Paramètres!$A$1:$I$89,3,0)*VLOOKUP('Données projet'!$B$10,Paramètres!$A$1:$I$89,5,0)</f>
        <v>#N/A</v>
      </c>
      <c r="AK179" s="13" t="e">
        <f t="shared" si="164"/>
        <v>#N/A</v>
      </c>
      <c r="AL179" s="20" t="e">
        <f t="shared" si="165"/>
        <v>#N/A</v>
      </c>
      <c r="AM179" s="59" t="e">
        <f t="shared" si="113"/>
        <v>#N/A</v>
      </c>
      <c r="AN179" s="59" t="e">
        <f ca="1">AVERAGE(OFFSET($AM$3,0,0,'Données projet'!$E$10+1,1))-AVERAGE(OFFSET($H$3,0,0,'Données projet'!$E$10+1,1))</f>
        <v>#N/A</v>
      </c>
      <c r="AO179" s="59" t="e">
        <f t="shared" si="144"/>
        <v>#N/A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 t="e">
        <f>EXP(-LN(2)/35)*AU178+(1-EXP(-LN(2)/35))/(LN(2)/35)*AQ179*AR179*VLOOKUP('Données projet'!$B$10,Paramètres!$A$1:$I$89,3,0)*0.475*44/12</f>
        <v>#N/A</v>
      </c>
      <c r="AV179" s="21" t="e">
        <f>EXP(-LN(2)/25)*AV178+(1-EXP(-LN(2)/25))/(LN(2)/25)*Calculateur!AQ179*Calculateur!AS179*VLOOKUP('Données projet'!$B$10,Paramètres!$A$1:$I$89,3,0)*0.475*44/12</f>
        <v>#N/A</v>
      </c>
      <c r="AW179" s="21" t="e">
        <f>EXP(-LN(2)/2)*AW178+(1-EXP(-LN(2)/2))/(LN(2)/2)*AQ179*AT179*VLOOKUP('Données projet'!$B$10,Paramètres!$A$1:$I$89,3,0)*0.475*44/12</f>
        <v>#N/A</v>
      </c>
      <c r="AX179" s="21" t="e">
        <f t="shared" si="166"/>
        <v>#N/A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3">
        <f>'Scénario référence'!$B$16*5+'Scénario référence'!$B$17*0+'Scénario référence'!$B$18*5</f>
        <v>5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140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67">
        <f t="shared" si="110"/>
        <v>183.33333333333334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2.2737367544323206E-13</v>
      </c>
      <c r="O180" s="13">
        <f>N180*VLOOKUP('Données projet'!$B$9,Paramètres!$A$1:$I$89,3,0)*VLOOKUP('Données projet'!$B$9,Paramètres!$A$1:$I$89,5,0)</f>
        <v>1.3596945791505279E-13</v>
      </c>
      <c r="P180" s="13">
        <f t="shared" si="141"/>
        <v>1.9708830566360721E-12</v>
      </c>
      <c r="Q180" s="20">
        <f t="shared" si="162"/>
        <v>3.669434796176543E-12</v>
      </c>
      <c r="R180" s="59">
        <f t="shared" si="109"/>
        <v>289.19348642289896</v>
      </c>
      <c r="S180" s="59">
        <f ca="1">AVERAGE(OFFSET($R$3,0,0,'Données projet'!$E$9+1,1))-AVERAGE(OFFSET($H$3,0,0,'Données projet'!$E$9+1,1))</f>
        <v>297.34058997955685</v>
      </c>
      <c r="T180" s="59">
        <f t="shared" si="142"/>
        <v>440.06633724144069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4.5222404655910839</v>
      </c>
      <c r="AA180" s="21">
        <f>EXP(-LN(2)/25)*AA179+(1-EXP(-LN(2)/25))/(LN(2)/25)*Calculateur!V180*Calculateur!X180*VLOOKUP('Données projet'!$B$9,Paramètres!$A$1:$I$89,3,0)*0.475*44/12</f>
        <v>3.2033622578744718</v>
      </c>
      <c r="AB180" s="21">
        <f>EXP(-LN(2)/2)*AB179+(1-EXP(-LN(2)/2))/(LN(2)/2)*V180*Y180*VLOOKUP('Données projet'!$B$9,Paramètres!$A$1:$I$89,3,0)*0.475*44/12</f>
        <v>0</v>
      </c>
      <c r="AC180" s="22">
        <f t="shared" si="163"/>
        <v>7.7256027234655562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 t="e">
        <f>AI180*VLOOKUP('Données projet'!$B$10,Paramètres!$A$1:$I$89,3,0)*VLOOKUP('Données projet'!$B$10,Paramètres!$A$1:$I$89,5,0)</f>
        <v>#N/A</v>
      </c>
      <c r="AK180" s="13" t="e">
        <f t="shared" si="164"/>
        <v>#N/A</v>
      </c>
      <c r="AL180" s="20" t="e">
        <f t="shared" si="165"/>
        <v>#N/A</v>
      </c>
      <c r="AM180" s="59" t="e">
        <f t="shared" si="113"/>
        <v>#N/A</v>
      </c>
      <c r="AN180" s="59" t="e">
        <f ca="1">AVERAGE(OFFSET($AM$3,0,0,'Données projet'!$E$10+1,1))-AVERAGE(OFFSET($H$3,0,0,'Données projet'!$E$10+1,1))</f>
        <v>#N/A</v>
      </c>
      <c r="AO180" s="59" t="e">
        <f t="shared" si="144"/>
        <v>#N/A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 t="e">
        <f>EXP(-LN(2)/35)*AU179+(1-EXP(-LN(2)/35))/(LN(2)/35)*AQ180*AR180*VLOOKUP('Données projet'!$B$10,Paramètres!$A$1:$I$89,3,0)*0.475*44/12</f>
        <v>#N/A</v>
      </c>
      <c r="AV180" s="21" t="e">
        <f>EXP(-LN(2)/25)*AV179+(1-EXP(-LN(2)/25))/(LN(2)/25)*Calculateur!AQ180*Calculateur!AS180*VLOOKUP('Données projet'!$B$10,Paramètres!$A$1:$I$89,3,0)*0.475*44/12</f>
        <v>#N/A</v>
      </c>
      <c r="AW180" s="21" t="e">
        <f>EXP(-LN(2)/2)*AW179+(1-EXP(-LN(2)/2))/(LN(2)/2)*AQ180*AT180*VLOOKUP('Données projet'!$B$10,Paramètres!$A$1:$I$89,3,0)*0.475*44/12</f>
        <v>#N/A</v>
      </c>
      <c r="AX180" s="21" t="e">
        <f t="shared" si="166"/>
        <v>#N/A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3">
        <f>'Scénario référence'!$B$16*5+'Scénario référence'!$B$17*0+'Scénario référence'!$B$18*5</f>
        <v>5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140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67">
        <f t="shared" si="110"/>
        <v>183.33333333333334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2.2737367544323206E-13</v>
      </c>
      <c r="O181" s="13">
        <f>N181*VLOOKUP('Données projet'!$B$9,Paramètres!$A$1:$I$89,3,0)*VLOOKUP('Données projet'!$B$9,Paramètres!$A$1:$I$89,5,0)</f>
        <v>1.3596945791505279E-13</v>
      </c>
      <c r="P181" s="13">
        <f t="shared" si="141"/>
        <v>1.9708830566360721E-12</v>
      </c>
      <c r="Q181" s="20">
        <f t="shared" si="162"/>
        <v>3.669434796176543E-12</v>
      </c>
      <c r="R181" s="59">
        <f t="shared" si="109"/>
        <v>289.26530351148386</v>
      </c>
      <c r="S181" s="59">
        <f ca="1">AVERAGE(OFFSET($R$3,0,0,'Données projet'!$E$9+1,1))-AVERAGE(OFFSET($H$3,0,0,'Données projet'!$E$9+1,1))</f>
        <v>297.34058997955685</v>
      </c>
      <c r="T181" s="59">
        <f t="shared" si="142"/>
        <v>440.06633724144069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4.4335620883551679</v>
      </c>
      <c r="AA181" s="21">
        <f>EXP(-LN(2)/25)*AA180+(1-EXP(-LN(2)/25))/(LN(2)/25)*Calculateur!V181*Calculateur!X181*VLOOKUP('Données projet'!$B$9,Paramètres!$A$1:$I$89,3,0)*0.475*44/12</f>
        <v>3.1157661484753945</v>
      </c>
      <c r="AB181" s="21">
        <f>EXP(-LN(2)/2)*AB180+(1-EXP(-LN(2)/2))/(LN(2)/2)*V181*Y181*VLOOKUP('Données projet'!$B$9,Paramètres!$A$1:$I$89,3,0)*0.475*44/12</f>
        <v>0</v>
      </c>
      <c r="AC181" s="22">
        <f t="shared" si="163"/>
        <v>7.5493282368305623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 t="e">
        <f>AI181*VLOOKUP('Données projet'!$B$10,Paramètres!$A$1:$I$89,3,0)*VLOOKUP('Données projet'!$B$10,Paramètres!$A$1:$I$89,5,0)</f>
        <v>#N/A</v>
      </c>
      <c r="AK181" s="13" t="e">
        <f t="shared" si="164"/>
        <v>#N/A</v>
      </c>
      <c r="AL181" s="20" t="e">
        <f t="shared" si="165"/>
        <v>#N/A</v>
      </c>
      <c r="AM181" s="59" t="e">
        <f t="shared" si="113"/>
        <v>#N/A</v>
      </c>
      <c r="AN181" s="59" t="e">
        <f ca="1">AVERAGE(OFFSET($AM$3,0,0,'Données projet'!$E$10+1,1))-AVERAGE(OFFSET($H$3,0,0,'Données projet'!$E$10+1,1))</f>
        <v>#N/A</v>
      </c>
      <c r="AO181" s="59" t="e">
        <f t="shared" si="144"/>
        <v>#N/A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 t="e">
        <f>EXP(-LN(2)/35)*AU180+(1-EXP(-LN(2)/35))/(LN(2)/35)*AQ181*AR181*VLOOKUP('Données projet'!$B$10,Paramètres!$A$1:$I$89,3,0)*0.475*44/12</f>
        <v>#N/A</v>
      </c>
      <c r="AV181" s="21" t="e">
        <f>EXP(-LN(2)/25)*AV180+(1-EXP(-LN(2)/25))/(LN(2)/25)*Calculateur!AQ181*Calculateur!AS181*VLOOKUP('Données projet'!$B$10,Paramètres!$A$1:$I$89,3,0)*0.475*44/12</f>
        <v>#N/A</v>
      </c>
      <c r="AW181" s="21" t="e">
        <f>EXP(-LN(2)/2)*AW180+(1-EXP(-LN(2)/2))/(LN(2)/2)*AQ181*AT181*VLOOKUP('Données projet'!$B$10,Paramètres!$A$1:$I$89,3,0)*0.475*44/12</f>
        <v>#N/A</v>
      </c>
      <c r="AX181" s="21" t="e">
        <f t="shared" si="166"/>
        <v>#N/A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3">
        <f>'Scénario référence'!$B$16*5+'Scénario référence'!$B$17*0+'Scénario référence'!$B$18*5</f>
        <v>5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140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67">
        <f t="shared" si="110"/>
        <v>183.33333333333334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2.2737367544323206E-13</v>
      </c>
      <c r="O182" s="13">
        <f>N182*VLOOKUP('Données projet'!$B$9,Paramètres!$A$1:$I$89,3,0)*VLOOKUP('Données projet'!$B$9,Paramètres!$A$1:$I$89,5,0)</f>
        <v>1.3596945791505279E-13</v>
      </c>
      <c r="P182" s="13">
        <f t="shared" si="141"/>
        <v>1.9708830566360721E-12</v>
      </c>
      <c r="Q182" s="20">
        <f t="shared" si="162"/>
        <v>3.669434796176543E-12</v>
      </c>
      <c r="R182" s="59">
        <f t="shared" si="109"/>
        <v>289.33587473414082</v>
      </c>
      <c r="S182" s="59">
        <f ca="1">AVERAGE(OFFSET($R$3,0,0,'Données projet'!$E$9+1,1))-AVERAGE(OFFSET($H$3,0,0,'Données projet'!$E$9+1,1))</f>
        <v>297.34058997955685</v>
      </c>
      <c r="T182" s="59">
        <f t="shared" si="142"/>
        <v>440.06633724144069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4.3466226400083787</v>
      </c>
      <c r="AA182" s="21">
        <f>EXP(-LN(2)/25)*AA181+(1-EXP(-LN(2)/25))/(LN(2)/25)*Calculateur!V182*Calculateur!X182*VLOOKUP('Données projet'!$B$9,Paramètres!$A$1:$I$89,3,0)*0.475*44/12</f>
        <v>3.030565359294314</v>
      </c>
      <c r="AB182" s="21">
        <f>EXP(-LN(2)/2)*AB181+(1-EXP(-LN(2)/2))/(LN(2)/2)*V182*Y182*VLOOKUP('Données projet'!$B$9,Paramètres!$A$1:$I$89,3,0)*0.475*44/12</f>
        <v>0</v>
      </c>
      <c r="AC182" s="22">
        <f t="shared" si="163"/>
        <v>7.3771879993026932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 t="e">
        <f>AI182*VLOOKUP('Données projet'!$B$10,Paramètres!$A$1:$I$89,3,0)*VLOOKUP('Données projet'!$B$10,Paramètres!$A$1:$I$89,5,0)</f>
        <v>#N/A</v>
      </c>
      <c r="AK182" s="13" t="e">
        <f t="shared" si="164"/>
        <v>#N/A</v>
      </c>
      <c r="AL182" s="20" t="e">
        <f t="shared" si="165"/>
        <v>#N/A</v>
      </c>
      <c r="AM182" s="59" t="e">
        <f t="shared" si="113"/>
        <v>#N/A</v>
      </c>
      <c r="AN182" s="59" t="e">
        <f ca="1">AVERAGE(OFFSET($AM$3,0,0,'Données projet'!$E$10+1,1))-AVERAGE(OFFSET($H$3,0,0,'Données projet'!$E$10+1,1))</f>
        <v>#N/A</v>
      </c>
      <c r="AO182" s="59" t="e">
        <f t="shared" si="144"/>
        <v>#N/A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 t="e">
        <f>EXP(-LN(2)/35)*AU181+(1-EXP(-LN(2)/35))/(LN(2)/35)*AQ182*AR182*VLOOKUP('Données projet'!$B$10,Paramètres!$A$1:$I$89,3,0)*0.475*44/12</f>
        <v>#N/A</v>
      </c>
      <c r="AV182" s="21" t="e">
        <f>EXP(-LN(2)/25)*AV181+(1-EXP(-LN(2)/25))/(LN(2)/25)*Calculateur!AQ182*Calculateur!AS182*VLOOKUP('Données projet'!$B$10,Paramètres!$A$1:$I$89,3,0)*0.475*44/12</f>
        <v>#N/A</v>
      </c>
      <c r="AW182" s="21" t="e">
        <f>EXP(-LN(2)/2)*AW181+(1-EXP(-LN(2)/2))/(LN(2)/2)*AQ182*AT182*VLOOKUP('Données projet'!$B$10,Paramètres!$A$1:$I$89,3,0)*0.475*44/12</f>
        <v>#N/A</v>
      </c>
      <c r="AX182" s="21" t="e">
        <f t="shared" si="166"/>
        <v>#N/A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3">
        <f>'Scénario référence'!$B$16*5+'Scénario référence'!$B$17*0+'Scénario référence'!$B$18*5</f>
        <v>5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140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67">
        <f t="shared" si="110"/>
        <v>183.33333333333334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2.2737367544323206E-13</v>
      </c>
      <c r="O183" s="13">
        <f>N183*VLOOKUP('Données projet'!$B$9,Paramètres!$A$1:$I$89,3,0)*VLOOKUP('Données projet'!$B$9,Paramètres!$A$1:$I$89,5,0)</f>
        <v>1.3596945791505279E-13</v>
      </c>
      <c r="P183" s="13">
        <f t="shared" si="141"/>
        <v>1.9708830566360721E-12</v>
      </c>
      <c r="Q183" s="20">
        <f t="shared" si="162"/>
        <v>3.669434796176543E-12</v>
      </c>
      <c r="R183" s="59">
        <f t="shared" si="109"/>
        <v>289.40522170385833</v>
      </c>
      <c r="S183" s="59">
        <f ca="1">AVERAGE(OFFSET($R$3,0,0,'Données projet'!$E$9+1,1))-AVERAGE(OFFSET($H$3,0,0,'Données projet'!$E$9+1,1))</f>
        <v>297.34058997955685</v>
      </c>
      <c r="T183" s="59">
        <f t="shared" si="142"/>
        <v>440.06633724144069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4.2613880212158426</v>
      </c>
      <c r="AA183" s="21">
        <f>EXP(-LN(2)/25)*AA182+(1-EXP(-LN(2)/25))/(LN(2)/25)*Calculateur!V183*Calculateur!X183*VLOOKUP('Données projet'!$B$9,Paramètres!$A$1:$I$89,3,0)*0.475*44/12</f>
        <v>2.947694390173905</v>
      </c>
      <c r="AB183" s="21">
        <f>EXP(-LN(2)/2)*AB182+(1-EXP(-LN(2)/2))/(LN(2)/2)*V183*Y183*VLOOKUP('Données projet'!$B$9,Paramètres!$A$1:$I$89,3,0)*0.475*44/12</f>
        <v>0</v>
      </c>
      <c r="AC183" s="22">
        <f t="shared" si="163"/>
        <v>7.2090824113897476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 t="e">
        <f>AI183*VLOOKUP('Données projet'!$B$10,Paramètres!$A$1:$I$89,3,0)*VLOOKUP('Données projet'!$B$10,Paramètres!$A$1:$I$89,5,0)</f>
        <v>#N/A</v>
      </c>
      <c r="AK183" s="13" t="e">
        <f t="shared" si="164"/>
        <v>#N/A</v>
      </c>
      <c r="AL183" s="20" t="e">
        <f t="shared" si="165"/>
        <v>#N/A</v>
      </c>
      <c r="AM183" s="59" t="e">
        <f t="shared" si="113"/>
        <v>#N/A</v>
      </c>
      <c r="AN183" s="59" t="e">
        <f ca="1">AVERAGE(OFFSET($AM$3,0,0,'Données projet'!$E$10+1,1))-AVERAGE(OFFSET($H$3,0,0,'Données projet'!$E$10+1,1))</f>
        <v>#N/A</v>
      </c>
      <c r="AO183" s="59" t="e">
        <f t="shared" si="144"/>
        <v>#N/A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 t="e">
        <f>EXP(-LN(2)/35)*AU182+(1-EXP(-LN(2)/35))/(LN(2)/35)*AQ183*AR183*VLOOKUP('Données projet'!$B$10,Paramètres!$A$1:$I$89,3,0)*0.475*44/12</f>
        <v>#N/A</v>
      </c>
      <c r="AV183" s="21" t="e">
        <f>EXP(-LN(2)/25)*AV182+(1-EXP(-LN(2)/25))/(LN(2)/25)*Calculateur!AQ183*Calculateur!AS183*VLOOKUP('Données projet'!$B$10,Paramètres!$A$1:$I$89,3,0)*0.475*44/12</f>
        <v>#N/A</v>
      </c>
      <c r="AW183" s="21" t="e">
        <f>EXP(-LN(2)/2)*AW182+(1-EXP(-LN(2)/2))/(LN(2)/2)*AQ183*AT183*VLOOKUP('Données projet'!$B$10,Paramètres!$A$1:$I$89,3,0)*0.475*44/12</f>
        <v>#N/A</v>
      </c>
      <c r="AX183" s="21" t="e">
        <f t="shared" si="166"/>
        <v>#N/A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3">
        <f>'Scénario référence'!$B$16*5+'Scénario référence'!$B$17*0+'Scénario référence'!$B$18*5</f>
        <v>5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140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67">
        <f t="shared" si="110"/>
        <v>183.33333333333334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2.2737367544323206E-13</v>
      </c>
      <c r="O184" s="13">
        <f>N184*VLOOKUP('Données projet'!$B$9,Paramètres!$A$1:$I$89,3,0)*VLOOKUP('Données projet'!$B$9,Paramètres!$A$1:$I$89,5,0)</f>
        <v>1.3596945791505279E-13</v>
      </c>
      <c r="P184" s="13">
        <f t="shared" si="141"/>
        <v>1.9708830566360721E-12</v>
      </c>
      <c r="Q184" s="20">
        <f t="shared" si="162"/>
        <v>3.669434796176543E-12</v>
      </c>
      <c r="R184" s="59">
        <f t="shared" si="109"/>
        <v>289.47336565868778</v>
      </c>
      <c r="S184" s="59">
        <f ca="1">AVERAGE(OFFSET($R$3,0,0,'Données projet'!$E$9+1,1))-AVERAGE(OFFSET($H$3,0,0,'Données projet'!$E$9+1,1))</f>
        <v>297.34058997955685</v>
      </c>
      <c r="T184" s="59">
        <f t="shared" si="142"/>
        <v>440.06633724144069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4.1778248013098445</v>
      </c>
      <c r="AA184" s="21">
        <f>EXP(-LN(2)/25)*AA183+(1-EXP(-LN(2)/25))/(LN(2)/25)*Calculateur!V184*Calculateur!X184*VLOOKUP('Données projet'!$B$9,Paramètres!$A$1:$I$89,3,0)*0.475*44/12</f>
        <v>2.8670895320620886</v>
      </c>
      <c r="AB184" s="21">
        <f>EXP(-LN(2)/2)*AB183+(1-EXP(-LN(2)/2))/(LN(2)/2)*V184*Y184*VLOOKUP('Données projet'!$B$9,Paramètres!$A$1:$I$89,3,0)*0.475*44/12</f>
        <v>0</v>
      </c>
      <c r="AC184" s="22">
        <f t="shared" si="163"/>
        <v>7.0449143333719331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 t="e">
        <f>AI184*VLOOKUP('Données projet'!$B$10,Paramètres!$A$1:$I$89,3,0)*VLOOKUP('Données projet'!$B$10,Paramètres!$A$1:$I$89,5,0)</f>
        <v>#N/A</v>
      </c>
      <c r="AK184" s="13" t="e">
        <f t="shared" si="164"/>
        <v>#N/A</v>
      </c>
      <c r="AL184" s="20" t="e">
        <f t="shared" si="165"/>
        <v>#N/A</v>
      </c>
      <c r="AM184" s="59" t="e">
        <f t="shared" si="113"/>
        <v>#N/A</v>
      </c>
      <c r="AN184" s="59" t="e">
        <f ca="1">AVERAGE(OFFSET($AM$3,0,0,'Données projet'!$E$10+1,1))-AVERAGE(OFFSET($H$3,0,0,'Données projet'!$E$10+1,1))</f>
        <v>#N/A</v>
      </c>
      <c r="AO184" s="59" t="e">
        <f t="shared" si="144"/>
        <v>#N/A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 t="e">
        <f>EXP(-LN(2)/35)*AU183+(1-EXP(-LN(2)/35))/(LN(2)/35)*AQ184*AR184*VLOOKUP('Données projet'!$B$10,Paramètres!$A$1:$I$89,3,0)*0.475*44/12</f>
        <v>#N/A</v>
      </c>
      <c r="AV184" s="21" t="e">
        <f>EXP(-LN(2)/25)*AV183+(1-EXP(-LN(2)/25))/(LN(2)/25)*Calculateur!AQ184*Calculateur!AS184*VLOOKUP('Données projet'!$B$10,Paramètres!$A$1:$I$89,3,0)*0.475*44/12</f>
        <v>#N/A</v>
      </c>
      <c r="AW184" s="21" t="e">
        <f>EXP(-LN(2)/2)*AW183+(1-EXP(-LN(2)/2))/(LN(2)/2)*AQ184*AT184*VLOOKUP('Données projet'!$B$10,Paramètres!$A$1:$I$89,3,0)*0.475*44/12</f>
        <v>#N/A</v>
      </c>
      <c r="AX184" s="21" t="e">
        <f t="shared" si="166"/>
        <v>#N/A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3">
        <f>'Scénario référence'!$B$16*5+'Scénario référence'!$B$17*0+'Scénario référence'!$B$18*5</f>
        <v>5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140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67">
        <f t="shared" si="110"/>
        <v>183.33333333333334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2.2737367544323206E-13</v>
      </c>
      <c r="O185" s="13">
        <f>N185*VLOOKUP('Données projet'!$B$9,Paramètres!$A$1:$I$89,3,0)*VLOOKUP('Données projet'!$B$9,Paramètres!$A$1:$I$89,5,0)</f>
        <v>1.3596945791505279E-13</v>
      </c>
      <c r="P185" s="13">
        <f t="shared" si="141"/>
        <v>1.9708830566360721E-12</v>
      </c>
      <c r="Q185" s="20">
        <f t="shared" si="162"/>
        <v>3.669434796176543E-12</v>
      </c>
      <c r="R185" s="59">
        <f t="shared" si="109"/>
        <v>289.54032746824811</v>
      </c>
      <c r="S185" s="59">
        <f ca="1">AVERAGE(OFFSET($R$3,0,0,'Données projet'!$E$9+1,1))-AVERAGE(OFFSET($H$3,0,0,'Données projet'!$E$9+1,1))</f>
        <v>297.34058997955685</v>
      </c>
      <c r="T185" s="59">
        <f t="shared" si="142"/>
        <v>440.06633724144069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4.0959002051776716</v>
      </c>
      <c r="AA185" s="21">
        <f>EXP(-LN(2)/25)*AA184+(1-EXP(-LN(2)/25))/(LN(2)/25)*Calculateur!V185*Calculateur!X185*VLOOKUP('Données projet'!$B$9,Paramètres!$A$1:$I$89,3,0)*0.475*44/12</f>
        <v>2.7886888180341649</v>
      </c>
      <c r="AB185" s="21">
        <f>EXP(-LN(2)/2)*AB184+(1-EXP(-LN(2)/2))/(LN(2)/2)*V185*Y185*VLOOKUP('Données projet'!$B$9,Paramètres!$A$1:$I$89,3,0)*0.475*44/12</f>
        <v>0</v>
      </c>
      <c r="AC185" s="22">
        <f t="shared" si="163"/>
        <v>6.8845890232118361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 t="e">
        <f>AI185*VLOOKUP('Données projet'!$B$10,Paramètres!$A$1:$I$89,3,0)*VLOOKUP('Données projet'!$B$10,Paramètres!$A$1:$I$89,5,0)</f>
        <v>#N/A</v>
      </c>
      <c r="AK185" s="13" t="e">
        <f t="shared" si="164"/>
        <v>#N/A</v>
      </c>
      <c r="AL185" s="20" t="e">
        <f t="shared" si="165"/>
        <v>#N/A</v>
      </c>
      <c r="AM185" s="59" t="e">
        <f t="shared" si="113"/>
        <v>#N/A</v>
      </c>
      <c r="AN185" s="59" t="e">
        <f ca="1">AVERAGE(OFFSET($AM$3,0,0,'Données projet'!$E$10+1,1))-AVERAGE(OFFSET($H$3,0,0,'Données projet'!$E$10+1,1))</f>
        <v>#N/A</v>
      </c>
      <c r="AO185" s="59" t="e">
        <f t="shared" si="144"/>
        <v>#N/A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 t="e">
        <f>EXP(-LN(2)/35)*AU184+(1-EXP(-LN(2)/35))/(LN(2)/35)*AQ185*AR185*VLOOKUP('Données projet'!$B$10,Paramètres!$A$1:$I$89,3,0)*0.475*44/12</f>
        <v>#N/A</v>
      </c>
      <c r="AV185" s="21" t="e">
        <f>EXP(-LN(2)/25)*AV184+(1-EXP(-LN(2)/25))/(LN(2)/25)*Calculateur!AQ185*Calculateur!AS185*VLOOKUP('Données projet'!$B$10,Paramètres!$A$1:$I$89,3,0)*0.475*44/12</f>
        <v>#N/A</v>
      </c>
      <c r="AW185" s="21" t="e">
        <f>EXP(-LN(2)/2)*AW184+(1-EXP(-LN(2)/2))/(LN(2)/2)*AQ185*AT185*VLOOKUP('Données projet'!$B$10,Paramètres!$A$1:$I$89,3,0)*0.475*44/12</f>
        <v>#N/A</v>
      </c>
      <c r="AX185" s="21" t="e">
        <f t="shared" si="166"/>
        <v>#N/A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3">
        <f>'Scénario référence'!$B$16*5+'Scénario référence'!$B$17*0+'Scénario référence'!$B$18*5</f>
        <v>5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140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67">
        <f t="shared" si="110"/>
        <v>183.33333333333334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2.2737367544323206E-13</v>
      </c>
      <c r="O186" s="13">
        <f>N186*VLOOKUP('Données projet'!$B$9,Paramètres!$A$1:$I$89,3,0)*VLOOKUP('Données projet'!$B$9,Paramètres!$A$1:$I$89,5,0)</f>
        <v>1.3596945791505279E-13</v>
      </c>
      <c r="P186" s="13">
        <f t="shared" si="141"/>
        <v>1.9708830566360721E-12</v>
      </c>
      <c r="Q186" s="20">
        <f t="shared" si="162"/>
        <v>3.669434796176543E-12</v>
      </c>
      <c r="R186" s="59">
        <f t="shared" si="109"/>
        <v>289.60612764011665</v>
      </c>
      <c r="S186" s="59">
        <f ca="1">AVERAGE(OFFSET($R$3,0,0,'Données projet'!$E$9+1,1))-AVERAGE(OFFSET($H$3,0,0,'Données projet'!$E$9+1,1))</f>
        <v>297.34058997955685</v>
      </c>
      <c r="T186" s="59">
        <f t="shared" si="142"/>
        <v>440.06633724144069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4.015582100406581</v>
      </c>
      <c r="AA186" s="21">
        <f>EXP(-LN(2)/25)*AA185+(1-EXP(-LN(2)/25))/(LN(2)/25)*Calculateur!V186*Calculateur!X186*VLOOKUP('Données projet'!$B$9,Paramètres!$A$1:$I$89,3,0)*0.475*44/12</f>
        <v>2.7124319756542494</v>
      </c>
      <c r="AB186" s="21">
        <f>EXP(-LN(2)/2)*AB185+(1-EXP(-LN(2)/2))/(LN(2)/2)*V186*Y186*VLOOKUP('Données projet'!$B$9,Paramètres!$A$1:$I$89,3,0)*0.475*44/12</f>
        <v>0</v>
      </c>
      <c r="AC186" s="22">
        <f t="shared" si="163"/>
        <v>6.7280140760608305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 t="e">
        <f>AI186*VLOOKUP('Données projet'!$B$10,Paramètres!$A$1:$I$89,3,0)*VLOOKUP('Données projet'!$B$10,Paramètres!$A$1:$I$89,5,0)</f>
        <v>#N/A</v>
      </c>
      <c r="AK186" s="13" t="e">
        <f t="shared" si="164"/>
        <v>#N/A</v>
      </c>
      <c r="AL186" s="20" t="e">
        <f t="shared" si="165"/>
        <v>#N/A</v>
      </c>
      <c r="AM186" s="59" t="e">
        <f t="shared" si="113"/>
        <v>#N/A</v>
      </c>
      <c r="AN186" s="59" t="e">
        <f ca="1">AVERAGE(OFFSET($AM$3,0,0,'Données projet'!$E$10+1,1))-AVERAGE(OFFSET($H$3,0,0,'Données projet'!$E$10+1,1))</f>
        <v>#N/A</v>
      </c>
      <c r="AO186" s="59" t="e">
        <f t="shared" si="144"/>
        <v>#N/A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 t="e">
        <f>EXP(-LN(2)/35)*AU185+(1-EXP(-LN(2)/35))/(LN(2)/35)*AQ186*AR186*VLOOKUP('Données projet'!$B$10,Paramètres!$A$1:$I$89,3,0)*0.475*44/12</f>
        <v>#N/A</v>
      </c>
      <c r="AV186" s="21" t="e">
        <f>EXP(-LN(2)/25)*AV185+(1-EXP(-LN(2)/25))/(LN(2)/25)*Calculateur!AQ186*Calculateur!AS186*VLOOKUP('Données projet'!$B$10,Paramètres!$A$1:$I$89,3,0)*0.475*44/12</f>
        <v>#N/A</v>
      </c>
      <c r="AW186" s="21" t="e">
        <f>EXP(-LN(2)/2)*AW185+(1-EXP(-LN(2)/2))/(LN(2)/2)*AQ186*AT186*VLOOKUP('Données projet'!$B$10,Paramètres!$A$1:$I$89,3,0)*0.475*44/12</f>
        <v>#N/A</v>
      </c>
      <c r="AX186" s="21" t="e">
        <f t="shared" si="166"/>
        <v>#N/A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3">
        <f>'Scénario référence'!$B$16*5+'Scénario référence'!$B$17*0+'Scénario référence'!$B$18*5</f>
        <v>5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140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67">
        <f t="shared" si="110"/>
        <v>183.33333333333334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2.2737367544323206E-13</v>
      </c>
      <c r="O187" s="13">
        <f>N187*VLOOKUP('Données projet'!$B$9,Paramètres!$A$1:$I$89,3,0)*VLOOKUP('Données projet'!$B$9,Paramètres!$A$1:$I$89,5,0)</f>
        <v>1.3596945791505279E-13</v>
      </c>
      <c r="P187" s="13">
        <f t="shared" si="141"/>
        <v>1.9708830566360721E-12</v>
      </c>
      <c r="Q187" s="20">
        <f t="shared" si="162"/>
        <v>3.669434796176543E-12</v>
      </c>
      <c r="R187" s="59">
        <f t="shared" si="109"/>
        <v>289.67078632611043</v>
      </c>
      <c r="S187" s="59">
        <f ca="1">AVERAGE(OFFSET($R$3,0,0,'Données projet'!$E$9+1,1))-AVERAGE(OFFSET($H$3,0,0,'Données projet'!$E$9+1,1))</f>
        <v>297.34058997955685</v>
      </c>
      <c r="T187" s="59">
        <f t="shared" si="142"/>
        <v>440.06633724144069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3.9368389846808447</v>
      </c>
      <c r="AA187" s="21">
        <f>EXP(-LN(2)/25)*AA186+(1-EXP(-LN(2)/25))/(LN(2)/25)*Calculateur!V187*Calculateur!X187*VLOOKUP('Données projet'!$B$9,Paramètres!$A$1:$I$89,3,0)*0.475*44/12</f>
        <v>2.6382603806393856</v>
      </c>
      <c r="AB187" s="21">
        <f>EXP(-LN(2)/2)*AB186+(1-EXP(-LN(2)/2))/(LN(2)/2)*V187*Y187*VLOOKUP('Données projet'!$B$9,Paramètres!$A$1:$I$89,3,0)*0.475*44/12</f>
        <v>0</v>
      </c>
      <c r="AC187" s="22">
        <f t="shared" si="163"/>
        <v>6.5750993653202308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 t="e">
        <f>AI187*VLOOKUP('Données projet'!$B$10,Paramètres!$A$1:$I$89,3,0)*VLOOKUP('Données projet'!$B$10,Paramètres!$A$1:$I$89,5,0)</f>
        <v>#N/A</v>
      </c>
      <c r="AK187" s="13" t="e">
        <f t="shared" si="164"/>
        <v>#N/A</v>
      </c>
      <c r="AL187" s="20" t="e">
        <f t="shared" si="165"/>
        <v>#N/A</v>
      </c>
      <c r="AM187" s="59" t="e">
        <f t="shared" si="113"/>
        <v>#N/A</v>
      </c>
      <c r="AN187" s="59" t="e">
        <f ca="1">AVERAGE(OFFSET($AM$3,0,0,'Données projet'!$E$10+1,1))-AVERAGE(OFFSET($H$3,0,0,'Données projet'!$E$10+1,1))</f>
        <v>#N/A</v>
      </c>
      <c r="AO187" s="59" t="e">
        <f t="shared" si="144"/>
        <v>#N/A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 t="e">
        <f>EXP(-LN(2)/35)*AU186+(1-EXP(-LN(2)/35))/(LN(2)/35)*AQ187*AR187*VLOOKUP('Données projet'!$B$10,Paramètres!$A$1:$I$89,3,0)*0.475*44/12</f>
        <v>#N/A</v>
      </c>
      <c r="AV187" s="21" t="e">
        <f>EXP(-LN(2)/25)*AV186+(1-EXP(-LN(2)/25))/(LN(2)/25)*Calculateur!AQ187*Calculateur!AS187*VLOOKUP('Données projet'!$B$10,Paramètres!$A$1:$I$89,3,0)*0.475*44/12</f>
        <v>#N/A</v>
      </c>
      <c r="AW187" s="21" t="e">
        <f>EXP(-LN(2)/2)*AW186+(1-EXP(-LN(2)/2))/(LN(2)/2)*AQ187*AT187*VLOOKUP('Données projet'!$B$10,Paramètres!$A$1:$I$89,3,0)*0.475*44/12</f>
        <v>#N/A</v>
      </c>
      <c r="AX187" s="21" t="e">
        <f t="shared" si="166"/>
        <v>#N/A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3">
        <f>'Scénario référence'!$B$16*5+'Scénario référence'!$B$17*0+'Scénario référence'!$B$18*5</f>
        <v>5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140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67">
        <f t="shared" si="110"/>
        <v>183.33333333333334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2.2737367544323206E-13</v>
      </c>
      <c r="O188" s="13">
        <f>N188*VLOOKUP('Données projet'!$B$9,Paramètres!$A$1:$I$89,3,0)*VLOOKUP('Données projet'!$B$9,Paramètres!$A$1:$I$89,5,0)</f>
        <v>1.3596945791505279E-13</v>
      </c>
      <c r="P188" s="13">
        <f t="shared" si="141"/>
        <v>1.9708830566360721E-12</v>
      </c>
      <c r="Q188" s="20">
        <f t="shared" si="162"/>
        <v>3.669434796176543E-12</v>
      </c>
      <c r="R188" s="59">
        <f t="shared" si="109"/>
        <v>289.73432332845744</v>
      </c>
      <c r="S188" s="59">
        <f ca="1">AVERAGE(OFFSET($R$3,0,0,'Données projet'!$E$9+1,1))-AVERAGE(OFFSET($H$3,0,0,'Données projet'!$E$9+1,1))</f>
        <v>297.34058997955685</v>
      </c>
      <c r="T188" s="59">
        <f t="shared" si="142"/>
        <v>440.06633724144069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3.8596399734259319</v>
      </c>
      <c r="AA188" s="21">
        <f>EXP(-LN(2)/25)*AA187+(1-EXP(-LN(2)/25))/(LN(2)/25)*Calculateur!V188*Calculateur!X188*VLOOKUP('Données projet'!$B$9,Paramètres!$A$1:$I$89,3,0)*0.475*44/12</f>
        <v>2.5661170117907179</v>
      </c>
      <c r="AB188" s="21">
        <f>EXP(-LN(2)/2)*AB187+(1-EXP(-LN(2)/2))/(LN(2)/2)*V188*Y188*VLOOKUP('Données projet'!$B$9,Paramètres!$A$1:$I$89,3,0)*0.475*44/12</f>
        <v>0</v>
      </c>
      <c r="AC188" s="22">
        <f t="shared" si="163"/>
        <v>6.4257569852166494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 t="e">
        <f>AI188*VLOOKUP('Données projet'!$B$10,Paramètres!$A$1:$I$89,3,0)*VLOOKUP('Données projet'!$B$10,Paramètres!$A$1:$I$89,5,0)</f>
        <v>#N/A</v>
      </c>
      <c r="AK188" s="13" t="e">
        <f t="shared" si="164"/>
        <v>#N/A</v>
      </c>
      <c r="AL188" s="20" t="e">
        <f t="shared" si="165"/>
        <v>#N/A</v>
      </c>
      <c r="AM188" s="59" t="e">
        <f t="shared" si="113"/>
        <v>#N/A</v>
      </c>
      <c r="AN188" s="59" t="e">
        <f ca="1">AVERAGE(OFFSET($AM$3,0,0,'Données projet'!$E$10+1,1))-AVERAGE(OFFSET($H$3,0,0,'Données projet'!$E$10+1,1))</f>
        <v>#N/A</v>
      </c>
      <c r="AO188" s="59" t="e">
        <f t="shared" si="144"/>
        <v>#N/A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 t="e">
        <f>EXP(-LN(2)/35)*AU187+(1-EXP(-LN(2)/35))/(LN(2)/35)*AQ188*AR188*VLOOKUP('Données projet'!$B$10,Paramètres!$A$1:$I$89,3,0)*0.475*44/12</f>
        <v>#N/A</v>
      </c>
      <c r="AV188" s="21" t="e">
        <f>EXP(-LN(2)/25)*AV187+(1-EXP(-LN(2)/25))/(LN(2)/25)*Calculateur!AQ188*Calculateur!AS188*VLOOKUP('Données projet'!$B$10,Paramètres!$A$1:$I$89,3,0)*0.475*44/12</f>
        <v>#N/A</v>
      </c>
      <c r="AW188" s="21" t="e">
        <f>EXP(-LN(2)/2)*AW187+(1-EXP(-LN(2)/2))/(LN(2)/2)*AQ188*AT188*VLOOKUP('Données projet'!$B$10,Paramètres!$A$1:$I$89,3,0)*0.475*44/12</f>
        <v>#N/A</v>
      </c>
      <c r="AX188" s="21" t="e">
        <f t="shared" si="166"/>
        <v>#N/A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3">
        <f>'Scénario référence'!$B$16*5+'Scénario référence'!$B$17*0+'Scénario référence'!$B$18*5</f>
        <v>5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140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67">
        <f t="shared" si="110"/>
        <v>183.33333333333334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2.2737367544323206E-13</v>
      </c>
      <c r="O189" s="13">
        <f>N189*VLOOKUP('Données projet'!$B$9,Paramètres!$A$1:$I$89,3,0)*VLOOKUP('Données projet'!$B$9,Paramètres!$A$1:$I$89,5,0)</f>
        <v>1.3596945791505279E-13</v>
      </c>
      <c r="P189" s="13">
        <f t="shared" si="141"/>
        <v>1.9708830566360721E-12</v>
      </c>
      <c r="Q189" s="20">
        <f t="shared" si="162"/>
        <v>3.669434796176543E-12</v>
      </c>
      <c r="R189" s="59">
        <f t="shared" si="109"/>
        <v>289.7967581058611</v>
      </c>
      <c r="S189" s="59">
        <f ca="1">AVERAGE(OFFSET($R$3,0,0,'Données projet'!$E$9+1,1))-AVERAGE(OFFSET($H$3,0,0,'Données projet'!$E$9+1,1))</f>
        <v>297.34058997955685</v>
      </c>
      <c r="T189" s="59">
        <f t="shared" si="142"/>
        <v>440.06633724144069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3.7839547876949804</v>
      </c>
      <c r="AA189" s="21">
        <f>EXP(-LN(2)/25)*AA188+(1-EXP(-LN(2)/25))/(LN(2)/25)*Calculateur!V189*Calculateur!X189*VLOOKUP('Données projet'!$B$9,Paramètres!$A$1:$I$89,3,0)*0.475*44/12</f>
        <v>2.4959464071570721</v>
      </c>
      <c r="AB189" s="21">
        <f>EXP(-LN(2)/2)*AB188+(1-EXP(-LN(2)/2))/(LN(2)/2)*V189*Y189*VLOOKUP('Données projet'!$B$9,Paramètres!$A$1:$I$89,3,0)*0.475*44/12</f>
        <v>0</v>
      </c>
      <c r="AC189" s="22">
        <f t="shared" si="163"/>
        <v>6.2799011948520524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 t="e">
        <f>AI189*VLOOKUP('Données projet'!$B$10,Paramètres!$A$1:$I$89,3,0)*VLOOKUP('Données projet'!$B$10,Paramètres!$A$1:$I$89,5,0)</f>
        <v>#N/A</v>
      </c>
      <c r="AK189" s="13" t="e">
        <f t="shared" si="164"/>
        <v>#N/A</v>
      </c>
      <c r="AL189" s="20" t="e">
        <f t="shared" si="165"/>
        <v>#N/A</v>
      </c>
      <c r="AM189" s="59" t="e">
        <f t="shared" si="113"/>
        <v>#N/A</v>
      </c>
      <c r="AN189" s="59" t="e">
        <f ca="1">AVERAGE(OFFSET($AM$3,0,0,'Données projet'!$E$10+1,1))-AVERAGE(OFFSET($H$3,0,0,'Données projet'!$E$10+1,1))</f>
        <v>#N/A</v>
      </c>
      <c r="AO189" s="59" t="e">
        <f t="shared" si="144"/>
        <v>#N/A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 t="e">
        <f>EXP(-LN(2)/35)*AU188+(1-EXP(-LN(2)/35))/(LN(2)/35)*AQ189*AR189*VLOOKUP('Données projet'!$B$10,Paramètres!$A$1:$I$89,3,0)*0.475*44/12</f>
        <v>#N/A</v>
      </c>
      <c r="AV189" s="21" t="e">
        <f>EXP(-LN(2)/25)*AV188+(1-EXP(-LN(2)/25))/(LN(2)/25)*Calculateur!AQ189*Calculateur!AS189*VLOOKUP('Données projet'!$B$10,Paramètres!$A$1:$I$89,3,0)*0.475*44/12</f>
        <v>#N/A</v>
      </c>
      <c r="AW189" s="21" t="e">
        <f>EXP(-LN(2)/2)*AW188+(1-EXP(-LN(2)/2))/(LN(2)/2)*AQ189*AT189*VLOOKUP('Données projet'!$B$10,Paramètres!$A$1:$I$89,3,0)*0.475*44/12</f>
        <v>#N/A</v>
      </c>
      <c r="AX189" s="21" t="e">
        <f t="shared" si="166"/>
        <v>#N/A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3">
        <f>'Scénario référence'!$B$16*5+'Scénario référence'!$B$17*0+'Scénario référence'!$B$18*5</f>
        <v>5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140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67">
        <f t="shared" si="110"/>
        <v>183.33333333333334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2.2737367544323206E-13</v>
      </c>
      <c r="O190" s="13">
        <f>N190*VLOOKUP('Données projet'!$B$9,Paramètres!$A$1:$I$89,3,0)*VLOOKUP('Données projet'!$B$9,Paramètres!$A$1:$I$89,5,0)</f>
        <v>1.3596945791505279E-13</v>
      </c>
      <c r="P190" s="13">
        <f t="shared" si="141"/>
        <v>1.9708830566360721E-12</v>
      </c>
      <c r="Q190" s="20">
        <f t="shared" si="162"/>
        <v>3.669434796176543E-12</v>
      </c>
      <c r="R190" s="59">
        <f t="shared" si="109"/>
        <v>289.85810977946011</v>
      </c>
      <c r="S190" s="59">
        <f ca="1">AVERAGE(OFFSET($R$3,0,0,'Données projet'!$E$9+1,1))-AVERAGE(OFFSET($H$3,0,0,'Données projet'!$E$9+1,1))</f>
        <v>297.34058997955685</v>
      </c>
      <c r="T190" s="59">
        <f t="shared" si="142"/>
        <v>440.06633724144069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3.7097537422928077</v>
      </c>
      <c r="AA190" s="21">
        <f>EXP(-LN(2)/25)*AA189+(1-EXP(-LN(2)/25))/(LN(2)/25)*Calculateur!V190*Calculateur!X190*VLOOKUP('Données projet'!$B$9,Paramètres!$A$1:$I$89,3,0)*0.475*44/12</f>
        <v>2.427694621397245</v>
      </c>
      <c r="AB190" s="21">
        <f>EXP(-LN(2)/2)*AB189+(1-EXP(-LN(2)/2))/(LN(2)/2)*V190*Y190*VLOOKUP('Données projet'!$B$9,Paramètres!$A$1:$I$89,3,0)*0.475*44/12</f>
        <v>0</v>
      </c>
      <c r="AC190" s="22">
        <f t="shared" si="163"/>
        <v>6.1374483636900532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 t="e">
        <f>AI190*VLOOKUP('Données projet'!$B$10,Paramètres!$A$1:$I$89,3,0)*VLOOKUP('Données projet'!$B$10,Paramètres!$A$1:$I$89,5,0)</f>
        <v>#N/A</v>
      </c>
      <c r="AK190" s="13" t="e">
        <f t="shared" si="164"/>
        <v>#N/A</v>
      </c>
      <c r="AL190" s="20" t="e">
        <f t="shared" si="165"/>
        <v>#N/A</v>
      </c>
      <c r="AM190" s="59" t="e">
        <f t="shared" si="113"/>
        <v>#N/A</v>
      </c>
      <c r="AN190" s="59" t="e">
        <f ca="1">AVERAGE(OFFSET($AM$3,0,0,'Données projet'!$E$10+1,1))-AVERAGE(OFFSET($H$3,0,0,'Données projet'!$E$10+1,1))</f>
        <v>#N/A</v>
      </c>
      <c r="AO190" s="59" t="e">
        <f t="shared" si="144"/>
        <v>#N/A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 t="e">
        <f>EXP(-LN(2)/35)*AU189+(1-EXP(-LN(2)/35))/(LN(2)/35)*AQ190*AR190*VLOOKUP('Données projet'!$B$10,Paramètres!$A$1:$I$89,3,0)*0.475*44/12</f>
        <v>#N/A</v>
      </c>
      <c r="AV190" s="21" t="e">
        <f>EXP(-LN(2)/25)*AV189+(1-EXP(-LN(2)/25))/(LN(2)/25)*Calculateur!AQ190*Calculateur!AS190*VLOOKUP('Données projet'!$B$10,Paramètres!$A$1:$I$89,3,0)*0.475*44/12</f>
        <v>#N/A</v>
      </c>
      <c r="AW190" s="21" t="e">
        <f>EXP(-LN(2)/2)*AW189+(1-EXP(-LN(2)/2))/(LN(2)/2)*AQ190*AT190*VLOOKUP('Données projet'!$B$10,Paramètres!$A$1:$I$89,3,0)*0.475*44/12</f>
        <v>#N/A</v>
      </c>
      <c r="AX190" s="21" t="e">
        <f t="shared" si="166"/>
        <v>#N/A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3">
        <f>'Scénario référence'!$B$16*5+'Scénario référence'!$B$17*0+'Scénario référence'!$B$18*5</f>
        <v>5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140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67">
        <f t="shared" si="110"/>
        <v>183.33333333333334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2.2737367544323206E-13</v>
      </c>
      <c r="O191" s="13">
        <f>N191*VLOOKUP('Données projet'!$B$9,Paramètres!$A$1:$I$89,3,0)*VLOOKUP('Données projet'!$B$9,Paramètres!$A$1:$I$89,5,0)</f>
        <v>1.3596945791505279E-13</v>
      </c>
      <c r="P191" s="13">
        <f t="shared" si="141"/>
        <v>1.9708830566360721E-12</v>
      </c>
      <c r="Q191" s="20">
        <f t="shared" si="162"/>
        <v>3.669434796176543E-12</v>
      </c>
      <c r="R191" s="59">
        <f t="shared" si="109"/>
        <v>289.91839713868393</v>
      </c>
      <c r="S191" s="59">
        <f ca="1">AVERAGE(OFFSET($R$3,0,0,'Données projet'!$E$9+1,1))-AVERAGE(OFFSET($H$3,0,0,'Données projet'!$E$9+1,1))</f>
        <v>297.34058997955685</v>
      </c>
      <c r="T191" s="59">
        <f t="shared" si="142"/>
        <v>440.06633724144069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3.6370077341328031</v>
      </c>
      <c r="AA191" s="21">
        <f>EXP(-LN(2)/25)*AA190+(1-EXP(-LN(2)/25))/(LN(2)/25)*Calculateur!V191*Calculateur!X191*VLOOKUP('Données projet'!$B$9,Paramètres!$A$1:$I$89,3,0)*0.475*44/12</f>
        <v>2.3613091843082259</v>
      </c>
      <c r="AB191" s="21">
        <f>EXP(-LN(2)/2)*AB190+(1-EXP(-LN(2)/2))/(LN(2)/2)*V191*Y191*VLOOKUP('Données projet'!$B$9,Paramètres!$A$1:$I$89,3,0)*0.475*44/12</f>
        <v>0</v>
      </c>
      <c r="AC191" s="22">
        <f t="shared" si="163"/>
        <v>5.998316918441029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 t="e">
        <f>AI191*VLOOKUP('Données projet'!$B$10,Paramètres!$A$1:$I$89,3,0)*VLOOKUP('Données projet'!$B$10,Paramètres!$A$1:$I$89,5,0)</f>
        <v>#N/A</v>
      </c>
      <c r="AK191" s="13" t="e">
        <f t="shared" si="164"/>
        <v>#N/A</v>
      </c>
      <c r="AL191" s="20" t="e">
        <f t="shared" si="165"/>
        <v>#N/A</v>
      </c>
      <c r="AM191" s="59" t="e">
        <f t="shared" si="113"/>
        <v>#N/A</v>
      </c>
      <c r="AN191" s="59" t="e">
        <f ca="1">AVERAGE(OFFSET($AM$3,0,0,'Données projet'!$E$10+1,1))-AVERAGE(OFFSET($H$3,0,0,'Données projet'!$E$10+1,1))</f>
        <v>#N/A</v>
      </c>
      <c r="AO191" s="59" t="e">
        <f t="shared" si="144"/>
        <v>#N/A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 t="e">
        <f>EXP(-LN(2)/35)*AU190+(1-EXP(-LN(2)/35))/(LN(2)/35)*AQ191*AR191*VLOOKUP('Données projet'!$B$10,Paramètres!$A$1:$I$89,3,0)*0.475*44/12</f>
        <v>#N/A</v>
      </c>
      <c r="AV191" s="21" t="e">
        <f>EXP(-LN(2)/25)*AV190+(1-EXP(-LN(2)/25))/(LN(2)/25)*Calculateur!AQ191*Calculateur!AS191*VLOOKUP('Données projet'!$B$10,Paramètres!$A$1:$I$89,3,0)*0.475*44/12</f>
        <v>#N/A</v>
      </c>
      <c r="AW191" s="21" t="e">
        <f>EXP(-LN(2)/2)*AW190+(1-EXP(-LN(2)/2))/(LN(2)/2)*AQ191*AT191*VLOOKUP('Données projet'!$B$10,Paramètres!$A$1:$I$89,3,0)*0.475*44/12</f>
        <v>#N/A</v>
      </c>
      <c r="AX191" s="21" t="e">
        <f t="shared" si="166"/>
        <v>#N/A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3">
        <f>'Scénario référence'!$B$16*5+'Scénario référence'!$B$17*0+'Scénario référence'!$B$18*5</f>
        <v>5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140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67">
        <f t="shared" si="110"/>
        <v>183.33333333333334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2.2737367544323206E-13</v>
      </c>
      <c r="O192" s="13">
        <f>N192*VLOOKUP('Données projet'!$B$9,Paramètres!$A$1:$I$89,3,0)*VLOOKUP('Données projet'!$B$9,Paramètres!$A$1:$I$89,5,0)</f>
        <v>1.3596945791505279E-13</v>
      </c>
      <c r="P192" s="13">
        <f t="shared" si="141"/>
        <v>1.9708830566360721E-12</v>
      </c>
      <c r="Q192" s="20">
        <f t="shared" si="162"/>
        <v>3.669434796176543E-12</v>
      </c>
      <c r="R192" s="59">
        <f t="shared" si="109"/>
        <v>289.97763864700755</v>
      </c>
      <c r="S192" s="59">
        <f ca="1">AVERAGE(OFFSET($R$3,0,0,'Données projet'!$E$9+1,1))-AVERAGE(OFFSET($H$3,0,0,'Données projet'!$E$9+1,1))</f>
        <v>297.34058997955685</v>
      </c>
      <c r="T192" s="59">
        <f t="shared" si="142"/>
        <v>440.06633724144069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3.5656882308221323</v>
      </c>
      <c r="AA192" s="21">
        <f>EXP(-LN(2)/25)*AA191+(1-EXP(-LN(2)/25))/(LN(2)/25)*Calculateur!V192*Calculateur!X192*VLOOKUP('Données projet'!$B$9,Paramètres!$A$1:$I$89,3,0)*0.475*44/12</f>
        <v>2.2967390604874645</v>
      </c>
      <c r="AB192" s="21">
        <f>EXP(-LN(2)/2)*AB191+(1-EXP(-LN(2)/2))/(LN(2)/2)*V192*Y192*VLOOKUP('Données projet'!$B$9,Paramètres!$A$1:$I$89,3,0)*0.475*44/12</f>
        <v>0</v>
      </c>
      <c r="AC192" s="22">
        <f t="shared" si="163"/>
        <v>5.8624272913095972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 t="e">
        <f>AI192*VLOOKUP('Données projet'!$B$10,Paramètres!$A$1:$I$89,3,0)*VLOOKUP('Données projet'!$B$10,Paramètres!$A$1:$I$89,5,0)</f>
        <v>#N/A</v>
      </c>
      <c r="AK192" s="13" t="e">
        <f t="shared" si="164"/>
        <v>#N/A</v>
      </c>
      <c r="AL192" s="20" t="e">
        <f t="shared" si="165"/>
        <v>#N/A</v>
      </c>
      <c r="AM192" s="59" t="e">
        <f t="shared" si="113"/>
        <v>#N/A</v>
      </c>
      <c r="AN192" s="59" t="e">
        <f ca="1">AVERAGE(OFFSET($AM$3,0,0,'Données projet'!$E$10+1,1))-AVERAGE(OFFSET($H$3,0,0,'Données projet'!$E$10+1,1))</f>
        <v>#N/A</v>
      </c>
      <c r="AO192" s="59" t="e">
        <f t="shared" si="144"/>
        <v>#N/A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 t="e">
        <f>EXP(-LN(2)/35)*AU191+(1-EXP(-LN(2)/35))/(LN(2)/35)*AQ192*AR192*VLOOKUP('Données projet'!$B$10,Paramètres!$A$1:$I$89,3,0)*0.475*44/12</f>
        <v>#N/A</v>
      </c>
      <c r="AV192" s="21" t="e">
        <f>EXP(-LN(2)/25)*AV191+(1-EXP(-LN(2)/25))/(LN(2)/25)*Calculateur!AQ192*Calculateur!AS192*VLOOKUP('Données projet'!$B$10,Paramètres!$A$1:$I$89,3,0)*0.475*44/12</f>
        <v>#N/A</v>
      </c>
      <c r="AW192" s="21" t="e">
        <f>EXP(-LN(2)/2)*AW191+(1-EXP(-LN(2)/2))/(LN(2)/2)*AQ192*AT192*VLOOKUP('Données projet'!$B$10,Paramètres!$A$1:$I$89,3,0)*0.475*44/12</f>
        <v>#N/A</v>
      </c>
      <c r="AX192" s="21" t="e">
        <f t="shared" si="166"/>
        <v>#N/A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3">
        <f>'Scénario référence'!$B$16*5+'Scénario référence'!$B$17*0+'Scénario référence'!$B$18*5</f>
        <v>5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140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67">
        <f t="shared" si="110"/>
        <v>183.33333333333334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2.2737367544323206E-13</v>
      </c>
      <c r="O193" s="13">
        <f>N193*VLOOKUP('Données projet'!$B$9,Paramètres!$A$1:$I$89,3,0)*VLOOKUP('Données projet'!$B$9,Paramètres!$A$1:$I$89,5,0)</f>
        <v>1.3596945791505279E-13</v>
      </c>
      <c r="P193" s="13">
        <f t="shared" si="141"/>
        <v>1.9708830566360721E-12</v>
      </c>
      <c r="Q193" s="20">
        <f t="shared" si="162"/>
        <v>3.669434796176543E-12</v>
      </c>
      <c r="R193" s="59">
        <f t="shared" si="109"/>
        <v>290.03585244760598</v>
      </c>
      <c r="S193" s="59">
        <f ca="1">AVERAGE(OFFSET($R$3,0,0,'Données projet'!$E$9+1,1))-AVERAGE(OFFSET($H$3,0,0,'Données projet'!$E$9+1,1))</f>
        <v>297.34058997955685</v>
      </c>
      <c r="T193" s="59">
        <f t="shared" si="142"/>
        <v>440.06633724144069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3.495767259470782</v>
      </c>
      <c r="AA193" s="21">
        <f>EXP(-LN(2)/25)*AA192+(1-EXP(-LN(2)/25))/(LN(2)/25)*Calculateur!V193*Calculateur!X193*VLOOKUP('Données projet'!$B$9,Paramètres!$A$1:$I$89,3,0)*0.475*44/12</f>
        <v>2.233934610098177</v>
      </c>
      <c r="AB193" s="21">
        <f>EXP(-LN(2)/2)*AB192+(1-EXP(-LN(2)/2))/(LN(2)/2)*V193*Y193*VLOOKUP('Données projet'!$B$9,Paramètres!$A$1:$I$89,3,0)*0.475*44/12</f>
        <v>0</v>
      </c>
      <c r="AC193" s="22">
        <f t="shared" si="163"/>
        <v>5.7297018695689594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 t="e">
        <f>AI193*VLOOKUP('Données projet'!$B$10,Paramètres!$A$1:$I$89,3,0)*VLOOKUP('Données projet'!$B$10,Paramètres!$A$1:$I$89,5,0)</f>
        <v>#N/A</v>
      </c>
      <c r="AK193" s="13" t="e">
        <f t="shared" si="164"/>
        <v>#N/A</v>
      </c>
      <c r="AL193" s="20" t="e">
        <f t="shared" si="165"/>
        <v>#N/A</v>
      </c>
      <c r="AM193" s="59" t="e">
        <f t="shared" si="113"/>
        <v>#N/A</v>
      </c>
      <c r="AN193" s="59" t="e">
        <f ca="1">AVERAGE(OFFSET($AM$3,0,0,'Données projet'!$E$10+1,1))-AVERAGE(OFFSET($H$3,0,0,'Données projet'!$E$10+1,1))</f>
        <v>#N/A</v>
      </c>
      <c r="AO193" s="59" t="e">
        <f t="shared" si="144"/>
        <v>#N/A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 t="e">
        <f>EXP(-LN(2)/35)*AU192+(1-EXP(-LN(2)/35))/(LN(2)/35)*AQ193*AR193*VLOOKUP('Données projet'!$B$10,Paramètres!$A$1:$I$89,3,0)*0.475*44/12</f>
        <v>#N/A</v>
      </c>
      <c r="AV193" s="21" t="e">
        <f>EXP(-LN(2)/25)*AV192+(1-EXP(-LN(2)/25))/(LN(2)/25)*Calculateur!AQ193*Calculateur!AS193*VLOOKUP('Données projet'!$B$10,Paramètres!$A$1:$I$89,3,0)*0.475*44/12</f>
        <v>#N/A</v>
      </c>
      <c r="AW193" s="21" t="e">
        <f>EXP(-LN(2)/2)*AW192+(1-EXP(-LN(2)/2))/(LN(2)/2)*AQ193*AT193*VLOOKUP('Données projet'!$B$10,Paramètres!$A$1:$I$89,3,0)*0.475*44/12</f>
        <v>#N/A</v>
      </c>
      <c r="AX193" s="21" t="e">
        <f t="shared" si="166"/>
        <v>#N/A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3">
        <f>'Scénario référence'!$B$16*5+'Scénario référence'!$B$17*0+'Scénario référence'!$B$18*5</f>
        <v>5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140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67">
        <f t="shared" si="110"/>
        <v>183.33333333333334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2.2737367544323206E-13</v>
      </c>
      <c r="O194" s="13">
        <f>N194*VLOOKUP('Données projet'!$B$9,Paramètres!$A$1:$I$89,3,0)*VLOOKUP('Données projet'!$B$9,Paramètres!$A$1:$I$89,5,0)</f>
        <v>1.3596945791505279E-13</v>
      </c>
      <c r="P194" s="13">
        <f t="shared" si="141"/>
        <v>1.9708830566360721E-12</v>
      </c>
      <c r="Q194" s="20">
        <f t="shared" si="162"/>
        <v>3.669434796176543E-12</v>
      </c>
      <c r="R194" s="59">
        <f t="shared" si="109"/>
        <v>290.09305636891054</v>
      </c>
      <c r="S194" s="59">
        <f ca="1">AVERAGE(OFFSET($R$3,0,0,'Données projet'!$E$9+1,1))-AVERAGE(OFFSET($H$3,0,0,'Données projet'!$E$9+1,1))</f>
        <v>297.34058997955685</v>
      </c>
      <c r="T194" s="59">
        <f t="shared" si="142"/>
        <v>440.06633724144069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3.4272173957200502</v>
      </c>
      <c r="AA194" s="21">
        <f>EXP(-LN(2)/25)*AA193+(1-EXP(-LN(2)/25))/(LN(2)/25)*Calculateur!V194*Calculateur!X194*VLOOKUP('Données projet'!$B$9,Paramètres!$A$1:$I$89,3,0)*0.475*44/12</f>
        <v>2.1728475507075267</v>
      </c>
      <c r="AB194" s="21">
        <f>EXP(-LN(2)/2)*AB193+(1-EXP(-LN(2)/2))/(LN(2)/2)*V194*Y194*VLOOKUP('Données projet'!$B$9,Paramètres!$A$1:$I$89,3,0)*0.475*44/12</f>
        <v>0</v>
      </c>
      <c r="AC194" s="22">
        <f t="shared" si="163"/>
        <v>5.6000649464275769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 t="e">
        <f>AI194*VLOOKUP('Données projet'!$B$10,Paramètres!$A$1:$I$89,3,0)*VLOOKUP('Données projet'!$B$10,Paramètres!$A$1:$I$89,5,0)</f>
        <v>#N/A</v>
      </c>
      <c r="AK194" s="13" t="e">
        <f t="shared" si="164"/>
        <v>#N/A</v>
      </c>
      <c r="AL194" s="20" t="e">
        <f t="shared" si="165"/>
        <v>#N/A</v>
      </c>
      <c r="AM194" s="59" t="e">
        <f t="shared" si="113"/>
        <v>#N/A</v>
      </c>
      <c r="AN194" s="59" t="e">
        <f ca="1">AVERAGE(OFFSET($AM$3,0,0,'Données projet'!$E$10+1,1))-AVERAGE(OFFSET($H$3,0,0,'Données projet'!$E$10+1,1))</f>
        <v>#N/A</v>
      </c>
      <c r="AO194" s="59" t="e">
        <f t="shared" si="144"/>
        <v>#N/A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 t="e">
        <f>EXP(-LN(2)/35)*AU193+(1-EXP(-LN(2)/35))/(LN(2)/35)*AQ194*AR194*VLOOKUP('Données projet'!$B$10,Paramètres!$A$1:$I$89,3,0)*0.475*44/12</f>
        <v>#N/A</v>
      </c>
      <c r="AV194" s="21" t="e">
        <f>EXP(-LN(2)/25)*AV193+(1-EXP(-LN(2)/25))/(LN(2)/25)*Calculateur!AQ194*Calculateur!AS194*VLOOKUP('Données projet'!$B$10,Paramètres!$A$1:$I$89,3,0)*0.475*44/12</f>
        <v>#N/A</v>
      </c>
      <c r="AW194" s="21" t="e">
        <f>EXP(-LN(2)/2)*AW193+(1-EXP(-LN(2)/2))/(LN(2)/2)*AQ194*AT194*VLOOKUP('Données projet'!$B$10,Paramètres!$A$1:$I$89,3,0)*0.475*44/12</f>
        <v>#N/A</v>
      </c>
      <c r="AX194" s="21" t="e">
        <f t="shared" si="166"/>
        <v>#N/A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3">
        <f>'Scénario référence'!$B$16*5+'Scénario référence'!$B$17*0+'Scénario référence'!$B$18*5</f>
        <v>5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140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67">
        <f t="shared" si="110"/>
        <v>183.33333333333334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2.2737367544323206E-13</v>
      </c>
      <c r="O195" s="13">
        <f>N195*VLOOKUP('Données projet'!$B$9,Paramètres!$A$1:$I$89,3,0)*VLOOKUP('Données projet'!$B$9,Paramètres!$A$1:$I$89,5,0)</f>
        <v>1.3596945791505279E-13</v>
      </c>
      <c r="P195" s="13">
        <f t="shared" si="141"/>
        <v>1.9708830566360721E-12</v>
      </c>
      <c r="Q195" s="20">
        <f t="shared" si="162"/>
        <v>3.669434796176543E-12</v>
      </c>
      <c r="R195" s="59">
        <f t="shared" ref="R195:R203" si="191">Q195+(I195+J195)*44/12</f>
        <v>290.14926793006936</v>
      </c>
      <c r="S195" s="59">
        <f ca="1">AVERAGE(OFFSET($R$3,0,0,'Données projet'!$E$9+1,1))-AVERAGE(OFFSET($H$3,0,0,'Données projet'!$E$9+1,1))</f>
        <v>297.34058997955685</v>
      </c>
      <c r="T195" s="59">
        <f t="shared" si="142"/>
        <v>440.06633724144069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3.3600117529861819</v>
      </c>
      <c r="AA195" s="21">
        <f>EXP(-LN(2)/25)*AA194+(1-EXP(-LN(2)/25))/(LN(2)/25)*Calculateur!V195*Calculateur!X195*VLOOKUP('Données projet'!$B$9,Paramètres!$A$1:$I$89,3,0)*0.475*44/12</f>
        <v>2.1134309201683426</v>
      </c>
      <c r="AB195" s="21">
        <f>EXP(-LN(2)/2)*AB194+(1-EXP(-LN(2)/2))/(LN(2)/2)*V195*Y195*VLOOKUP('Données projet'!$B$9,Paramètres!$A$1:$I$89,3,0)*0.475*44/12</f>
        <v>0</v>
      </c>
      <c r="AC195" s="22">
        <f t="shared" si="163"/>
        <v>5.4734426731545245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 t="e">
        <f>AI195*VLOOKUP('Données projet'!$B$10,Paramètres!$A$1:$I$89,3,0)*VLOOKUP('Données projet'!$B$10,Paramètres!$A$1:$I$89,5,0)</f>
        <v>#N/A</v>
      </c>
      <c r="AK195" s="13" t="e">
        <f t="shared" si="164"/>
        <v>#N/A</v>
      </c>
      <c r="AL195" s="20" t="e">
        <f t="shared" si="165"/>
        <v>#N/A</v>
      </c>
      <c r="AM195" s="59" t="e">
        <f t="shared" si="113"/>
        <v>#N/A</v>
      </c>
      <c r="AN195" s="59" t="e">
        <f ca="1">AVERAGE(OFFSET($AM$3,0,0,'Données projet'!$E$10+1,1))-AVERAGE(OFFSET($H$3,0,0,'Données projet'!$E$10+1,1))</f>
        <v>#N/A</v>
      </c>
      <c r="AO195" s="59" t="e">
        <f t="shared" si="144"/>
        <v>#N/A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 t="e">
        <f>EXP(-LN(2)/35)*AU194+(1-EXP(-LN(2)/35))/(LN(2)/35)*AQ195*AR195*VLOOKUP('Données projet'!$B$10,Paramètres!$A$1:$I$89,3,0)*0.475*44/12</f>
        <v>#N/A</v>
      </c>
      <c r="AV195" s="21" t="e">
        <f>EXP(-LN(2)/25)*AV194+(1-EXP(-LN(2)/25))/(LN(2)/25)*Calculateur!AQ195*Calculateur!AS195*VLOOKUP('Données projet'!$B$10,Paramètres!$A$1:$I$89,3,0)*0.475*44/12</f>
        <v>#N/A</v>
      </c>
      <c r="AW195" s="21" t="e">
        <f>EXP(-LN(2)/2)*AW194+(1-EXP(-LN(2)/2))/(LN(2)/2)*AQ195*AT195*VLOOKUP('Données projet'!$B$10,Paramètres!$A$1:$I$89,3,0)*0.475*44/12</f>
        <v>#N/A</v>
      </c>
      <c r="AX195" s="21" t="e">
        <f t="shared" si="166"/>
        <v>#N/A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3">
        <f>'Scénario référence'!$B$16*5+'Scénario référence'!$B$17*0+'Scénario référence'!$B$18*5</f>
        <v>5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140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67">
        <f t="shared" ref="H196:H203" si="192">(B196+E196+F196)*44/12+(C196+D196)*0.475*44/12</f>
        <v>183.33333333333334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2.2737367544323206E-13</v>
      </c>
      <c r="O196" s="13">
        <f>N196*VLOOKUP('Données projet'!$B$9,Paramètres!$A$1:$I$89,3,0)*VLOOKUP('Données projet'!$B$9,Paramètres!$A$1:$I$89,5,0)</f>
        <v>1.3596945791505279E-13</v>
      </c>
      <c r="P196" s="13">
        <f t="shared" si="141"/>
        <v>1.9708830566360721E-12</v>
      </c>
      <c r="Q196" s="20">
        <f t="shared" si="162"/>
        <v>3.669434796176543E-12</v>
      </c>
      <c r="R196" s="59">
        <f t="shared" si="191"/>
        <v>290.20450434631221</v>
      </c>
      <c r="S196" s="59">
        <f ca="1">AVERAGE(OFFSET($R$3,0,0,'Données projet'!$E$9+1,1))-AVERAGE(OFFSET($H$3,0,0,'Données projet'!$E$9+1,1))</f>
        <v>297.34058997955685</v>
      </c>
      <c r="T196" s="59">
        <f t="shared" si="142"/>
        <v>440.06633724144069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3.2941239719149302</v>
      </c>
      <c r="AA196" s="21">
        <f>EXP(-LN(2)/25)*AA195+(1-EXP(-LN(2)/25))/(LN(2)/25)*Calculateur!V196*Calculateur!X196*VLOOKUP('Données projet'!$B$9,Paramètres!$A$1:$I$89,3,0)*0.475*44/12</f>
        <v>2.0556390405158376</v>
      </c>
      <c r="AB196" s="21">
        <f>EXP(-LN(2)/2)*AB195+(1-EXP(-LN(2)/2))/(LN(2)/2)*V196*Y196*VLOOKUP('Données projet'!$B$9,Paramètres!$A$1:$I$89,3,0)*0.475*44/12</f>
        <v>0</v>
      </c>
      <c r="AC196" s="22">
        <f t="shared" si="163"/>
        <v>5.3497630124307678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 t="e">
        <f>AI196*VLOOKUP('Données projet'!$B$10,Paramètres!$A$1:$I$89,3,0)*VLOOKUP('Données projet'!$B$10,Paramètres!$A$1:$I$89,5,0)</f>
        <v>#N/A</v>
      </c>
      <c r="AK196" s="13" t="e">
        <f t="shared" si="164"/>
        <v>#N/A</v>
      </c>
      <c r="AL196" s="20" t="e">
        <f t="shared" si="165"/>
        <v>#N/A</v>
      </c>
      <c r="AM196" s="59" t="e">
        <f t="shared" ref="AM196:AM203" si="193">AL196+(AD196+AE196)*44/12</f>
        <v>#N/A</v>
      </c>
      <c r="AN196" s="59" t="e">
        <f ca="1">AVERAGE(OFFSET($AM$3,0,0,'Données projet'!$E$10+1,1))-AVERAGE(OFFSET($H$3,0,0,'Données projet'!$E$10+1,1))</f>
        <v>#N/A</v>
      </c>
      <c r="AO196" s="59" t="e">
        <f t="shared" si="144"/>
        <v>#N/A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 t="e">
        <f>EXP(-LN(2)/35)*AU195+(1-EXP(-LN(2)/35))/(LN(2)/35)*AQ196*AR196*VLOOKUP('Données projet'!$B$10,Paramètres!$A$1:$I$89,3,0)*0.475*44/12</f>
        <v>#N/A</v>
      </c>
      <c r="AV196" s="21" t="e">
        <f>EXP(-LN(2)/25)*AV195+(1-EXP(-LN(2)/25))/(LN(2)/25)*Calculateur!AQ196*Calculateur!AS196*VLOOKUP('Données projet'!$B$10,Paramètres!$A$1:$I$89,3,0)*0.475*44/12</f>
        <v>#N/A</v>
      </c>
      <c r="AW196" s="21" t="e">
        <f>EXP(-LN(2)/2)*AW195+(1-EXP(-LN(2)/2))/(LN(2)/2)*AQ196*AT196*VLOOKUP('Données projet'!$B$10,Paramètres!$A$1:$I$89,3,0)*0.475*44/12</f>
        <v>#N/A</v>
      </c>
      <c r="AX196" s="21" t="e">
        <f t="shared" si="166"/>
        <v>#N/A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3">
        <f>'Scénario référence'!$B$16*5+'Scénario référence'!$B$17*0+'Scénario référence'!$B$18*5</f>
        <v>5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202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67">
        <f t="shared" si="192"/>
        <v>183.33333333333334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2.2737367544323206E-13</v>
      </c>
      <c r="O197" s="13">
        <f>N197*VLOOKUP('Données projet'!$B$9,Paramètres!$A$1:$I$89,3,0)*VLOOKUP('Données projet'!$B$9,Paramètres!$A$1:$I$89,5,0)</f>
        <v>1.3596945791505279E-13</v>
      </c>
      <c r="P197" s="13">
        <f t="shared" ref="P197:P203" si="203">EXP(-1.0587+0.8836*LN(O197)+0.284)</f>
        <v>1.9708830566360721E-12</v>
      </c>
      <c r="Q197" s="20">
        <f t="shared" si="162"/>
        <v>3.669434796176543E-12</v>
      </c>
      <c r="R197" s="59">
        <f t="shared" si="191"/>
        <v>290.25878253422343</v>
      </c>
      <c r="S197" s="59">
        <f ca="1">AVERAGE(OFFSET($R$3,0,0,'Données projet'!$E$9+1,1))-AVERAGE(OFFSET($H$3,0,0,'Données projet'!$E$9+1,1))</f>
        <v>297.34058997955685</v>
      </c>
      <c r="T197" s="59">
        <f t="shared" ref="T197:T203" si="204">$T$3</f>
        <v>440.06633724144069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3.2295282100429077</v>
      </c>
      <c r="AA197" s="21">
        <f>EXP(-LN(2)/25)*AA196+(1-EXP(-LN(2)/25))/(LN(2)/25)*Calculateur!V197*Calculateur!X197*VLOOKUP('Données projet'!$B$9,Paramètres!$A$1:$I$89,3,0)*0.475*44/12</f>
        <v>1.999427482851573</v>
      </c>
      <c r="AB197" s="21">
        <f>EXP(-LN(2)/2)*AB196+(1-EXP(-LN(2)/2))/(LN(2)/2)*V197*Y197*VLOOKUP('Données projet'!$B$9,Paramètres!$A$1:$I$89,3,0)*0.475*44/12</f>
        <v>0</v>
      </c>
      <c r="AC197" s="22">
        <f t="shared" si="163"/>
        <v>5.2289556928944805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 t="e">
        <f>AI197*VLOOKUP('Données projet'!$B$10,Paramètres!$A$1:$I$89,3,0)*VLOOKUP('Données projet'!$B$10,Paramètres!$A$1:$I$89,5,0)</f>
        <v>#N/A</v>
      </c>
      <c r="AK197" s="13" t="e">
        <f t="shared" si="164"/>
        <v>#N/A</v>
      </c>
      <c r="AL197" s="20" t="e">
        <f t="shared" si="165"/>
        <v>#N/A</v>
      </c>
      <c r="AM197" s="59" t="e">
        <f t="shared" si="193"/>
        <v>#N/A</v>
      </c>
      <c r="AN197" s="59" t="e">
        <f ca="1">AVERAGE(OFFSET($AM$3,0,0,'Données projet'!$E$10+1,1))-AVERAGE(OFFSET($H$3,0,0,'Données projet'!$E$10+1,1))</f>
        <v>#N/A</v>
      </c>
      <c r="AO197" s="59" t="e">
        <f t="shared" ref="AO197:AO203" si="205">$AO$3</f>
        <v>#N/A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 t="e">
        <f>EXP(-LN(2)/35)*AU196+(1-EXP(-LN(2)/35))/(LN(2)/35)*AQ197*AR197*VLOOKUP('Données projet'!$B$10,Paramètres!$A$1:$I$89,3,0)*0.475*44/12</f>
        <v>#N/A</v>
      </c>
      <c r="AV197" s="21" t="e">
        <f>EXP(-LN(2)/25)*AV196+(1-EXP(-LN(2)/25))/(LN(2)/25)*Calculateur!AQ197*Calculateur!AS197*VLOOKUP('Données projet'!$B$10,Paramètres!$A$1:$I$89,3,0)*0.475*44/12</f>
        <v>#N/A</v>
      </c>
      <c r="AW197" s="21" t="e">
        <f>EXP(-LN(2)/2)*AW196+(1-EXP(-LN(2)/2))/(LN(2)/2)*AQ197*AT197*VLOOKUP('Données projet'!$B$10,Paramètres!$A$1:$I$89,3,0)*0.475*44/12</f>
        <v>#N/A</v>
      </c>
      <c r="AX197" s="21" t="e">
        <f t="shared" si="166"/>
        <v>#N/A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3">
        <f>'Scénario référence'!$B$16*5+'Scénario référence'!$B$17*0+'Scénario référence'!$B$18*5</f>
        <v>5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02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67">
        <f t="shared" si="192"/>
        <v>183.33333333333334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2.2737367544323206E-13</v>
      </c>
      <c r="O198" s="13">
        <f>N198*VLOOKUP('Données projet'!$B$9,Paramètres!$A$1:$I$89,3,0)*VLOOKUP('Données projet'!$B$9,Paramètres!$A$1:$I$89,5,0)</f>
        <v>1.3596945791505279E-13</v>
      </c>
      <c r="P198" s="13">
        <f t="shared" si="203"/>
        <v>1.9708830566360721E-12</v>
      </c>
      <c r="Q198" s="20">
        <f t="shared" si="162"/>
        <v>3.669434796176543E-12</v>
      </c>
      <c r="R198" s="59">
        <f t="shared" si="191"/>
        <v>290.31211911692219</v>
      </c>
      <c r="S198" s="59">
        <f ca="1">AVERAGE(OFFSET($R$3,0,0,'Données projet'!$E$9+1,1))-AVERAGE(OFFSET($H$3,0,0,'Données projet'!$E$9+1,1))</f>
        <v>297.34058997955685</v>
      </c>
      <c r="T198" s="59">
        <f t="shared" si="204"/>
        <v>440.06633724144069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3.1661991316616711</v>
      </c>
      <c r="AA198" s="21">
        <f>EXP(-LN(2)/25)*AA197+(1-EXP(-LN(2)/25))/(LN(2)/25)*Calculateur!V198*Calculateur!X198*VLOOKUP('Données projet'!$B$9,Paramètres!$A$1:$I$89,3,0)*0.475*44/12</f>
        <v>1.9447530331876752</v>
      </c>
      <c r="AB198" s="21">
        <f>EXP(-LN(2)/2)*AB197+(1-EXP(-LN(2)/2))/(LN(2)/2)*V198*Y198*VLOOKUP('Données projet'!$B$9,Paramètres!$A$1:$I$89,3,0)*0.475*44/12</f>
        <v>0</v>
      </c>
      <c r="AC198" s="22">
        <f t="shared" si="163"/>
        <v>5.1109521648493459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 t="e">
        <f>AI198*VLOOKUP('Données projet'!$B$10,Paramètres!$A$1:$I$89,3,0)*VLOOKUP('Données projet'!$B$10,Paramètres!$A$1:$I$89,5,0)</f>
        <v>#N/A</v>
      </c>
      <c r="AK198" s="13" t="e">
        <f t="shared" si="164"/>
        <v>#N/A</v>
      </c>
      <c r="AL198" s="20" t="e">
        <f t="shared" si="165"/>
        <v>#N/A</v>
      </c>
      <c r="AM198" s="59" t="e">
        <f t="shared" si="193"/>
        <v>#N/A</v>
      </c>
      <c r="AN198" s="59" t="e">
        <f ca="1">AVERAGE(OFFSET($AM$3,0,0,'Données projet'!$E$10+1,1))-AVERAGE(OFFSET($H$3,0,0,'Données projet'!$E$10+1,1))</f>
        <v>#N/A</v>
      </c>
      <c r="AO198" s="59" t="e">
        <f t="shared" si="205"/>
        <v>#N/A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 t="e">
        <f>EXP(-LN(2)/35)*AU197+(1-EXP(-LN(2)/35))/(LN(2)/35)*AQ198*AR198*VLOOKUP('Données projet'!$B$10,Paramètres!$A$1:$I$89,3,0)*0.475*44/12</f>
        <v>#N/A</v>
      </c>
      <c r="AV198" s="21" t="e">
        <f>EXP(-LN(2)/25)*AV197+(1-EXP(-LN(2)/25))/(LN(2)/25)*Calculateur!AQ198*Calculateur!AS198*VLOOKUP('Données projet'!$B$10,Paramètres!$A$1:$I$89,3,0)*0.475*44/12</f>
        <v>#N/A</v>
      </c>
      <c r="AW198" s="21" t="e">
        <f>EXP(-LN(2)/2)*AW197+(1-EXP(-LN(2)/2))/(LN(2)/2)*AQ198*AT198*VLOOKUP('Données projet'!$B$10,Paramètres!$A$1:$I$89,3,0)*0.475*44/12</f>
        <v>#N/A</v>
      </c>
      <c r="AX198" s="21" t="e">
        <f t="shared" si="166"/>
        <v>#N/A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3">
        <f>'Scénario référence'!$B$16*5+'Scénario référence'!$B$17*0+'Scénario référence'!$B$18*5</f>
        <v>5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02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67">
        <f t="shared" si="192"/>
        <v>183.33333333333334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2.2737367544323206E-13</v>
      </c>
      <c r="O199" s="13">
        <f>N199*VLOOKUP('Données projet'!$B$9,Paramètres!$A$1:$I$89,3,0)*VLOOKUP('Données projet'!$B$9,Paramètres!$A$1:$I$89,5,0)</f>
        <v>1.3596945791505279E-13</v>
      </c>
      <c r="P199" s="13">
        <f t="shared" si="203"/>
        <v>1.9708830566360721E-12</v>
      </c>
      <c r="Q199" s="20">
        <f t="shared" si="162"/>
        <v>3.669434796176543E-12</v>
      </c>
      <c r="R199" s="59">
        <f t="shared" si="191"/>
        <v>290.36453042915389</v>
      </c>
      <c r="S199" s="59">
        <f ca="1">AVERAGE(OFFSET($R$3,0,0,'Données projet'!$E$9+1,1))-AVERAGE(OFFSET($H$3,0,0,'Données projet'!$E$9+1,1))</f>
        <v>297.34058997955685</v>
      </c>
      <c r="T199" s="59">
        <f t="shared" si="204"/>
        <v>440.06633724144069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3.1041118978805669</v>
      </c>
      <c r="AA199" s="21">
        <f>EXP(-LN(2)/25)*AA198+(1-EXP(-LN(2)/25))/(LN(2)/25)*Calculateur!V199*Calculateur!X199*VLOOKUP('Données projet'!$B$9,Paramètres!$A$1:$I$89,3,0)*0.475*44/12</f>
        <v>1.8915736592250409</v>
      </c>
      <c r="AB199" s="21">
        <f>EXP(-LN(2)/2)*AB198+(1-EXP(-LN(2)/2))/(LN(2)/2)*V199*Y199*VLOOKUP('Données projet'!$B$9,Paramètres!$A$1:$I$89,3,0)*0.475*44/12</f>
        <v>0</v>
      </c>
      <c r="AC199" s="22">
        <f t="shared" si="163"/>
        <v>4.9956855571056078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 t="e">
        <f>AI199*VLOOKUP('Données projet'!$B$10,Paramètres!$A$1:$I$89,3,0)*VLOOKUP('Données projet'!$B$10,Paramètres!$A$1:$I$89,5,0)</f>
        <v>#N/A</v>
      </c>
      <c r="AK199" s="13" t="e">
        <f t="shared" si="164"/>
        <v>#N/A</v>
      </c>
      <c r="AL199" s="20" t="e">
        <f t="shared" si="165"/>
        <v>#N/A</v>
      </c>
      <c r="AM199" s="59" t="e">
        <f t="shared" si="193"/>
        <v>#N/A</v>
      </c>
      <c r="AN199" s="59" t="e">
        <f ca="1">AVERAGE(OFFSET($AM$3,0,0,'Données projet'!$E$10+1,1))-AVERAGE(OFFSET($H$3,0,0,'Données projet'!$E$10+1,1))</f>
        <v>#N/A</v>
      </c>
      <c r="AO199" s="59" t="e">
        <f t="shared" si="205"/>
        <v>#N/A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 t="e">
        <f>EXP(-LN(2)/35)*AU198+(1-EXP(-LN(2)/35))/(LN(2)/35)*AQ199*AR199*VLOOKUP('Données projet'!$B$10,Paramètres!$A$1:$I$89,3,0)*0.475*44/12</f>
        <v>#N/A</v>
      </c>
      <c r="AV199" s="21" t="e">
        <f>EXP(-LN(2)/25)*AV198+(1-EXP(-LN(2)/25))/(LN(2)/25)*Calculateur!AQ199*Calculateur!AS199*VLOOKUP('Données projet'!$B$10,Paramètres!$A$1:$I$89,3,0)*0.475*44/12</f>
        <v>#N/A</v>
      </c>
      <c r="AW199" s="21" t="e">
        <f>EXP(-LN(2)/2)*AW198+(1-EXP(-LN(2)/2))/(LN(2)/2)*AQ199*AT199*VLOOKUP('Données projet'!$B$10,Paramètres!$A$1:$I$89,3,0)*0.475*44/12</f>
        <v>#N/A</v>
      </c>
      <c r="AX199" s="21" t="e">
        <f t="shared" si="166"/>
        <v>#N/A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3">
        <f>'Scénario référence'!$B$16*5+'Scénario référence'!$B$17*0+'Scénario référence'!$B$18*5</f>
        <v>5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02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67">
        <f t="shared" si="192"/>
        <v>183.33333333333334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2.2737367544323206E-13</v>
      </c>
      <c r="O200" s="13">
        <f>N200*VLOOKUP('Données projet'!$B$9,Paramètres!$A$1:$I$89,3,0)*VLOOKUP('Données projet'!$B$9,Paramètres!$A$1:$I$89,5,0)</f>
        <v>1.3596945791505279E-13</v>
      </c>
      <c r="P200" s="13">
        <f t="shared" si="203"/>
        <v>1.9708830566360721E-12</v>
      </c>
      <c r="Q200" s="20">
        <f t="shared" si="162"/>
        <v>3.669434796176543E-12</v>
      </c>
      <c r="R200" s="59">
        <f t="shared" si="191"/>
        <v>290.41603252229248</v>
      </c>
      <c r="S200" s="59">
        <f ca="1">AVERAGE(OFFSET($R$3,0,0,'Données projet'!$E$9+1,1))-AVERAGE(OFFSET($H$3,0,0,'Données projet'!$E$9+1,1))</f>
        <v>297.34058997955685</v>
      </c>
      <c r="T200" s="59">
        <f t="shared" si="204"/>
        <v>440.06633724144069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3.0432421568844368</v>
      </c>
      <c r="AA200" s="21">
        <f>EXP(-LN(2)/25)*AA199+(1-EXP(-LN(2)/25))/(LN(2)/25)*Calculateur!V200*Calculateur!X200*VLOOKUP('Données projet'!$B$9,Paramètres!$A$1:$I$89,3,0)*0.475*44/12</f>
        <v>1.8398484780399966</v>
      </c>
      <c r="AB200" s="21">
        <f>EXP(-LN(2)/2)*AB199+(1-EXP(-LN(2)/2))/(LN(2)/2)*V200*Y200*VLOOKUP('Données projet'!$B$9,Paramètres!$A$1:$I$89,3,0)*0.475*44/12</f>
        <v>0</v>
      </c>
      <c r="AC200" s="22">
        <f t="shared" si="163"/>
        <v>4.8830906349244332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 t="e">
        <f>AI200*VLOOKUP('Données projet'!$B$10,Paramètres!$A$1:$I$89,3,0)*VLOOKUP('Données projet'!$B$10,Paramètres!$A$1:$I$89,5,0)</f>
        <v>#N/A</v>
      </c>
      <c r="AK200" s="13" t="e">
        <f t="shared" si="164"/>
        <v>#N/A</v>
      </c>
      <c r="AL200" s="20" t="e">
        <f t="shared" si="165"/>
        <v>#N/A</v>
      </c>
      <c r="AM200" s="59" t="e">
        <f t="shared" si="193"/>
        <v>#N/A</v>
      </c>
      <c r="AN200" s="59" t="e">
        <f ca="1">AVERAGE(OFFSET($AM$3,0,0,'Données projet'!$E$10+1,1))-AVERAGE(OFFSET($H$3,0,0,'Données projet'!$E$10+1,1))</f>
        <v>#N/A</v>
      </c>
      <c r="AO200" s="59" t="e">
        <f t="shared" si="205"/>
        <v>#N/A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 t="e">
        <f>EXP(-LN(2)/35)*AU199+(1-EXP(-LN(2)/35))/(LN(2)/35)*AQ200*AR200*VLOOKUP('Données projet'!$B$10,Paramètres!$A$1:$I$89,3,0)*0.475*44/12</f>
        <v>#N/A</v>
      </c>
      <c r="AV200" s="21" t="e">
        <f>EXP(-LN(2)/25)*AV199+(1-EXP(-LN(2)/25))/(LN(2)/25)*Calculateur!AQ200*Calculateur!AS200*VLOOKUP('Données projet'!$B$10,Paramètres!$A$1:$I$89,3,0)*0.475*44/12</f>
        <v>#N/A</v>
      </c>
      <c r="AW200" s="21" t="e">
        <f>EXP(-LN(2)/2)*AW199+(1-EXP(-LN(2)/2))/(LN(2)/2)*AQ200*AT200*VLOOKUP('Données projet'!$B$10,Paramètres!$A$1:$I$89,3,0)*0.475*44/12</f>
        <v>#N/A</v>
      </c>
      <c r="AX200" s="21" t="e">
        <f t="shared" si="166"/>
        <v>#N/A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3">
        <f>'Scénario référence'!$B$16*5+'Scénario référence'!$B$17*0+'Scénario référence'!$B$18*5</f>
        <v>5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02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67">
        <f t="shared" si="192"/>
        <v>183.33333333333334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2.2737367544323206E-13</v>
      </c>
      <c r="O201" s="13">
        <f>N201*VLOOKUP('Données projet'!$B$9,Paramètres!$A$1:$I$89,3,0)*VLOOKUP('Données projet'!$B$9,Paramètres!$A$1:$I$89,5,0)</f>
        <v>1.3596945791505279E-13</v>
      </c>
      <c r="P201" s="13">
        <f t="shared" si="203"/>
        <v>1.9708830566360721E-12</v>
      </c>
      <c r="Q201" s="20">
        <f t="shared" si="162"/>
        <v>3.669434796176543E-12</v>
      </c>
      <c r="R201" s="59">
        <f t="shared" si="191"/>
        <v>290.4666411692566</v>
      </c>
      <c r="S201" s="59">
        <f ca="1">AVERAGE(OFFSET($R$3,0,0,'Données projet'!$E$9+1,1))-AVERAGE(OFFSET($H$3,0,0,'Données projet'!$E$9+1,1))</f>
        <v>297.34058997955685</v>
      </c>
      <c r="T201" s="59">
        <f t="shared" si="204"/>
        <v>440.06633724144069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2.9835660343823647</v>
      </c>
      <c r="AA201" s="21">
        <f>EXP(-LN(2)/25)*AA200+(1-EXP(-LN(2)/25))/(LN(2)/25)*Calculateur!V201*Calculateur!X201*VLOOKUP('Données projet'!$B$9,Paramètres!$A$1:$I$89,3,0)*0.475*44/12</f>
        <v>1.7895377246545665</v>
      </c>
      <c r="AB201" s="21">
        <f>EXP(-LN(2)/2)*AB200+(1-EXP(-LN(2)/2))/(LN(2)/2)*V201*Y201*VLOOKUP('Données projet'!$B$9,Paramètres!$A$1:$I$89,3,0)*0.475*44/12</f>
        <v>0</v>
      </c>
      <c r="AC201" s="22">
        <f t="shared" si="163"/>
        <v>4.773103759036931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 t="e">
        <f>AI201*VLOOKUP('Données projet'!$B$10,Paramètres!$A$1:$I$89,3,0)*VLOOKUP('Données projet'!$B$10,Paramètres!$A$1:$I$89,5,0)</f>
        <v>#N/A</v>
      </c>
      <c r="AK201" s="13" t="e">
        <f t="shared" si="164"/>
        <v>#N/A</v>
      </c>
      <c r="AL201" s="20" t="e">
        <f t="shared" si="165"/>
        <v>#N/A</v>
      </c>
      <c r="AM201" s="59" t="e">
        <f t="shared" si="193"/>
        <v>#N/A</v>
      </c>
      <c r="AN201" s="59" t="e">
        <f ca="1">AVERAGE(OFFSET($AM$3,0,0,'Données projet'!$E$10+1,1))-AVERAGE(OFFSET($H$3,0,0,'Données projet'!$E$10+1,1))</f>
        <v>#N/A</v>
      </c>
      <c r="AO201" s="59" t="e">
        <f t="shared" si="205"/>
        <v>#N/A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 t="e">
        <f>EXP(-LN(2)/35)*AU200+(1-EXP(-LN(2)/35))/(LN(2)/35)*AQ201*AR201*VLOOKUP('Données projet'!$B$10,Paramètres!$A$1:$I$89,3,0)*0.475*44/12</f>
        <v>#N/A</v>
      </c>
      <c r="AV201" s="21" t="e">
        <f>EXP(-LN(2)/25)*AV200+(1-EXP(-LN(2)/25))/(LN(2)/25)*Calculateur!AQ201*Calculateur!AS201*VLOOKUP('Données projet'!$B$10,Paramètres!$A$1:$I$89,3,0)*0.475*44/12</f>
        <v>#N/A</v>
      </c>
      <c r="AW201" s="21" t="e">
        <f>EXP(-LN(2)/2)*AW200+(1-EXP(-LN(2)/2))/(LN(2)/2)*AQ201*AT201*VLOOKUP('Données projet'!$B$10,Paramètres!$A$1:$I$89,3,0)*0.475*44/12</f>
        <v>#N/A</v>
      </c>
      <c r="AX201" s="21" t="e">
        <f t="shared" si="166"/>
        <v>#N/A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3">
        <f>'Scénario référence'!$B$16*5+'Scénario référence'!$B$17*0+'Scénario référence'!$B$18*5</f>
        <v>5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02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67">
        <f t="shared" si="192"/>
        <v>183.33333333333334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2.2737367544323206E-13</v>
      </c>
      <c r="O202" s="13">
        <f>N202*VLOOKUP('Données projet'!$B$9,Paramètres!$A$1:$I$89,3,0)*VLOOKUP('Données projet'!$B$9,Paramètres!$A$1:$I$89,5,0)</f>
        <v>1.3596945791505279E-13</v>
      </c>
      <c r="P202" s="13">
        <f t="shared" si="203"/>
        <v>1.9708830566360721E-12</v>
      </c>
      <c r="Q202" s="20">
        <f t="shared" si="162"/>
        <v>3.669434796176543E-12</v>
      </c>
      <c r="R202" s="59">
        <f t="shared" si="191"/>
        <v>290.51637186933982</v>
      </c>
      <c r="S202" s="59">
        <f ca="1">AVERAGE(OFFSET($R$3,0,0,'Données projet'!$E$9+1,1))-AVERAGE(OFFSET($H$3,0,0,'Données projet'!$E$9+1,1))</f>
        <v>297.34058997955685</v>
      </c>
      <c r="T202" s="59">
        <f t="shared" si="204"/>
        <v>440.06633724144069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2.9250601242437178</v>
      </c>
      <c r="AA202" s="21">
        <f>EXP(-LN(2)/25)*AA201+(1-EXP(-LN(2)/25))/(LN(2)/25)*Calculateur!V202*Calculateur!X202*VLOOKUP('Données projet'!$B$9,Paramètres!$A$1:$I$89,3,0)*0.475*44/12</f>
        <v>1.7406027214661886</v>
      </c>
      <c r="AB202" s="21">
        <f>EXP(-LN(2)/2)*AB201+(1-EXP(-LN(2)/2))/(LN(2)/2)*V202*Y202*VLOOKUP('Données projet'!$B$9,Paramètres!$A$1:$I$89,3,0)*0.475*44/12</f>
        <v>0</v>
      </c>
      <c r="AC202" s="22">
        <f t="shared" si="163"/>
        <v>4.6656628457099067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 t="e">
        <f>AI202*VLOOKUP('Données projet'!$B$10,Paramètres!$A$1:$I$89,3,0)*VLOOKUP('Données projet'!$B$10,Paramètres!$A$1:$I$89,5,0)</f>
        <v>#N/A</v>
      </c>
      <c r="AK202" s="13" t="e">
        <f t="shared" si="164"/>
        <v>#N/A</v>
      </c>
      <c r="AL202" s="20" t="e">
        <f t="shared" si="165"/>
        <v>#N/A</v>
      </c>
      <c r="AM202" s="59" t="e">
        <f t="shared" si="193"/>
        <v>#N/A</v>
      </c>
      <c r="AN202" s="59" t="e">
        <f ca="1">AVERAGE(OFFSET($AM$3,0,0,'Données projet'!$E$10+1,1))-AVERAGE(OFFSET($H$3,0,0,'Données projet'!$E$10+1,1))</f>
        <v>#N/A</v>
      </c>
      <c r="AO202" s="59" t="e">
        <f t="shared" si="205"/>
        <v>#N/A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 t="e">
        <f>EXP(-LN(2)/35)*AU201+(1-EXP(-LN(2)/35))/(LN(2)/35)*AQ202*AR202*VLOOKUP('Données projet'!$B$10,Paramètres!$A$1:$I$89,3,0)*0.475*44/12</f>
        <v>#N/A</v>
      </c>
      <c r="AV202" s="21" t="e">
        <f>EXP(-LN(2)/25)*AV201+(1-EXP(-LN(2)/25))/(LN(2)/25)*Calculateur!AQ202*Calculateur!AS202*VLOOKUP('Données projet'!$B$10,Paramètres!$A$1:$I$89,3,0)*0.475*44/12</f>
        <v>#N/A</v>
      </c>
      <c r="AW202" s="21" t="e">
        <f>EXP(-LN(2)/2)*AW201+(1-EXP(-LN(2)/2))/(LN(2)/2)*AQ202*AT202*VLOOKUP('Données projet'!$B$10,Paramètres!$A$1:$I$89,3,0)*0.475*44/12</f>
        <v>#N/A</v>
      </c>
      <c r="AX202" s="21" t="e">
        <f t="shared" si="166"/>
        <v>#N/A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3">
        <f>'Scénario référence'!$B$16*5+'Scénario référence'!$B$17*0+'Scénario référence'!$B$18*5</f>
        <v>5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02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67">
        <f t="shared" si="192"/>
        <v>183.33333333333334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2.2737367544323206E-13</v>
      </c>
      <c r="O203" s="13">
        <f>N203*VLOOKUP('Données projet'!$B$9,Paramètres!$A$1:$I$89,3,0)*VLOOKUP('Données projet'!$B$9,Paramètres!$A$1:$I$89,5,0)</f>
        <v>1.3596945791505279E-13</v>
      </c>
      <c r="P203" s="13">
        <f t="shared" si="203"/>
        <v>1.9708830566360721E-12</v>
      </c>
      <c r="Q203" s="20">
        <f t="shared" si="162"/>
        <v>3.669434796176543E-12</v>
      </c>
      <c r="R203" s="59">
        <f t="shared" si="191"/>
        <v>290.5652398529578</v>
      </c>
      <c r="S203" s="59">
        <f ca="1">AVERAGE(OFFSET($R$3,0,0,'Données projet'!$E$9+1,1))-AVERAGE(OFFSET($H$3,0,0,'Données projet'!$E$9+1,1))</f>
        <v>297.34058997955685</v>
      </c>
      <c r="T203" s="59">
        <f t="shared" si="204"/>
        <v>440.06633724144069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2.8677014793178079</v>
      </c>
      <c r="AA203" s="21">
        <f>EXP(-LN(2)/25)*AA202+(1-EXP(-LN(2)/25))/(LN(2)/25)*Calculateur!V203*Calculateur!X203*VLOOKUP('Données projet'!$B$9,Paramètres!$A$1:$I$89,3,0)*0.475*44/12</f>
        <v>1.6930058485133768</v>
      </c>
      <c r="AB203" s="21">
        <f>EXP(-LN(2)/2)*AB202+(1-EXP(-LN(2)/2))/(LN(2)/2)*V203*Y203*VLOOKUP('Données projet'!$B$9,Paramètres!$A$1:$I$89,3,0)*0.475*44/12</f>
        <v>0</v>
      </c>
      <c r="AC203" s="22">
        <f t="shared" si="163"/>
        <v>4.5607073278311852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 t="e">
        <f>AI203*VLOOKUP('Données projet'!$B$10,Paramètres!$A$1:$I$89,3,0)*VLOOKUP('Données projet'!$B$10,Paramètres!$A$1:$I$89,5,0)</f>
        <v>#N/A</v>
      </c>
      <c r="AK203" s="13" t="e">
        <f t="shared" si="164"/>
        <v>#N/A</v>
      </c>
      <c r="AL203" s="20" t="e">
        <f t="shared" si="165"/>
        <v>#N/A</v>
      </c>
      <c r="AM203" s="59" t="e">
        <f t="shared" si="193"/>
        <v>#N/A</v>
      </c>
      <c r="AN203" s="59" t="e">
        <f ca="1">AVERAGE(OFFSET($AM$3,0,0,'Données projet'!$E$10+1,1))-AVERAGE(OFFSET($H$3,0,0,'Données projet'!$E$10+1,1))</f>
        <v>#N/A</v>
      </c>
      <c r="AO203" s="59" t="e">
        <f t="shared" si="205"/>
        <v>#N/A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 t="e">
        <f>EXP(-LN(2)/35)*AU202+(1-EXP(-LN(2)/35))/(LN(2)/35)*AQ203*AR203*VLOOKUP('Données projet'!$B$10,Paramètres!$A$1:$I$89,3,0)*0.475*44/12</f>
        <v>#N/A</v>
      </c>
      <c r="AV203" s="21" t="e">
        <f>EXP(-LN(2)/25)*AV202+(1-EXP(-LN(2)/25))/(LN(2)/25)*Calculateur!AQ203*Calculateur!AS203*VLOOKUP('Données projet'!$B$10,Paramètres!$A$1:$I$89,3,0)*0.475*44/12</f>
        <v>#N/A</v>
      </c>
      <c r="AW203" s="21" t="e">
        <f>EXP(-LN(2)/2)*AW202+(1-EXP(-LN(2)/2))/(LN(2)/2)*AQ203*AT203*VLOOKUP('Données projet'!$B$10,Paramètres!$A$1:$I$89,3,0)*0.475*44/12</f>
        <v>#N/A</v>
      </c>
      <c r="AX203" s="21" t="e">
        <f t="shared" si="166"/>
        <v>#N/A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4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1.3973210857138749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 t="e">
        <f>EXP(LN('Données projet'!B62)/'Données projet'!A62)</f>
        <v>#NUM!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6328125" style="4" bestFit="1" customWidth="1"/>
    <col min="3" max="3" width="11.90625" style="4" bestFit="1" customWidth="1"/>
    <col min="4" max="4" width="40" style="4" bestFit="1" customWidth="1"/>
    <col min="5" max="5" width="11.90625" style="4" bestFit="1" customWidth="1"/>
    <col min="6" max="6" width="13.6328125" style="4" bestFit="1" customWidth="1"/>
    <col min="7" max="7" width="11.453125" style="4" bestFit="1" customWidth="1"/>
    <col min="8" max="8" width="39" style="4" bestFit="1" customWidth="1"/>
    <col min="9" max="9" width="16.63281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8" t="s">
        <v>238</v>
      </c>
      <c r="P2" s="121">
        <v>0</v>
      </c>
    </row>
    <row r="3" spans="1:16" ht="15" thickBot="1" x14ac:dyDescent="0.4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9"/>
      <c r="P3" s="128">
        <v>0.2</v>
      </c>
    </row>
    <row r="4" spans="1:16" ht="15" thickBot="1" x14ac:dyDescent="0.4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8" t="s">
        <v>237</v>
      </c>
      <c r="P5" s="121">
        <v>0</v>
      </c>
    </row>
    <row r="6" spans="1:16" x14ac:dyDescent="0.3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90"/>
      <c r="P6" s="129">
        <v>0.05</v>
      </c>
    </row>
    <row r="7" spans="1:16" x14ac:dyDescent="0.3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90"/>
      <c r="P7" s="129">
        <v>0.1</v>
      </c>
    </row>
    <row r="8" spans="1:16" ht="15" thickBot="1" x14ac:dyDescent="0.4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9"/>
      <c r="P8" s="128">
        <v>0.15</v>
      </c>
    </row>
    <row r="9" spans="1:16" ht="15" thickBot="1" x14ac:dyDescent="0.4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8" t="s">
        <v>236</v>
      </c>
      <c r="P10" s="121">
        <v>0</v>
      </c>
    </row>
    <row r="11" spans="1:16" ht="15" thickBot="1" x14ac:dyDescent="0.4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9"/>
      <c r="P11" s="128">
        <v>0.1</v>
      </c>
    </row>
    <row r="12" spans="1:16" x14ac:dyDescent="0.3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4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5">
      <c r="A93" s="122" t="s">
        <v>208</v>
      </c>
    </row>
    <row r="94" spans="1:14" x14ac:dyDescent="0.35">
      <c r="A94" s="122" t="s">
        <v>209</v>
      </c>
    </row>
    <row r="95" spans="1:14" x14ac:dyDescent="0.3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I8" sqref="I8"/>
    </sheetView>
  </sheetViews>
  <sheetFormatPr baseColWidth="10" defaultColWidth="11.453125" defaultRowHeight="14.5" x14ac:dyDescent="0.35"/>
  <cols>
    <col min="1" max="1" width="22.90625" style="1" bestFit="1" customWidth="1"/>
    <col min="2" max="2" width="10.54296875" style="1" bestFit="1" customWidth="1"/>
    <col min="3" max="3" width="15.5429687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79" t="s">
        <v>271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1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5" t="str">
        <f>IF('Données projet'!$B$9="","",'Données projet'!$B$9)</f>
        <v>Pin taeda</v>
      </c>
      <c r="B6" s="146">
        <f>'Données projet'!D9</f>
        <v>1.24</v>
      </c>
      <c r="C6" s="147">
        <f ca="1">IF(OR('Données projet'!B9="",'Données projet'!C9="",'Données projet'!C9=0%),0,Calculateur!S3)</f>
        <v>297.34058997955685</v>
      </c>
      <c r="D6" s="147">
        <f>IF(OR('Données projet'!B9="",'Données projet'!C9="",'Données projet'!C9=0%),0,Calculateur!T3)</f>
        <v>440.06633724144069</v>
      </c>
      <c r="E6" s="147">
        <f ca="1">MIN(C6,D6)</f>
        <v>297.34058997955685</v>
      </c>
      <c r="F6" s="147">
        <f ca="1">E6*B6</f>
        <v>368.70233157465049</v>
      </c>
      <c r="G6" s="147">
        <f ca="1">F6*(100%-'Données projet'!$C$24)*(100%-'Données projet'!$C$25)*(100%-'Données projet'!$C$26)*(100%-'Données projet'!$C$27)</f>
        <v>315.24049349632611</v>
      </c>
      <c r="H6" s="148">
        <f>IF(OR('Données projet'!B9="",'Données projet'!C9="",'Données projet'!C9=0%),0,AVERAGE(Calculateur!$AC$3:$AC$33)*B6)</f>
        <v>19.838845419195568</v>
      </c>
      <c r="I6" s="149">
        <f>H6*(100%-'Données projet'!$C$24)*(100%-'Données projet'!$C$25)*(100%-'Données projet'!$C$26)*(100%-'Données projet'!$C$27)</f>
        <v>16.96221283341221</v>
      </c>
      <c r="J6" s="150">
        <f>IF(OR('Données projet'!B9="",'Données projet'!C9="",'Données projet'!C9=0%),0,SUM(Calculateur!$V$3:$V$33)*VLOOKUP('Données projet'!$B$9,Paramètres!$A$1:$I$89,9,0)*B6)</f>
        <v>82.491371999999998</v>
      </c>
      <c r="K6" s="151">
        <f>J6*(100%-'Données projet'!$C$24)*(100%-'Données projet'!$C$25)*(100%-'Données projet'!$C$26)*(100%-'Données projet'!$C$27)</f>
        <v>70.530123060000008</v>
      </c>
      <c r="L6" s="152">
        <f ca="1">G6+I6+K6</f>
        <v>402.7328293897383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3" t="str">
        <f>IF('Données projet'!$B$10="","",'Données projet'!$B$10)</f>
        <v/>
      </c>
      <c r="B7" s="154">
        <f>'Données projet'!D10</f>
        <v>0</v>
      </c>
      <c r="C7" s="147">
        <f>IF(OR('Données projet'!B10="",'Données projet'!C10="",'Données projet'!C10=0%),0,Calculateur!AN3)</f>
        <v>0</v>
      </c>
      <c r="D7" s="147">
        <f>IF(OR('Données projet'!B10="",'Données projet'!C10="",'Données projet'!C10=0%),0,Calculateur!AO3)</f>
        <v>0</v>
      </c>
      <c r="E7" s="147">
        <f t="shared" ref="E7:E15" si="0">MIN(C7,D7)</f>
        <v>0</v>
      </c>
      <c r="F7" s="147">
        <f t="shared" ref="F7:F15" si="1">E7*B7</f>
        <v>0</v>
      </c>
      <c r="G7" s="147">
        <f>F7*(100%-'Données projet'!$C$24)*(100%-'Données projet'!$C$25)*(100%-'Données projet'!$C$26)*(100%-'Données projet'!$C$27)</f>
        <v>0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si="2">G7+I7+K7</f>
        <v>0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9"/>
      <c r="B16" s="213"/>
      <c r="C16" s="214"/>
      <c r="D16" s="23"/>
      <c r="E16" s="23"/>
      <c r="F16" s="165">
        <f t="shared" ref="F16:L16" ca="1" si="3">SUM(F6:F15)</f>
        <v>368.70233157465049</v>
      </c>
      <c r="G16" s="166">
        <f t="shared" ca="1" si="3"/>
        <v>315.24049349632611</v>
      </c>
      <c r="H16" s="167">
        <f t="shared" si="3"/>
        <v>19.838845419195568</v>
      </c>
      <c r="I16" s="167">
        <f t="shared" si="3"/>
        <v>16.96221283341221</v>
      </c>
      <c r="J16" s="168">
        <f t="shared" si="3"/>
        <v>82.491371999999998</v>
      </c>
      <c r="K16" s="168">
        <f t="shared" si="3"/>
        <v>70.530123060000008</v>
      </c>
      <c r="L16" s="169">
        <f t="shared" ca="1" si="3"/>
        <v>402.7328293897383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9"/>
      <c r="B17" s="213"/>
      <c r="C17" s="214"/>
      <c r="D17" s="23"/>
      <c r="E17" s="23"/>
      <c r="F17" s="291" t="s">
        <v>246</v>
      </c>
      <c r="G17" s="292"/>
      <c r="H17" s="292"/>
      <c r="I17" s="292"/>
      <c r="J17" s="292"/>
      <c r="K17" s="292"/>
      <c r="L17" s="292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9"/>
      <c r="B18" s="213"/>
      <c r="C18" s="214"/>
      <c r="D18" s="23"/>
      <c r="E18" s="23"/>
      <c r="F18" s="278"/>
      <c r="G18" s="278"/>
      <c r="H18" s="278"/>
      <c r="I18" s="278"/>
      <c r="J18" s="278"/>
      <c r="K18" s="278"/>
      <c r="L18" s="278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70" t="str">
        <f>A6</f>
        <v>Pin taeda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70" t="str">
        <f>A7</f>
        <v/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M19" zoomScale="80" zoomScaleNormal="80" workbookViewId="0">
      <selection activeCell="S38" sqref="S38"/>
    </sheetView>
  </sheetViews>
  <sheetFormatPr baseColWidth="10" defaultColWidth="11.453125" defaultRowHeight="14.5" x14ac:dyDescent="0.35"/>
  <cols>
    <col min="1" max="1" width="11.453125" style="1"/>
    <col min="2" max="2" width="30.90625" style="1" bestFit="1" customWidth="1"/>
    <col min="3" max="3" width="18.08984375" style="1" bestFit="1" customWidth="1"/>
    <col min="4" max="5" width="11.453125" style="1"/>
    <col min="6" max="6" width="14" style="1" customWidth="1"/>
    <col min="7" max="7" width="17.54296875" style="1" customWidth="1"/>
    <col min="8" max="8" width="21.6328125" style="1" customWidth="1"/>
    <col min="9" max="9" width="37" style="1" customWidth="1"/>
    <col min="10" max="10" width="11.453125" style="1"/>
    <col min="11" max="11" width="8.9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08984375" style="1" customWidth="1"/>
    <col min="21" max="21" width="16.453125" style="1" customWidth="1"/>
    <col min="22" max="22" width="17.9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79" t="s">
        <v>272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1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9" t="s">
        <v>315</v>
      </c>
      <c r="I4" s="269"/>
      <c r="K4" s="293" t="s">
        <v>253</v>
      </c>
      <c r="L4" s="294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303" t="s">
        <v>310</v>
      </c>
      <c r="S7" s="304"/>
      <c r="T7" s="304"/>
      <c r="U7" s="304"/>
      <c r="V7" s="305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3" t="s">
        <v>311</v>
      </c>
      <c r="C9" s="23"/>
      <c r="D9" s="23"/>
      <c r="E9" s="23"/>
      <c r="F9" s="230"/>
      <c r="G9" s="93" t="s">
        <v>314</v>
      </c>
      <c r="I9" s="195"/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taeda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-1730.1339856124766</v>
      </c>
      <c r="U10" s="178">
        <f>'Données projet'!D9</f>
        <v>1.24</v>
      </c>
      <c r="V10" s="177">
        <f>U10*T10</f>
        <v>-2145.3661421594711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/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0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/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4" t="str">
        <f>IF('Données projet'!$B$9="","",'Données projet'!$B$9)</f>
        <v>Pin taeda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30"/>
      <c r="G15" s="296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296"/>
      <c r="H16" s="190"/>
      <c r="I16" s="191"/>
      <c r="J16" s="202"/>
      <c r="K16" s="208"/>
      <c r="L16" s="293" t="s">
        <v>254</v>
      </c>
      <c r="M16" s="294"/>
      <c r="N16" s="2"/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9" t="s">
        <v>132</v>
      </c>
      <c r="C17" s="198" t="s">
        <v>132</v>
      </c>
      <c r="D17" s="197" t="s">
        <v>132</v>
      </c>
      <c r="E17" s="193">
        <f>650+872.34/1.24</f>
        <v>1353.5</v>
      </c>
      <c r="F17" s="230"/>
      <c r="G17" s="296"/>
      <c r="I17" s="195"/>
      <c r="J17" s="202"/>
      <c r="K17" s="208"/>
      <c r="L17" s="266" t="s">
        <v>289</v>
      </c>
      <c r="M17" s="268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9" t="s">
        <v>132</v>
      </c>
      <c r="C18" s="198" t="s">
        <v>132</v>
      </c>
      <c r="D18" s="197" t="s">
        <v>132</v>
      </c>
      <c r="E18" s="193">
        <f>220+430</f>
        <v>650</v>
      </c>
      <c r="F18" s="230"/>
      <c r="G18" s="296"/>
      <c r="J18" s="202"/>
      <c r="K18" s="208"/>
      <c r="L18" s="266" t="s">
        <v>255</v>
      </c>
      <c r="M18" s="268"/>
      <c r="N18" s="192">
        <v>5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9" t="s">
        <v>132</v>
      </c>
      <c r="C19" s="198" t="s">
        <v>132</v>
      </c>
      <c r="D19" s="197" t="s">
        <v>132</v>
      </c>
      <c r="E19" s="193">
        <f>400+430+15%*E17</f>
        <v>1033.0250000000001</v>
      </c>
      <c r="F19" s="230"/>
      <c r="G19" s="296"/>
      <c r="H19" s="212" t="s">
        <v>178</v>
      </c>
      <c r="I19" s="212" t="s">
        <v>287</v>
      </c>
      <c r="J19" s="93"/>
      <c r="K19" s="173"/>
      <c r="L19" s="293" t="s">
        <v>288</v>
      </c>
      <c r="M19" s="294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9" t="s">
        <v>132</v>
      </c>
      <c r="C20" s="198" t="s">
        <v>132</v>
      </c>
      <c r="D20" s="197" t="s">
        <v>132</v>
      </c>
      <c r="E20" s="193">
        <f>220+430</f>
        <v>650</v>
      </c>
      <c r="F20" s="230"/>
      <c r="G20" s="296"/>
      <c r="H20" s="190">
        <v>1</v>
      </c>
      <c r="I20" s="191">
        <f>20+(400/'Données projet'!C5+20)+(200/'Données projet'!C5+10)</f>
        <v>533.87096774193549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2</v>
      </c>
      <c r="I21" s="191">
        <v>20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3</v>
      </c>
      <c r="I22" s="191">
        <f>20+200/'Données projet'!C5+10</f>
        <v>191.29032258064515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80">
        <f>'Données projet'!A36</f>
        <v>14</v>
      </c>
      <c r="B23" s="181">
        <f>'Données projet'!D36</f>
        <v>34.25</v>
      </c>
      <c r="C23" s="193">
        <v>5</v>
      </c>
      <c r="D23" s="182">
        <f>B23*C23</f>
        <v>171.25</v>
      </c>
      <c r="E23" s="193"/>
      <c r="F23" s="230"/>
      <c r="H23" s="190">
        <v>4</v>
      </c>
      <c r="I23" s="191">
        <v>20</v>
      </c>
      <c r="K23" s="208"/>
      <c r="L23" s="295" t="s">
        <v>260</v>
      </c>
      <c r="M23" s="295"/>
      <c r="N23" s="295"/>
      <c r="O23" s="23"/>
      <c r="P23" s="23"/>
      <c r="Q23" s="234"/>
      <c r="R23" s="23"/>
      <c r="S23" s="36" t="s">
        <v>264</v>
      </c>
      <c r="T23" s="308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-3694.1393749786357</v>
      </c>
      <c r="U23" s="308"/>
      <c r="V23" s="308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80">
        <f>'Données projet'!A37</f>
        <v>19</v>
      </c>
      <c r="B24" s="181">
        <f>'Données projet'!D37</f>
        <v>59.5</v>
      </c>
      <c r="C24" s="193">
        <v>5</v>
      </c>
      <c r="D24" s="182">
        <f t="shared" ref="D24:D42" si="2">B24*C24</f>
        <v>297.5</v>
      </c>
      <c r="E24" s="193"/>
      <c r="F24" s="233"/>
      <c r="H24" s="190">
        <v>5</v>
      </c>
      <c r="I24" s="2">
        <f>20+8%*(SUM(E17:E22)*U10+SUM(E$48:E53)*U11+SUM(E79:E84)*U12+SUM(E110:E115)*U13+SUM(E141:E146)*U14+SUM(E172:E177)*U15+SUM(E203:E208)*U16+SUM(E234:E239)*U17+SUM(E265:E270)*U18+SUM(E296:E301)*U19)/'Données projet'!$C$5</f>
        <v>314.92200000000003</v>
      </c>
      <c r="K24" s="208"/>
      <c r="O24" s="23"/>
      <c r="P24" s="23"/>
      <c r="Q24" s="234"/>
      <c r="R24" s="23"/>
      <c r="S24" s="36" t="s">
        <v>261</v>
      </c>
      <c r="T24" s="309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9"/>
      <c r="V24" s="309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80">
        <f>'Données projet'!A38</f>
        <v>25</v>
      </c>
      <c r="B25" s="181">
        <f>'Données projet'!D38</f>
        <v>60.96</v>
      </c>
      <c r="C25" s="193">
        <v>8.5</v>
      </c>
      <c r="D25" s="182">
        <f t="shared" si="2"/>
        <v>518.16</v>
      </c>
      <c r="E25" s="193"/>
      <c r="F25" s="233"/>
      <c r="H25" s="190">
        <v>6</v>
      </c>
      <c r="I25" s="191">
        <v>20</v>
      </c>
      <c r="K25" s="208"/>
      <c r="L25" s="130" t="s">
        <v>285</v>
      </c>
      <c r="M25" s="130"/>
      <c r="N25" s="130"/>
      <c r="O25" s="130"/>
      <c r="P25" s="192">
        <v>0</v>
      </c>
      <c r="Q25" s="234"/>
      <c r="R25" s="23"/>
      <c r="S25" s="186" t="s">
        <v>266</v>
      </c>
      <c r="T25" s="310">
        <f ca="1">T23-T24</f>
        <v>-3694.1393749786357</v>
      </c>
      <c r="U25" s="310"/>
      <c r="V25" s="310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80">
        <f>'Données projet'!A39</f>
        <v>32</v>
      </c>
      <c r="B26" s="181">
        <f>'Données projet'!D39</f>
        <v>76.42</v>
      </c>
      <c r="C26" s="193">
        <v>15.5</v>
      </c>
      <c r="D26" s="182">
        <f t="shared" si="2"/>
        <v>1184.51</v>
      </c>
      <c r="E26" s="193"/>
      <c r="F26" s="233"/>
      <c r="G26" s="229"/>
      <c r="H26" s="190">
        <v>7</v>
      </c>
      <c r="I26" s="191">
        <v>20</v>
      </c>
      <c r="K26" s="208"/>
      <c r="L26" s="297" t="s">
        <v>258</v>
      </c>
      <c r="M26" s="298"/>
      <c r="N26" s="298"/>
      <c r="O26" s="298"/>
      <c r="P26" s="299"/>
      <c r="Q26" s="234"/>
      <c r="R26" s="23"/>
      <c r="S26" s="186" t="s">
        <v>265</v>
      </c>
      <c r="T26" s="307" t="str">
        <f ca="1">IF(T25&lt;0,"Votre projet est additionnel","Votre projet n'est pas additionnel")</f>
        <v>Votre projet est additionnel</v>
      </c>
      <c r="U26" s="307"/>
      <c r="V26" s="307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80">
        <f>'Données projet'!A40</f>
        <v>45</v>
      </c>
      <c r="B27" s="181">
        <f>'Données projet'!D40</f>
        <v>503.89</v>
      </c>
      <c r="C27" s="193">
        <v>15.5</v>
      </c>
      <c r="D27" s="182">
        <f t="shared" si="2"/>
        <v>7810.2950000000001</v>
      </c>
      <c r="E27" s="193"/>
      <c r="F27" s="233"/>
      <c r="G27" s="229"/>
      <c r="H27" s="190">
        <v>8</v>
      </c>
      <c r="I27" s="191">
        <v>20</v>
      </c>
      <c r="K27" s="208"/>
      <c r="L27" s="300"/>
      <c r="M27" s="301"/>
      <c r="N27" s="301"/>
      <c r="O27" s="301"/>
      <c r="P27" s="302"/>
      <c r="Q27" s="234"/>
      <c r="R27" s="23"/>
      <c r="S27" s="306" t="s">
        <v>267</v>
      </c>
      <c r="T27" s="306"/>
      <c r="U27" s="306"/>
      <c r="V27" s="306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80">
        <f>'Données projet'!A41</f>
        <v>0</v>
      </c>
      <c r="B28" s="181">
        <f>'Données projet'!D41</f>
        <v>0</v>
      </c>
      <c r="C28" s="193"/>
      <c r="D28" s="182">
        <f t="shared" si="2"/>
        <v>0</v>
      </c>
      <c r="E28" s="193"/>
      <c r="F28" s="233"/>
      <c r="G28" s="205"/>
      <c r="H28" s="190">
        <v>9</v>
      </c>
      <c r="I28" s="191">
        <v>20</v>
      </c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80">
        <f>'Données projet'!A42</f>
        <v>0</v>
      </c>
      <c r="B29" s="181">
        <f>'Données projet'!D42</f>
        <v>0</v>
      </c>
      <c r="C29" s="193"/>
      <c r="D29" s="182">
        <f t="shared" si="2"/>
        <v>0</v>
      </c>
      <c r="E29" s="193"/>
      <c r="F29" s="233"/>
      <c r="G29" s="203"/>
      <c r="H29" s="190">
        <v>10</v>
      </c>
      <c r="I29" s="191">
        <v>20</v>
      </c>
      <c r="K29" s="208"/>
      <c r="O29" s="23"/>
      <c r="P29" s="23"/>
      <c r="Q29" s="234"/>
      <c r="R29" s="23"/>
      <c r="S29" s="1" t="s">
        <v>325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80">
        <f>'Données projet'!A43</f>
        <v>0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>
        <v>11</v>
      </c>
      <c r="I30" s="191">
        <v>20</v>
      </c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S30" s="1" t="s">
        <v>326</v>
      </c>
      <c r="U30" s="1">
        <f>SUM(E17:E22)*U10+SUM(E$48:E53)*U11+SUM(E79:E84)*U12+SUM(E110:E115)*U13+SUM(E141:E146)*U14+SUM(E172:E177)*U15+SUM(E203:E208)*U16+SUM(E234:E239)*U17+SUM(E265:E270)*U18+SUM(E296:E301)*U19</f>
        <v>4571.2910000000002</v>
      </c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>
        <v>12</v>
      </c>
      <c r="I31" s="191">
        <v>20</v>
      </c>
      <c r="K31" s="173"/>
      <c r="Q31" s="234"/>
      <c r="R31" s="23"/>
      <c r="S31" s="1" t="s">
        <v>327</v>
      </c>
      <c r="U31" s="1">
        <f>SUM(I19:I23)*SUM(U10:U19)</f>
        <v>948.8</v>
      </c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>
        <v>13</v>
      </c>
      <c r="I32" s="191">
        <v>20</v>
      </c>
      <c r="K32" s="173"/>
      <c r="N32" s="4"/>
      <c r="O32" s="85" t="s">
        <v>178</v>
      </c>
      <c r="P32" s="85" t="s">
        <v>252</v>
      </c>
      <c r="Q32" s="234"/>
      <c r="R32" s="23"/>
      <c r="S32" s="1" t="s">
        <v>328</v>
      </c>
      <c r="U32" s="1">
        <v>1500</v>
      </c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>
        <v>14</v>
      </c>
      <c r="I33" s="191">
        <v>20</v>
      </c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S33" s="1" t="s">
        <v>175</v>
      </c>
      <c r="U33" s="1">
        <f>SUM(U30:U32)</f>
        <v>7020.0910000000003</v>
      </c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>
        <v>15</v>
      </c>
      <c r="I34" s="191">
        <v>20</v>
      </c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>
        <v>16</v>
      </c>
      <c r="I35" s="191">
        <v>20</v>
      </c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>
        <v>17</v>
      </c>
      <c r="I36" s="191">
        <v>20</v>
      </c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>
        <v>18</v>
      </c>
      <c r="I37" s="191">
        <v>20</v>
      </c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>
        <v>19</v>
      </c>
      <c r="I38" s="191">
        <v>20</v>
      </c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>
        <v>20</v>
      </c>
      <c r="I39" s="191">
        <v>20</v>
      </c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>
        <v>21</v>
      </c>
      <c r="I40" s="191">
        <v>20</v>
      </c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>
        <v>22</v>
      </c>
      <c r="I41" s="191">
        <v>20</v>
      </c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>
        <v>23</v>
      </c>
      <c r="I42" s="191">
        <v>20</v>
      </c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7"/>
      <c r="B43" s="187"/>
      <c r="C43" s="187"/>
      <c r="D43" s="227"/>
      <c r="E43" s="227"/>
      <c r="F43" s="238"/>
      <c r="G43" s="203"/>
      <c r="H43" s="190">
        <v>24</v>
      </c>
      <c r="I43" s="191">
        <v>20</v>
      </c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30"/>
      <c r="G44" s="203"/>
      <c r="H44" s="190">
        <v>25</v>
      </c>
      <c r="I44" s="191">
        <v>20</v>
      </c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4" t="str">
        <f>IF('Données projet'!$B$10="","",'Données projet'!$B$10)</f>
        <v/>
      </c>
      <c r="C45" s="4"/>
      <c r="D45" s="4"/>
      <c r="E45" s="4"/>
      <c r="F45" s="230"/>
      <c r="G45" s="203"/>
      <c r="H45" s="190">
        <v>26</v>
      </c>
      <c r="I45" s="191">
        <v>20</v>
      </c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30"/>
      <c r="G46" s="203"/>
      <c r="H46" s="190">
        <v>27</v>
      </c>
      <c r="I46" s="191">
        <v>20</v>
      </c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>
        <v>28</v>
      </c>
      <c r="I47" s="191">
        <v>20</v>
      </c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9" t="s">
        <v>132</v>
      </c>
      <c r="C48" s="198" t="s">
        <v>132</v>
      </c>
      <c r="D48" s="197" t="s">
        <v>132</v>
      </c>
      <c r="E48" s="193"/>
      <c r="F48" s="231"/>
      <c r="G48" s="203"/>
      <c r="H48" s="190">
        <v>29</v>
      </c>
      <c r="I48" s="191">
        <v>20</v>
      </c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>
        <v>30</v>
      </c>
      <c r="I49" s="191">
        <v>20</v>
      </c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>
        <v>31</v>
      </c>
      <c r="I50" s="191">
        <v>20</v>
      </c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>
        <v>32</v>
      </c>
      <c r="I51" s="191">
        <v>20</v>
      </c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>
        <v>33</v>
      </c>
      <c r="I52" s="191">
        <v>20</v>
      </c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>
        <v>34</v>
      </c>
      <c r="I53" s="191">
        <v>20</v>
      </c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80">
        <f>'Données projet'!A62</f>
        <v>0</v>
      </c>
      <c r="B54" s="181">
        <f>'Données projet'!D62</f>
        <v>0</v>
      </c>
      <c r="C54" s="191"/>
      <c r="D54" s="179">
        <f>B54*C54</f>
        <v>0</v>
      </c>
      <c r="E54" s="193"/>
      <c r="F54" s="232"/>
      <c r="G54" s="205"/>
      <c r="H54" s="190">
        <v>35</v>
      </c>
      <c r="I54" s="191">
        <v>20</v>
      </c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80">
        <f>'Données projet'!A63</f>
        <v>0</v>
      </c>
      <c r="B55" s="181">
        <f>'Données projet'!D63</f>
        <v>0</v>
      </c>
      <c r="C55" s="191"/>
      <c r="D55" s="179">
        <f t="shared" ref="D55:D73" si="4">B55*C55</f>
        <v>0</v>
      </c>
      <c r="E55" s="193"/>
      <c r="F55" s="232"/>
      <c r="G55" s="205"/>
      <c r="H55" s="190">
        <v>36</v>
      </c>
      <c r="I55" s="191">
        <v>20</v>
      </c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80">
        <f>'Données projet'!A64</f>
        <v>0</v>
      </c>
      <c r="B56" s="181">
        <f>'Données projet'!D64</f>
        <v>0</v>
      </c>
      <c r="C56" s="191"/>
      <c r="D56" s="179">
        <f t="shared" si="4"/>
        <v>0</v>
      </c>
      <c r="E56" s="193"/>
      <c r="F56" s="232"/>
      <c r="G56" s="205"/>
      <c r="H56" s="190">
        <v>37</v>
      </c>
      <c r="I56" s="191">
        <v>20</v>
      </c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80">
        <f>'Données projet'!A65</f>
        <v>0</v>
      </c>
      <c r="B57" s="181">
        <f>'Données projet'!D65</f>
        <v>0</v>
      </c>
      <c r="C57" s="191"/>
      <c r="D57" s="179">
        <f t="shared" si="4"/>
        <v>0</v>
      </c>
      <c r="E57" s="193"/>
      <c r="F57" s="232"/>
      <c r="G57" s="205"/>
      <c r="H57" s="190">
        <v>38</v>
      </c>
      <c r="I57" s="191">
        <v>20</v>
      </c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80">
        <f>'Données projet'!A66</f>
        <v>0</v>
      </c>
      <c r="B58" s="181">
        <f>'Données projet'!D66</f>
        <v>0</v>
      </c>
      <c r="C58" s="191"/>
      <c r="D58" s="179">
        <f t="shared" si="4"/>
        <v>0</v>
      </c>
      <c r="E58" s="193"/>
      <c r="F58" s="232"/>
      <c r="G58" s="205"/>
      <c r="H58" s="190">
        <v>39</v>
      </c>
      <c r="I58" s="191">
        <v>20</v>
      </c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80">
        <f>'Données projet'!A67</f>
        <v>0</v>
      </c>
      <c r="B59" s="181">
        <f>'Données projet'!D67</f>
        <v>0</v>
      </c>
      <c r="C59" s="191"/>
      <c r="D59" s="179">
        <f t="shared" si="4"/>
        <v>0</v>
      </c>
      <c r="E59" s="193"/>
      <c r="F59" s="232"/>
      <c r="G59" s="205"/>
      <c r="H59" s="190">
        <v>40</v>
      </c>
      <c r="I59" s="191">
        <v>20</v>
      </c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80">
        <f>'Données projet'!A68</f>
        <v>0</v>
      </c>
      <c r="B60" s="181">
        <f>'Données projet'!D68</f>
        <v>0</v>
      </c>
      <c r="C60" s="191"/>
      <c r="D60" s="179">
        <f t="shared" si="4"/>
        <v>0</v>
      </c>
      <c r="E60" s="193"/>
      <c r="F60" s="232"/>
      <c r="G60" s="206"/>
      <c r="H60" s="190">
        <v>41</v>
      </c>
      <c r="I60" s="191">
        <v>20</v>
      </c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>
        <v>42</v>
      </c>
      <c r="I61" s="191">
        <v>20</v>
      </c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>
        <v>43</v>
      </c>
      <c r="I62" s="191">
        <v>20</v>
      </c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>
        <v>44</v>
      </c>
      <c r="I63" s="191">
        <v>20</v>
      </c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>
        <v>45</v>
      </c>
      <c r="I64" s="191">
        <v>20</v>
      </c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>
        <v>46</v>
      </c>
      <c r="I65" s="191">
        <v>20</v>
      </c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>
        <v>47</v>
      </c>
      <c r="I66" s="191">
        <v>20</v>
      </c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>
        <v>48</v>
      </c>
      <c r="I67" s="191">
        <v>20</v>
      </c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>
        <v>49</v>
      </c>
      <c r="I68" s="191">
        <v>20</v>
      </c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>
        <v>50</v>
      </c>
      <c r="I69" s="191">
        <v>20</v>
      </c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>
        <v>51</v>
      </c>
      <c r="I70" s="191">
        <v>20</v>
      </c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>
        <v>52</v>
      </c>
      <c r="I71" s="191">
        <v>20</v>
      </c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>
        <v>53</v>
      </c>
      <c r="I72" s="191">
        <v>20</v>
      </c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>
        <v>54</v>
      </c>
      <c r="I73" s="191">
        <v>20</v>
      </c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30"/>
      <c r="G74" s="206"/>
      <c r="H74" s="190">
        <v>55</v>
      </c>
      <c r="I74" s="191">
        <v>20</v>
      </c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30"/>
      <c r="G75" s="206"/>
      <c r="H75" s="190">
        <v>56</v>
      </c>
      <c r="I75" s="191">
        <v>20</v>
      </c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4" t="str">
        <f>IF('Données projet'!B11="","",'Données projet'!B11)</f>
        <v/>
      </c>
      <c r="C76" s="4"/>
      <c r="D76" s="4"/>
      <c r="E76" s="4"/>
      <c r="F76" s="230"/>
      <c r="G76" s="206"/>
      <c r="H76" s="190">
        <v>57</v>
      </c>
      <c r="I76" s="191">
        <v>20</v>
      </c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30"/>
      <c r="G77" s="206"/>
      <c r="H77" s="190">
        <v>58</v>
      </c>
      <c r="I77" s="191">
        <v>20</v>
      </c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>
        <v>59</v>
      </c>
      <c r="I78" s="191">
        <v>20</v>
      </c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9" t="s">
        <v>132</v>
      </c>
      <c r="C79" s="198" t="s">
        <v>132</v>
      </c>
      <c r="D79" s="197" t="s">
        <v>132</v>
      </c>
      <c r="E79" s="193"/>
      <c r="F79" s="231"/>
      <c r="G79" s="206"/>
      <c r="H79" s="190">
        <v>60</v>
      </c>
      <c r="I79" s="191">
        <v>20</v>
      </c>
      <c r="J79" s="4"/>
      <c r="K79" s="173"/>
      <c r="L79" s="4"/>
      <c r="M79" s="4"/>
      <c r="N79" s="4"/>
      <c r="O79" s="194" t="str">
        <f>IF(O78+1&lt;=MIN('Données projet'!$E$9:$E$18),O78+1,"STOP")</f>
        <v>STOP</v>
      </c>
      <c r="P79" s="185" t="e">
        <f t="shared" si="5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7d24cdf-bbc6-4946-8747-982d14624cd4" xsi:nil="true"/>
    <lcf76f155ced4ddcb4097134ff3c332f xmlns="4a0a9159-faee-4929-bc18-6e0874945fe3">
      <Terms xmlns="http://schemas.microsoft.com/office/infopath/2007/PartnerControls"/>
    </lcf76f155ced4ddcb4097134ff3c332f>
    <Typedecontrat xmlns="4a0a9159-faee-4929-bc18-6e0874945fe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32D577F764384C9CF62BBF77A2DD5E" ma:contentTypeVersion="19" ma:contentTypeDescription="Crée un document." ma:contentTypeScope="" ma:versionID="da778f651e2b9172a0668a57e5259e37">
  <xsd:schema xmlns:xsd="http://www.w3.org/2001/XMLSchema" xmlns:xs="http://www.w3.org/2001/XMLSchema" xmlns:p="http://schemas.microsoft.com/office/2006/metadata/properties" xmlns:ns2="4a0a9159-faee-4929-bc18-6e0874945fe3" xmlns:ns3="37d24cdf-bbc6-4946-8747-982d14624cd4" targetNamespace="http://schemas.microsoft.com/office/2006/metadata/properties" ma:root="true" ma:fieldsID="21723ea34ef7bb0ee75fd50087f5b91c" ns2:_="" ns3:_="">
    <xsd:import namespace="4a0a9159-faee-4929-bc18-6e0874945fe3"/>
    <xsd:import namespace="37d24cdf-bbc6-4946-8747-982d14624cd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Typedecontra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0a9159-faee-4929-bc18-6e0874945fe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9e1dfad2-4076-4263-af11-b79681bead7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Typedecontrat" ma:index="26" nillable="true" ma:displayName="Type de contrat" ma:format="Dropdown" ma:internalName="Typedecontrat">
      <xsd:simpleType>
        <xsd:union memberTypes="dms:Text">
          <xsd:simpleType>
            <xsd:restriction base="dms:Choice">
              <xsd:enumeration value="Obligation de moyens"/>
              <xsd:enumeration value="Obligation de résultats"/>
              <xsd:enumeration value="Client final"/>
              <xsd:enumeration value="Intermédiaire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d24cdf-bbc6-4946-8747-982d14624cd4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19e3389e-b7fc-4128-8a2b-a49d0477bdc5}" ma:internalName="TaxCatchAll" ma:showField="CatchAllData" ma:web="37d24cdf-bbc6-4946-8747-982d14624cd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8F28AA-24C9-4D1A-B276-45CFB6B287CF}">
  <ds:schemaRefs>
    <ds:schemaRef ds:uri="http://purl.org/dc/elements/1.1/"/>
    <ds:schemaRef ds:uri="http://schemas.openxmlformats.org/package/2006/metadata/core-properties"/>
    <ds:schemaRef ds:uri="37d24cdf-bbc6-4946-8747-982d14624cd4"/>
    <ds:schemaRef ds:uri="http://purl.org/dc/terms/"/>
    <ds:schemaRef ds:uri="http://schemas.microsoft.com/office/2006/metadata/properties"/>
    <ds:schemaRef ds:uri="http://schemas.microsoft.com/office/2006/documentManagement/types"/>
    <ds:schemaRef ds:uri="4a0a9159-faee-4929-bc18-6e0874945fe3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64DF4A4-A92B-4E9D-9C32-DF299F6FD1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0a9159-faee-4929-bc18-6e0874945fe3"/>
    <ds:schemaRef ds:uri="37d24cdf-bbc6-4946-8747-982d14624c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2E27AED-16A6-4CF6-90FC-252DCE755EB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Cédric Mimran</cp:lastModifiedBy>
  <dcterms:created xsi:type="dcterms:W3CDTF">2021-02-01T08:22:39Z</dcterms:created>
  <dcterms:modified xsi:type="dcterms:W3CDTF">2024-12-12T16:57:36Z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0x0101009032D577F764384C9CF62BBF77A2DD5E</vt:lpwstr>
  </property>
  <property fmtid="{D5CDD505-2E9C-101B-9397-08002B2CF9AE}" pid="3" name="MediaServiceImageTags">
    <vt:lpwstr/>
  </property>
</Properties>
</file>