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ARRI-124/Dossier octobre 2024/"/>
    </mc:Choice>
  </mc:AlternateContent>
  <xr:revisionPtr revIDLastSave="37" documentId="8_{E0764EBE-7627-4D87-990E-A4D4A8C161E1}" xr6:coauthVersionLast="47" xr6:coauthVersionMax="47" xr10:uidLastSave="{702D88D0-947D-4335-B88B-C71CCCD3F9AF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" l="1"/>
  <c r="B67" i="1"/>
  <c r="B66" i="1"/>
  <c r="B65" i="1"/>
  <c r="B64" i="1"/>
  <c r="B63" i="1"/>
  <c r="B62" i="1"/>
  <c r="U31" i="6"/>
  <c r="U30" i="6"/>
  <c r="U33" i="6" s="1"/>
  <c r="E51" i="6"/>
  <c r="E50" i="6"/>
  <c r="E49" i="6"/>
  <c r="E48" i="6"/>
  <c r="E17" i="6"/>
  <c r="E18" i="6"/>
  <c r="E19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62" i="2" l="1" a="1"/>
  <c r="AH62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tc={75B50BC6-A6D1-4577-B058-4AA5AEC8FB26}</author>
    <author>tc={1B409997-4443-4C0D-AE29-5F756D5FD556}</author>
    <author>tc={09AEBF0B-1532-4CC4-BF76-737E3B334872}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75B50BC6-A6D1-4577-B058-4AA5AEC8FB2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1B409997-4443-4C0D-AE29-5F756D5FD55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09AEBF0B-1532-4CC4-BF76-737E3B33487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<sst xmlns="http://schemas.openxmlformats.org/spreadsheetml/2006/main" count="1177" uniqueCount="329">
  <si>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</si>
  <si>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</si>
  <si>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</si>
  <si>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</si>
  <si>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</si>
  <si>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</si>
  <si>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</si>
  <si>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</si>
  <si>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</si>
  <si>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NOM DU PROJET NEOSYLVA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</si>
  <si>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</si>
  <si>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</si>
  <si>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</si>
  <si>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</si>
  <si>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</si>
  <si>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</si>
  <si>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</si>
  <si>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taeda</t>
  </si>
  <si>
    <t>NB : La durée de révolution doit être identique à la dernière année indiquée dans la table de production renseignée en dessous</t>
  </si>
  <si>
    <t>Essence 2</t>
  </si>
  <si>
    <t>Peuplier Polargo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</si>
  <si>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</si>
  <si>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</si>
  <si>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</si>
  <si>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</si>
  <si>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</si>
  <si>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</si>
  <si>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</si>
  <si>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</si>
  <si>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</si>
  <si>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</si>
  <si>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</si>
  <si>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</si>
  <si>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</si>
  <si>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</si>
  <si>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</si>
  <si>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</si>
  <si>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</si>
  <si>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</si>
  <si>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</si>
  <si>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</si>
  <si>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</si>
  <si>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</si>
  <si>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</si>
  <si>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</si>
  <si>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</si>
  <si>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</si>
  <si>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</si>
  <si>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</si>
  <si>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</si>
  <si>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</si>
  <si>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</si>
  <si>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</si>
  <si>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</si>
  <si>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</si>
  <si>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</si>
  <si>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</si>
  <si>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</si>
  <si>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</si>
  <si>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</si>
  <si>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</si>
  <si>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</si>
  <si>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</si>
  <si>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</si>
  <si>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</si>
  <si>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</si>
  <si>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</si>
  <si>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</si>
  <si>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</si>
  <si>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</si>
  <si>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</si>
  <si>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</si>
  <si>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</si>
  <si>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</si>
  <si>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</si>
  <si>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</si>
  <si>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</si>
  <si>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</si>
  <si>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</si>
  <si>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</si>
  <si>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</si>
  <si>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</si>
  <si>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</si>
  <si>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</si>
  <si>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</si>
  <si>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</si>
  <si>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</si>
  <si>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</si>
  <si>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</si>
  <si>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</si>
  <si>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</si>
  <si>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</si>
  <si>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</si>
  <si>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</si>
  <si>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</si>
  <si>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</si>
  <si>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</si>
  <si>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</si>
  <si>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</si>
  <si>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</si>
  <si>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</si>
  <si>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</si>
  <si>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</si>
  <si>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</si>
  <si>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</si>
  <si>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</si>
  <si>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</si>
  <si>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</si>
  <si>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</si>
  <si>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</si>
  <si>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</si>
  <si>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</si>
  <si>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</si>
  <si>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</si>
  <si>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</si>
  <si>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</si>
  <si>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</si>
  <si>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</si>
  <si>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</si>
  <si>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</si>
  <si>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</si>
  <si>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</si>
  <si>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</si>
  <si>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</si>
  <si>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</si>
  <si>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</si>
  <si>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</si>
  <si>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</si>
  <si>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</si>
  <si>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</si>
  <si>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</si>
  <si>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</si>
  <si>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</si>
  <si>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</si>
  <si>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</si>
  <si>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</si>
  <si>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</si>
  <si>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</si>
  <si>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</si>
  <si>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</si>
  <si>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</si>
  <si>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</si>
  <si>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</si>
  <si>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</si>
  <si>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</si>
  <si>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</si>
  <si>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</si>
  <si>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</si>
  <si>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</si>
  <si>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</si>
  <si>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</si>
  <si>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</si>
  <si>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</si>
  <si>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</si>
  <si>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</si>
  <si>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</si>
  <si>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</si>
  <si>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</si>
  <si>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</si>
  <si>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</si>
  <si>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</si>
  <si>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</si>
  <si>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</si>
  <si>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</si>
  <si>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</si>
  <si>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</si>
  <si>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</si>
  <si>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</si>
  <si>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</si>
  <si>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</si>
  <si>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</si>
  <si>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</si>
  <si>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</si>
  <si>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</si>
  <si>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</si>
  <si>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</si>
  <si>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</si>
  <si>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</si>
  <si>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</si>
  <si>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</si>
  <si>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</si>
  <si>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</si>
  <si>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</si>
  <si>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</si>
  <si>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</si>
  <si>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</si>
  <si>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</si>
  <si>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</si>
  <si>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</si>
  <si>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</si>
  <si>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</si>
  <si>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</si>
  <si>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</si>
  <si>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</si>
  <si>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</si>
  <si>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</si>
  <si>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</si>
  <si>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</si>
  <si>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</si>
  <si>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</si>
  <si>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</si>
  <si>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</si>
  <si>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</si>
  <si>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</si>
  <si>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</si>
  <si>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</si>
  <si>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</si>
  <si>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</si>
  <si>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</si>
  <si>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</si>
  <si>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</si>
  <si>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</si>
  <si>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</si>
  <si>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</si>
  <si>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</si>
  <si>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</si>
  <si>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</si>
  <si>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</si>
  <si>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</si>
  <si>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</si>
  <si>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</si>
  <si>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</si>
  <si>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</si>
  <si>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</si>
  <si>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</si>
  <si>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</si>
  <si>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</si>
  <si>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</si>
  <si>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</si>
  <si>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</si>
  <si>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</si>
  <si>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</si>
  <si>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</si>
  <si>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</si>
  <si>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</si>
  <si>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</si>
  <si>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</si>
  <si>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</si>
  <si>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</si>
  <si>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</si>
  <si>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</si>
  <si>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</si>
  <si>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</si>
  <si>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</si>
  <si>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</si>
  <si>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</si>
  <si>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</si>
  <si>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</si>
  <si>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</si>
  <si>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</si>
  <si>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</si>
  <si>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</si>
  <si>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</si>
  <si>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</si>
  <si>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</si>
  <si>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</si>
  <si>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</si>
  <si>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</si>
  <si>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</si>
  <si>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</si>
  <si>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</si>
  <si>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</si>
  <si>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</si>
  <si>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</si>
  <si>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</si>
  <si>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</si>
  <si>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</si>
  <si>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</si>
  <si>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</si>
  <si>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</si>
  <si>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</si>
  <si>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</si>
  <si>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</si>
  <si>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</si>
  <si>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</si>
  <si>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</si>
  <si>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</si>
  <si>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</si>
  <si>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</si>
  <si>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</si>
  <si>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</si>
  <si>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</si>
  <si>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</si>
  <si>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</si>
  <si>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</si>
  <si>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</si>
  <si>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</si>
  <si>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</si>
  <si>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</si>
  <si>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</si>
  <si>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</si>
  <si>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</si>
  <si>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</si>
  <si>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</si>
  <si>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</si>
  <si>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</si>
  <si>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</si>
  <si>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</si>
  <si>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</si>
  <si>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</si>
  <si>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</si>
  <si>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</si>
  <si>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</si>
  <si>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</si>
  <si>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</si>
  <si>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</si>
  <si>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</si>
  <si>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</si>
  <si>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</si>
  <si>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</si>
  <si>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</si>
  <si>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</si>
  <si>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</si>
  <si>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</si>
  <si>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</si>
  <si>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</si>
  <si>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</si>
  <si>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</si>
  <si>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</si>
  <si>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</si>
  <si>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</si>
  <si>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</si>
  <si>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</si>
  <si>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</si>
  <si>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</si>
  <si>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Cout plantation + entretien</t>
  </si>
  <si>
    <t>Cout gestionnaire</t>
  </si>
  <si>
    <t>Frais notariés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</si>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</sst>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1.897949520393645</c:v>
                </c:pt>
                <c:pt idx="2">
                  <c:v>2.8948413716417249</c:v>
                </c:pt>
                <c:pt idx="3">
                  <c:v>4.4178160743020367</c:v>
                </c:pt>
                <c:pt idx="4">
                  <c:v>6.7457228972415457</c:v>
                </c:pt>
                <c:pt idx="5">
                  <c:v>10.305817910611822</c:v>
                </c:pt>
                <c:pt idx="6">
                  <c:v>15.753043999635855</c:v>
                </c:pt>
                <c:pt idx="7">
                  <c:v>24.091807695472088</c:v>
                </c:pt>
                <c:pt idx="8">
                  <c:v>36.863103147176993</c:v>
                </c:pt>
                <c:pt idx="9">
                  <c:v>56.432154324684745</c:v>
                </c:pt>
                <c:pt idx="10">
                  <c:v>86.430727179849029</c:v>
                </c:pt>
                <c:pt idx="11">
                  <c:v>100.80009849767515</c:v>
                </c:pt>
                <c:pt idx="12">
                  <c:v>115.1186409136285</c:v>
                </c:pt>
                <c:pt idx="13">
                  <c:v>129.39357984032668</c:v>
                </c:pt>
                <c:pt idx="14">
                  <c:v>143.6304100319434</c:v>
                </c:pt>
                <c:pt idx="15">
                  <c:v>157.8334448140121</c:v>
                </c:pt>
                <c:pt idx="16">
                  <c:v>172.53542828094487</c:v>
                </c:pt>
                <c:pt idx="17">
                  <c:v>187.20794888561957</c:v>
                </c:pt>
                <c:pt idx="18">
                  <c:v>201.85364207566207</c:v>
                </c:pt>
                <c:pt idx="19">
                  <c:v>216.47472919071288</c:v>
                </c:pt>
                <c:pt idx="20">
                  <c:v>231.07310672111598</c:v>
                </c:pt>
                <c:pt idx="21">
                  <c:v>243.87857241474671</c:v>
                </c:pt>
                <c:pt idx="22">
                  <c:v>256.66875686937948</c:v>
                </c:pt>
                <c:pt idx="23">
                  <c:v>269.44452913892604</c:v>
                </c:pt>
                <c:pt idx="24">
                  <c:v>282.20666909172456</c:v>
                </c:pt>
                <c:pt idx="25">
                  <c:v>291.36121983413398</c:v>
                </c:pt>
                <c:pt idx="26">
                  <c:v>300.50934682998599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75B50BC6-A6D1-4577-B058-4AA5AEC8FB26}">
    <text>A recopier sur toutes les essences.
Correspond aux frais fixes d’entretien mécanique + répulsif gibier</text>
  </threadedComment>
  <threadedComment ref="E50" dT="2024-11-27T17:08:05.48" personId="{44BC7BF0-8157-4572-8E12-7E0C99523682}" id="{1B409997-4443-4C0D-AE29-5F756D5FD556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09AEBF0B-1532-4CC4-BF76-737E3B334872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0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1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7" zoomScale="80" zoomScaleNormal="80" workbookViewId="0">
      <selection activeCell="D67" sqref="D6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5" t="s">
        <v>2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4</v>
      </c>
      <c r="C3" s="271"/>
      <c r="D3" s="271"/>
      <c r="E3" s="271"/>
      <c r="F3" s="272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7</v>
      </c>
      <c r="B5" s="275"/>
      <c r="C5" s="24">
        <v>3.82</v>
      </c>
      <c r="D5" s="276" t="s">
        <v>8</v>
      </c>
      <c r="E5" s="277"/>
      <c r="F5" s="90"/>
      <c r="G5" s="218"/>
      <c r="H5" s="218"/>
      <c r="I5" s="218" t="s">
        <v>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10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11</v>
      </c>
      <c r="C8" s="26" t="s">
        <v>12</v>
      </c>
      <c r="D8" s="27" t="s">
        <v>13</v>
      </c>
      <c r="E8" s="28" t="s">
        <v>14</v>
      </c>
      <c r="F8" s="29" t="s">
        <v>15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</v>
      </c>
      <c r="B9" s="31" t="s">
        <v>17</v>
      </c>
      <c r="C9" s="32">
        <v>0.88219895287958117</v>
      </c>
      <c r="D9" s="33">
        <f t="shared" ref="D9:D18" si="0">C9*$C$5</f>
        <v>3.37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18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19</v>
      </c>
      <c r="B10" s="31" t="s">
        <v>20</v>
      </c>
      <c r="C10" s="32">
        <v>0.11780104712041886</v>
      </c>
      <c r="D10" s="33">
        <f t="shared" si="0"/>
        <v>0.45</v>
      </c>
      <c r="E10" s="34">
        <v>26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21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29</v>
      </c>
      <c r="C19" s="37">
        <f>SUM(C9:C18)</f>
        <v>1</v>
      </c>
      <c r="D19" s="38">
        <f>SUM(D9:D18)</f>
        <v>3.8200000000000003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15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30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36</v>
      </c>
      <c r="B26" s="42" t="s">
        <v>37</v>
      </c>
      <c r="C26" s="43">
        <v>0.05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42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</v>
      </c>
      <c r="B32" s="47" t="str">
        <f>IF(B9="","",B9)</f>
        <v>Pin taeda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44</v>
      </c>
      <c r="C34" s="266" t="s">
        <v>45</v>
      </c>
      <c r="D34" s="266"/>
      <c r="E34" s="267" t="s">
        <v>46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14</v>
      </c>
      <c r="B36" s="258">
        <v>108.18</v>
      </c>
      <c r="C36" s="258">
        <v>1</v>
      </c>
      <c r="D36" s="259">
        <v>34.25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7.7271428571428578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19</v>
      </c>
      <c r="B37" s="262">
        <v>183.77</v>
      </c>
      <c r="C37" s="262">
        <v>2</v>
      </c>
      <c r="D37" s="262">
        <v>59.5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21.968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25</v>
      </c>
      <c r="B38" s="262">
        <v>252.69</v>
      </c>
      <c r="C38" s="262">
        <v>3</v>
      </c>
      <c r="D38" s="262">
        <v>60.96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21.403333333333332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32</v>
      </c>
      <c r="B39" s="262">
        <v>335.76</v>
      </c>
      <c r="C39" s="262">
        <v>4</v>
      </c>
      <c r="D39" s="262">
        <v>76.42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20.575714285714287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45</v>
      </c>
      <c r="B40" s="262">
        <v>503.89</v>
      </c>
      <c r="C40" s="262">
        <v>5</v>
      </c>
      <c r="D40" s="262">
        <v>503.89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18.811538461538461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19</v>
      </c>
      <c r="B58" s="52" t="str">
        <f>IF(B10="","",B10)</f>
        <v>Peuplier Polargo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44</v>
      </c>
      <c r="C60" s="266" t="s">
        <v>45</v>
      </c>
      <c r="D60" s="266"/>
      <c r="E60" s="267" t="s">
        <v>46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f>125/1.56</f>
        <v>80.128205128205124</v>
      </c>
      <c r="C62" s="60">
        <v>1</v>
      </c>
      <c r="D62" s="60">
        <v>0</v>
      </c>
      <c r="E62" s="51">
        <v>0.75</v>
      </c>
      <c r="F62" s="51">
        <v>0.2</v>
      </c>
      <c r="G62" s="51">
        <v>0</v>
      </c>
      <c r="H62" s="51">
        <v>0.05</v>
      </c>
      <c r="I62" s="53">
        <f>IFERROR(B62/A62,"")</f>
        <v>8.0128205128205128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f>232/1.56</f>
        <v>148.7179487179487</v>
      </c>
      <c r="C63" s="60">
        <v>2</v>
      </c>
      <c r="D63" s="60">
        <v>0</v>
      </c>
      <c r="E63" s="51">
        <v>0.75</v>
      </c>
      <c r="F63" s="51">
        <v>0.2</v>
      </c>
      <c r="G63" s="51">
        <v>0</v>
      </c>
      <c r="H63" s="51">
        <v>0.05</v>
      </c>
      <c r="I63" s="49">
        <f>IF(A63&lt;&gt;0,(B63-(B62-D62))/(A63-A62),"")</f>
        <v>13.717948717948715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343/1.56</f>
        <v>219.87179487179486</v>
      </c>
      <c r="C64" s="60">
        <v>3</v>
      </c>
      <c r="D64" s="60">
        <v>0</v>
      </c>
      <c r="E64" s="51">
        <v>0.75</v>
      </c>
      <c r="F64" s="51">
        <v>0.2</v>
      </c>
      <c r="G64" s="51">
        <v>0</v>
      </c>
      <c r="H64" s="51">
        <v>0.05</v>
      </c>
      <c r="I64" s="49">
        <f>IF(A64&lt;&gt;0,(B64-(B63-D63))/(A64-A63),"")</f>
        <v>14.230769230769232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22</v>
      </c>
      <c r="B65" s="60">
        <f>382/1.56</f>
        <v>244.87179487179486</v>
      </c>
      <c r="C65" s="60">
        <v>4</v>
      </c>
      <c r="D65" s="60">
        <v>0</v>
      </c>
      <c r="E65" s="51">
        <v>0.75</v>
      </c>
      <c r="F65" s="51">
        <v>0.2</v>
      </c>
      <c r="G65" s="51">
        <v>0</v>
      </c>
      <c r="H65" s="51">
        <v>0.05</v>
      </c>
      <c r="I65" s="49">
        <f>IF(A65&lt;&gt;0,(B65-(B64-D64))/(A65-A64),"")</f>
        <v>12.5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24</v>
      </c>
      <c r="B66" s="60">
        <f>421/1.56</f>
        <v>269.87179487179486</v>
      </c>
      <c r="C66" s="60">
        <v>5</v>
      </c>
      <c r="D66" s="60">
        <v>0</v>
      </c>
      <c r="E66" s="51">
        <v>0.75</v>
      </c>
      <c r="F66" s="51">
        <v>0.2</v>
      </c>
      <c r="G66" s="51">
        <v>0</v>
      </c>
      <c r="H66" s="51">
        <v>0.05</v>
      </c>
      <c r="I66" s="49">
        <f t="shared" ref="I66:I81" si="2">IF(A66&lt;&gt;0,(B66-(B65-D65))/(A66-A65),"")</f>
        <v>12.5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26</v>
      </c>
      <c r="B67" s="60">
        <f>449/1.56</f>
        <v>287.82051282051282</v>
      </c>
      <c r="C67" s="60">
        <v>6</v>
      </c>
      <c r="D67" s="60">
        <f>449/1.56</f>
        <v>287.82051282051282</v>
      </c>
      <c r="E67" s="51">
        <v>0.75</v>
      </c>
      <c r="F67" s="51">
        <v>0.2</v>
      </c>
      <c r="G67" s="51">
        <v>0</v>
      </c>
      <c r="H67" s="51">
        <v>0.05</v>
      </c>
      <c r="I67" s="49">
        <f t="shared" si="2"/>
        <v>8.974358974358978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21</v>
      </c>
      <c r="B84" s="52" t="str">
        <f>IF(B11="","",B11)</f>
        <v/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44</v>
      </c>
      <c r="C86" s="266" t="s">
        <v>45</v>
      </c>
      <c r="D86" s="266"/>
      <c r="E86" s="267" t="s">
        <v>46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44</v>
      </c>
      <c r="C112" s="266" t="s">
        <v>45</v>
      </c>
      <c r="D112" s="266"/>
      <c r="E112" s="267" t="s">
        <v>46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44</v>
      </c>
      <c r="C138" s="266" t="s">
        <v>45</v>
      </c>
      <c r="D138" s="266"/>
      <c r="E138" s="267" t="s">
        <v>46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44</v>
      </c>
      <c r="C164" s="266" t="s">
        <v>45</v>
      </c>
      <c r="D164" s="266"/>
      <c r="E164" s="267" t="s">
        <v>46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44</v>
      </c>
      <c r="C190" s="266" t="s">
        <v>45</v>
      </c>
      <c r="D190" s="266"/>
      <c r="E190" s="267" t="s">
        <v>46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44</v>
      </c>
      <c r="C216" s="266" t="s">
        <v>45</v>
      </c>
      <c r="D216" s="266"/>
      <c r="E216" s="267" t="s">
        <v>46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44</v>
      </c>
      <c r="C242" s="266" t="s">
        <v>45</v>
      </c>
      <c r="D242" s="266"/>
      <c r="E242" s="267" t="s">
        <v>46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44</v>
      </c>
      <c r="C268" s="266" t="s">
        <v>45</v>
      </c>
      <c r="D268" s="266"/>
      <c r="E268" s="267" t="s">
        <v>46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D18" sqref="D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56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58</v>
      </c>
      <c r="C7" s="100" t="s">
        <v>59</v>
      </c>
      <c r="D7" s="215"/>
      <c r="E7" s="101"/>
      <c r="F7" s="26" t="s">
        <v>58</v>
      </c>
      <c r="G7" s="100" t="s">
        <v>60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61</v>
      </c>
      <c r="D8" s="23"/>
      <c r="E8" s="105">
        <v>4</v>
      </c>
      <c r="F8" s="61">
        <v>0</v>
      </c>
      <c r="G8" s="102" t="s">
        <v>62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63</v>
      </c>
      <c r="D9" s="23"/>
      <c r="E9" s="105">
        <v>5</v>
      </c>
      <c r="F9" s="61">
        <v>0</v>
      </c>
      <c r="G9" s="103" t="s">
        <v>64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65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66</v>
      </c>
      <c r="D13" s="216"/>
      <c r="E13" s="99"/>
      <c r="F13" s="107"/>
      <c r="G13" s="98" t="s">
        <v>67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68</v>
      </c>
      <c r="D14" s="216"/>
      <c r="E14" s="99"/>
      <c r="F14" s="107"/>
      <c r="G14" s="98" t="s">
        <v>69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58</v>
      </c>
      <c r="C15" s="4"/>
      <c r="D15" s="23"/>
      <c r="E15" s="4"/>
      <c r="F15" s="4"/>
      <c r="G15" s="2" t="s">
        <v>70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71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72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73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74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taeda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Peuplier Polargo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51</v>
      </c>
      <c r="X2" s="7" t="s">
        <v>52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51</v>
      </c>
      <c r="AS2" s="7" t="s">
        <v>52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51</v>
      </c>
      <c r="BN2" s="7" t="s">
        <v>52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51</v>
      </c>
      <c r="CI2" s="7" t="s">
        <v>52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51</v>
      </c>
      <c r="DD2" s="7" t="s">
        <v>52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51</v>
      </c>
      <c r="DY2" s="7" t="s">
        <v>52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51</v>
      </c>
      <c r="ET2" s="7" t="s">
        <v>52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51</v>
      </c>
      <c r="FO2" s="7" t="s">
        <v>52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51</v>
      </c>
      <c r="GJ2" s="7" t="s">
        <v>52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51</v>
      </c>
      <c r="HE2" s="7" t="s">
        <v>52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287.52077437571728</v>
      </c>
      <c r="T3" s="59">
        <f>IF('Données projet'!E9&gt;30,$R$33-$H$33,LOOKUP('Données projet'!$E$9,$A$3:$A$203,R3:R203)-LOOKUP('Données projet'!$E$9,$A$3:$A$203,$H$3:$H$203))</f>
        <v>420.95891230839874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147.21567065005729</v>
      </c>
      <c r="AO3" s="59">
        <f>IF('Données projet'!E10&gt;30,$AM$33-$H$33,LOOKUP('Données projet'!$E$10,$A$3:$A$203,AM3:AM203)-LOOKUP('Données projet'!$E$10,$A$3:$A$203,$H$3:$H$203))</f>
        <v>332.2871246077637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7.7271428571428578</v>
      </c>
      <c r="N4" s="13">
        <f>IF('Données projet'!$A$36&gt;35,N3+M4-V3,IF(A4&lt;'Données projet'!$A$36,$K$205^A4,IF(A4='Données projet'!$A$36,'Données projet'!$B$36,N3+M4-V3)))</f>
        <v>1.3973210857138749</v>
      </c>
      <c r="O4" s="13">
        <f>N4*VLOOKUP('Données projet'!$B$9,Paramètres!$A$1:$I$89,3,0)*VLOOKUP('Données projet'!$B$9,Paramètres!$A$1:$I$89,5,0)</f>
        <v>0.83559800925689731</v>
      </c>
      <c r="P4" s="13">
        <f>EXP(-1.0587+0.8836*LN(O4)+0.284)</f>
        <v>0.39321399318577704</v>
      </c>
      <c r="Q4" s="20">
        <f t="shared" ref="Q4:Q34" si="2">(O4+P4)*0.475*44/12</f>
        <v>2.1401809042543243</v>
      </c>
      <c r="R4" s="59">
        <f t="shared" si="0"/>
        <v>260.02906979314321</v>
      </c>
      <c r="S4" s="59">
        <f ca="1">AVERAGE(OFFSET($R$3,0,0,'Données projet'!$E$9+1,1))-AVERAGE(OFFSET($H$3,0,0,'Données projet'!$E$9+1,1))</f>
        <v>287.52077437571728</v>
      </c>
      <c r="T4" s="59">
        <f>$T$3</f>
        <v>420.95891230839874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8.0128205128205128</v>
      </c>
      <c r="AI4" s="13">
        <f>IF('Données projet'!$A$62&gt;35,AI3+AH4-AQ3,IF(A4&lt;'Données projet'!$A$62,$AF$205^A4,IF(A4='Données projet'!$A$62,'Données projet'!$B$62,AI3+AH4-AQ3)))</f>
        <v>1.5501671930596579</v>
      </c>
      <c r="AJ4" s="13">
        <f>AI4*VLOOKUP('Données projet'!$B$10,Paramètres!$A$1:$I$89,3,0)*VLOOKUP('Données projet'!$B$10,Paramètres!$A$1:$I$89,5,0)</f>
        <v>0.73756955045778516</v>
      </c>
      <c r="AK4" s="13">
        <f>EXP(-1.0587+0.8836*LN(AJ4)+0.284)</f>
        <v>0.35216223158641285</v>
      </c>
      <c r="AL4" s="20">
        <f t="shared" ref="AL4:AL67" si="4">(AJ4+AK4)*0.475*44/12</f>
        <v>1.897949520393645</v>
      </c>
      <c r="AM4" s="59">
        <f t="shared" ref="AM4:AM67" si="5">AL4+(AD4+AE4)*44/12</f>
        <v>259.7868384092825</v>
      </c>
      <c r="AN4" s="59">
        <f ca="1">AVERAGE(OFFSET($AM$3,0,0,'Données projet'!$E$10+1,1))-AVERAGE(OFFSET($H$3,0,0,'Données projet'!$E$10+1,1))</f>
        <v>147.21567065005729</v>
      </c>
      <c r="AO4" s="59">
        <f>$AO$3</f>
        <v>332.2871246077637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7.7271428571428578</v>
      </c>
      <c r="N5" s="13">
        <f>IF('Données projet'!$A$36&gt;35,N4+M5-V4,IF(A5&lt;'Données projet'!$A$36,$K$205^A5,IF(A5='Données projet'!$A$36,'Données projet'!$B$36,N4+M5-V4)))</f>
        <v>1.9525062165806022</v>
      </c>
      <c r="O5" s="13">
        <f>N5*VLOOKUP('Données projet'!$B$9,Paramètres!$A$1:$I$89,3,0)*VLOOKUP('Données projet'!$B$9,Paramètres!$A$1:$I$89,5,0)</f>
        <v>1.1675987175152003</v>
      </c>
      <c r="P5" s="13">
        <f t="shared" ref="P5:P68" si="33">EXP(-1.0587+0.8836*LN(O5)+0.284)</f>
        <v>0.52846070284819757</v>
      </c>
      <c r="Q5" s="20">
        <f t="shared" si="2"/>
        <v>2.9539701571329178</v>
      </c>
      <c r="R5" s="59">
        <f t="shared" si="0"/>
        <v>262.06508126824406</v>
      </c>
      <c r="S5" s="59">
        <f ca="1">AVERAGE(OFFSET($R$3,0,0,'Données projet'!$E$9+1,1))-AVERAGE(OFFSET($H$3,0,0,'Données projet'!$E$9+1,1))</f>
        <v>287.52077437571728</v>
      </c>
      <c r="T5" s="59">
        <f t="shared" ref="T5:T68" si="34">$T$3</f>
        <v>420.95891230839874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8.0128205128205128</v>
      </c>
      <c r="AI5" s="13">
        <f>IF('Données projet'!$A$62&gt;35,AI4+AH5-AQ4,IF(A5&lt;'Données projet'!$A$62,$AF$205^A5,IF(A5='Données projet'!$A$62,'Données projet'!$B$62,AI4+AH5-AQ4)))</f>
        <v>2.4030183264384588</v>
      </c>
      <c r="AJ5" s="13">
        <f>AI5*VLOOKUP('Données projet'!$B$10,Paramètres!$A$1:$I$89,3,0)*VLOOKUP('Données projet'!$B$10,Paramètres!$A$1:$I$89,5,0)</f>
        <v>1.1433561197194189</v>
      </c>
      <c r="AK5" s="13">
        <f t="shared" ref="AK5:AK68" si="35">EXP(-1.0587+0.8836*LN(AJ5)+0.284)</f>
        <v>0.51875375873516005</v>
      </c>
      <c r="AL5" s="20">
        <f t="shared" si="4"/>
        <v>2.8948413716417249</v>
      </c>
      <c r="AM5" s="59">
        <f t="shared" si="5"/>
        <v>262.00595248275289</v>
      </c>
      <c r="AN5" s="59">
        <f ca="1">AVERAGE(OFFSET($AM$3,0,0,'Données projet'!$E$10+1,1))-AVERAGE(OFFSET($H$3,0,0,'Données projet'!$E$10+1,1))</f>
        <v>147.21567065005729</v>
      </c>
      <c r="AO5" s="59">
        <f t="shared" ref="AO5:AO68" si="36">$AO$3</f>
        <v>332.2871246077637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7.7271428571428578</v>
      </c>
      <c r="N6" s="13">
        <f>IF('Données projet'!$A$36&gt;35,N5+M6-V5,IF(A6&lt;'Données projet'!$A$36,$K$205^A6,IF(A6='Données projet'!$A$36,'Données projet'!$B$36,N5+M6-V5)))</f>
        <v>2.7282781064154973</v>
      </c>
      <c r="O6" s="13">
        <f>N6*VLOOKUP('Données projet'!$B$9,Paramètres!$A$1:$I$89,3,0)*VLOOKUP('Données projet'!$B$9,Paramètres!$A$1:$I$89,5,0)</f>
        <v>1.6315103076364676</v>
      </c>
      <c r="P6" s="13">
        <f t="shared" si="33"/>
        <v>0.71022577856955182</v>
      </c>
      <c r="Q6" s="20">
        <f t="shared" si="2"/>
        <v>4.0785236834754839</v>
      </c>
      <c r="R6" s="59">
        <f t="shared" si="0"/>
        <v>264.41185701680882</v>
      </c>
      <c r="S6" s="59">
        <f ca="1">AVERAGE(OFFSET($R$3,0,0,'Données projet'!$E$9+1,1))-AVERAGE(OFFSET($H$3,0,0,'Données projet'!$E$9+1,1))</f>
        <v>287.52077437571728</v>
      </c>
      <c r="T6" s="59">
        <f t="shared" si="34"/>
        <v>420.95891230839874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8.0128205128205128</v>
      </c>
      <c r="AI6" s="13">
        <f>IF('Données projet'!$A$62&gt;35,AI5+AH6-AQ5,IF(A6&lt;'Données projet'!$A$62,$AF$205^A6,IF(A6='Données projet'!$A$62,'Données projet'!$B$62,AI5+AH6-AQ5)))</f>
        <v>3.7250801739660222</v>
      </c>
      <c r="AJ6" s="13">
        <f>AI6*VLOOKUP('Données projet'!$B$10,Paramètres!$A$1:$I$89,3,0)*VLOOKUP('Données projet'!$B$10,Paramètres!$A$1:$I$89,5,0)</f>
        <v>1.7723931467730334</v>
      </c>
      <c r="AK6" s="13">
        <f t="shared" si="35"/>
        <v>0.76415196765875826</v>
      </c>
      <c r="AL6" s="20">
        <f t="shared" si="4"/>
        <v>4.4178160743020367</v>
      </c>
      <c r="AM6" s="59">
        <f t="shared" si="5"/>
        <v>264.75114940763535</v>
      </c>
      <c r="AN6" s="59">
        <f ca="1">AVERAGE(OFFSET($AM$3,0,0,'Données projet'!$E$10+1,1))-AVERAGE(OFFSET($H$3,0,0,'Données projet'!$E$10+1,1))</f>
        <v>147.21567065005729</v>
      </c>
      <c r="AO6" s="59">
        <f t="shared" si="36"/>
        <v>332.2871246077637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7.7271428571428578</v>
      </c>
      <c r="N7" s="13">
        <f>IF('Données projet'!$A$36&gt;35,N6+M7-V6,IF(A7&lt;'Données projet'!$A$36,$K$205^A7,IF(A7='Données projet'!$A$36,'Données projet'!$B$36,N6+M7-V6)))</f>
        <v>3.8122805257858974</v>
      </c>
      <c r="O7" s="13">
        <f>N7*VLOOKUP('Données projet'!$B$9,Paramètres!$A$1:$I$89,3,0)*VLOOKUP('Données projet'!$B$9,Paramètres!$A$1:$I$89,5,0)</f>
        <v>2.2797437544199668</v>
      </c>
      <c r="P7" s="13">
        <f t="shared" si="33"/>
        <v>0.95450930187636462</v>
      </c>
      <c r="Q7" s="20">
        <f t="shared" si="2"/>
        <v>5.632990739716111</v>
      </c>
      <c r="R7" s="59">
        <f t="shared" si="0"/>
        <v>267.18854629527164</v>
      </c>
      <c r="S7" s="59">
        <f ca="1">AVERAGE(OFFSET($R$3,0,0,'Données projet'!$E$9+1,1))-AVERAGE(OFFSET($H$3,0,0,'Données projet'!$E$9+1,1))</f>
        <v>287.52077437571728</v>
      </c>
      <c r="T7" s="59">
        <f t="shared" si="34"/>
        <v>420.95891230839874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8.0128205128205128</v>
      </c>
      <c r="AI7" s="13">
        <f>IF('Données projet'!$A$62&gt;35,AI6+AH7-AQ6,IF(A7&lt;'Données projet'!$A$62,$AF$205^A7,IF(A7='Données projet'!$A$62,'Données projet'!$B$62,AI6+AH7-AQ6)))</f>
        <v>5.7744970771990918</v>
      </c>
      <c r="AJ7" s="13">
        <f>AI7*VLOOKUP('Données projet'!$B$10,Paramètres!$A$1:$I$89,3,0)*VLOOKUP('Données projet'!$B$10,Paramètres!$A$1:$I$89,5,0)</f>
        <v>2.7475057093313278</v>
      </c>
      <c r="AK7" s="13">
        <f t="shared" si="35"/>
        <v>1.1256366240131002</v>
      </c>
      <c r="AL7" s="20">
        <f t="shared" si="4"/>
        <v>6.7457228972415457</v>
      </c>
      <c r="AM7" s="59">
        <f t="shared" si="5"/>
        <v>268.30127845279708</v>
      </c>
      <c r="AN7" s="59">
        <f ca="1">AVERAGE(OFFSET($AM$3,0,0,'Données projet'!$E$10+1,1))-AVERAGE(OFFSET($H$3,0,0,'Données projet'!$E$10+1,1))</f>
        <v>147.21567065005729</v>
      </c>
      <c r="AO7" s="59">
        <f t="shared" si="36"/>
        <v>332.2871246077637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7.7271428571428578</v>
      </c>
      <c r="N8" s="13">
        <f>IF('Données projet'!$A$36&gt;35,N7+M8-V7,IF(A8&lt;'Données projet'!$A$36,$K$205^A8,IF(A8='Données projet'!$A$36,'Données projet'!$B$36,N7+M8-V7)))</f>
        <v>5.3269799633370116</v>
      </c>
      <c r="O8" s="13">
        <f>N8*VLOOKUP('Données projet'!$B$9,Paramètres!$A$1:$I$89,3,0)*VLOOKUP('Données projet'!$B$9,Paramètres!$A$1:$I$89,5,0)</f>
        <v>3.1855340180755332</v>
      </c>
      <c r="P8" s="13">
        <f t="shared" si="33"/>
        <v>1.2828146131269762</v>
      </c>
      <c r="Q8" s="20">
        <f t="shared" si="2"/>
        <v>7.7823738660110378</v>
      </c>
      <c r="R8" s="59">
        <f t="shared" si="0"/>
        <v>270.5601516437888</v>
      </c>
      <c r="S8" s="59">
        <f ca="1">AVERAGE(OFFSET($R$3,0,0,'Données projet'!$E$9+1,1))-AVERAGE(OFFSET($H$3,0,0,'Données projet'!$E$9+1,1))</f>
        <v>287.52077437571728</v>
      </c>
      <c r="T8" s="59">
        <f t="shared" si="34"/>
        <v>420.95891230839874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8.0128205128205128</v>
      </c>
      <c r="AI8" s="13">
        <f>IF('Données projet'!$A$62&gt;35,AI7+AH8-AQ7,IF(A8&lt;'Données projet'!$A$62,$AF$205^A8,IF(A8='Données projet'!$A$62,'Données projet'!$B$62,AI7+AH8-AQ7)))</f>
        <v>8.9514359254929143</v>
      </c>
      <c r="AJ8" s="13">
        <f>AI8*VLOOKUP('Données projet'!$B$10,Paramètres!$A$1:$I$89,3,0)*VLOOKUP('Données projet'!$B$10,Paramètres!$A$1:$I$89,5,0)</f>
        <v>4.2590932133495292</v>
      </c>
      <c r="AK8" s="13">
        <f t="shared" si="35"/>
        <v>1.6581228118821392</v>
      </c>
      <c r="AL8" s="20">
        <f t="shared" si="4"/>
        <v>10.305817910611822</v>
      </c>
      <c r="AM8" s="59">
        <f t="shared" si="5"/>
        <v>273.08359568838961</v>
      </c>
      <c r="AN8" s="59">
        <f ca="1">AVERAGE(OFFSET($AM$3,0,0,'Données projet'!$E$10+1,1))-AVERAGE(OFFSET($H$3,0,0,'Données projet'!$E$10+1,1))</f>
        <v>147.21567065005729</v>
      </c>
      <c r="AO8" s="59">
        <f t="shared" si="36"/>
        <v>332.2871246077637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7.7271428571428578</v>
      </c>
      <c r="N9" s="13">
        <f>IF('Données projet'!$A$36&gt;35,N8+M9-V8,IF(A9&lt;'Données projet'!$A$36,$K$205^A9,IF(A9='Données projet'!$A$36,'Données projet'!$B$36,N8+M9-V8)))</f>
        <v>7.4435014259461312</v>
      </c>
      <c r="O9" s="13">
        <f>N9*VLOOKUP('Données projet'!$B$9,Paramètres!$A$1:$I$89,3,0)*VLOOKUP('Données projet'!$B$9,Paramètres!$A$1:$I$89,5,0)</f>
        <v>4.451213852715787</v>
      </c>
      <c r="P9" s="13">
        <f t="shared" si="33"/>
        <v>1.7240411679772885</v>
      </c>
      <c r="Q9" s="20">
        <f t="shared" si="2"/>
        <v>10.755235827707105</v>
      </c>
      <c r="R9" s="59">
        <f t="shared" si="0"/>
        <v>274.75523582770711</v>
      </c>
      <c r="S9" s="59">
        <f ca="1">AVERAGE(OFFSET($R$3,0,0,'Données projet'!$E$9+1,1))-AVERAGE(OFFSET($H$3,0,0,'Données projet'!$E$9+1,1))</f>
        <v>287.52077437571728</v>
      </c>
      <c r="T9" s="59">
        <f t="shared" si="34"/>
        <v>420.95891230839874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8.0128205128205128</v>
      </c>
      <c r="AI9" s="13">
        <f>IF('Données projet'!$A$62&gt;35,AI8+AH9-AQ8,IF(A9&lt;'Données projet'!$A$62,$AF$205^A9,IF(A9='Données projet'!$A$62,'Données projet'!$B$62,AI8+AH9-AQ8)))</f>
        <v>13.876222302474734</v>
      </c>
      <c r="AJ9" s="13">
        <f>AI9*VLOOKUP('Données projet'!$B$10,Paramètres!$A$1:$I$89,3,0)*VLOOKUP('Données projet'!$B$10,Paramètres!$A$1:$I$89,5,0)</f>
        <v>6.6023065715174782</v>
      </c>
      <c r="AK9" s="13">
        <f t="shared" si="35"/>
        <v>2.4425033804265546</v>
      </c>
      <c r="AL9" s="20">
        <f t="shared" si="4"/>
        <v>15.753043999635855</v>
      </c>
      <c r="AM9" s="59">
        <f t="shared" si="5"/>
        <v>279.75304399963585</v>
      </c>
      <c r="AN9" s="59">
        <f ca="1">AVERAGE(OFFSET($AM$3,0,0,'Données projet'!$E$10+1,1))-AVERAGE(OFFSET($H$3,0,0,'Données projet'!$E$10+1,1))</f>
        <v>147.21567065005729</v>
      </c>
      <c r="AO9" s="59">
        <f t="shared" si="36"/>
        <v>332.2871246077637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7.7271428571428578</v>
      </c>
      <c r="N10" s="13">
        <f>IF('Données projet'!$A$36&gt;35,N9+M10-V9,IF(A10&lt;'Données projet'!$A$36,$K$205^A10,IF(A10='Données projet'!$A$36,'Données projet'!$B$36,N9+M10-V9)))</f>
        <v>10.400961494015824</v>
      </c>
      <c r="O10" s="13">
        <f>N10*VLOOKUP('Données projet'!$B$9,Paramètres!$A$1:$I$89,3,0)*VLOOKUP('Données projet'!$B$9,Paramètres!$A$1:$I$89,5,0)</f>
        <v>6.2197749734214636</v>
      </c>
      <c r="P10" s="13">
        <f t="shared" si="33"/>
        <v>2.3170284454705419</v>
      </c>
      <c r="Q10" s="20">
        <f t="shared" si="2"/>
        <v>14.868265954570242</v>
      </c>
      <c r="R10" s="59">
        <f t="shared" si="0"/>
        <v>280.09048817679246</v>
      </c>
      <c r="S10" s="59">
        <f ca="1">AVERAGE(OFFSET($R$3,0,0,'Données projet'!$E$9+1,1))-AVERAGE(OFFSET($H$3,0,0,'Données projet'!$E$9+1,1))</f>
        <v>287.52077437571728</v>
      </c>
      <c r="T10" s="59">
        <f t="shared" si="34"/>
        <v>420.95891230839874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8.0128205128205128</v>
      </c>
      <c r="AI10" s="13">
        <f>IF('Données projet'!$A$62&gt;35,AI9+AH10-AQ9,IF(A10&lt;'Données projet'!$A$62,$AF$205^A10,IF(A10='Données projet'!$A$62,'Données projet'!$B$62,AI9+AH10-AQ9)))</f>
        <v>21.510464576899079</v>
      </c>
      <c r="AJ10" s="13">
        <f>AI10*VLOOKUP('Données projet'!$B$10,Paramètres!$A$1:$I$89,3,0)*VLOOKUP('Données projet'!$B$10,Paramètres!$A$1:$I$89,5,0)</f>
        <v>10.234679045688582</v>
      </c>
      <c r="AK10" s="13">
        <f t="shared" si="35"/>
        <v>3.5979378129556787</v>
      </c>
      <c r="AL10" s="20">
        <f t="shared" si="4"/>
        <v>24.091807695472088</v>
      </c>
      <c r="AM10" s="59">
        <f t="shared" si="5"/>
        <v>289.31402991769431</v>
      </c>
      <c r="AN10" s="59">
        <f ca="1">AVERAGE(OFFSET($AM$3,0,0,'Données projet'!$E$10+1,1))-AVERAGE(OFFSET($H$3,0,0,'Données projet'!$E$10+1,1))</f>
        <v>147.21567065005729</v>
      </c>
      <c r="AO10" s="59">
        <f t="shared" si="36"/>
        <v>332.2871246077637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7.7271428571428578</v>
      </c>
      <c r="N11" s="13">
        <f>IF('Données projet'!$A$36&gt;35,N10+M11-V10,IF(A11&lt;'Données projet'!$A$36,$K$205^A11,IF(A11='Données projet'!$A$36,'Données projet'!$B$36,N10+M11-V10)))</f>
        <v>14.533482807286399</v>
      </c>
      <c r="O11" s="13">
        <f>N11*VLOOKUP('Données projet'!$B$9,Paramètres!$A$1:$I$89,3,0)*VLOOKUP('Données projet'!$B$9,Paramètres!$A$1:$I$89,5,0)</f>
        <v>8.6910227187572673</v>
      </c>
      <c r="P11" s="13">
        <f t="shared" si="33"/>
        <v>3.1139748382101038</v>
      </c>
      <c r="Q11" s="20">
        <f t="shared" si="2"/>
        <v>20.560370745051507</v>
      </c>
      <c r="R11" s="59">
        <f t="shared" si="0"/>
        <v>287.00481518949596</v>
      </c>
      <c r="S11" s="59">
        <f ca="1">AVERAGE(OFFSET($R$3,0,0,'Données projet'!$E$9+1,1))-AVERAGE(OFFSET($H$3,0,0,'Données projet'!$E$9+1,1))</f>
        <v>287.52077437571728</v>
      </c>
      <c r="T11" s="59">
        <f t="shared" si="34"/>
        <v>420.95891230839874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8.0128205128205128</v>
      </c>
      <c r="AI11" s="13">
        <f>IF('Données projet'!$A$62&gt;35,AI10+AH11-AQ10,IF(A11&lt;'Données projet'!$A$62,$AF$205^A11,IF(A11='Données projet'!$A$62,'Données projet'!$B$62,AI10+AH11-AQ10)))</f>
        <v>33.344816494580854</v>
      </c>
      <c r="AJ11" s="13">
        <f>AI11*VLOOKUP('Données projet'!$B$10,Paramètres!$A$1:$I$89,3,0)*VLOOKUP('Données projet'!$B$10,Paramètres!$A$1:$I$89,5,0)</f>
        <v>15.865463688121572</v>
      </c>
      <c r="AK11" s="13">
        <f t="shared" si="35"/>
        <v>5.2999543868125905</v>
      </c>
      <c r="AL11" s="20">
        <f t="shared" si="4"/>
        <v>36.863103147176993</v>
      </c>
      <c r="AM11" s="59">
        <f t="shared" si="5"/>
        <v>303.30754759162147</v>
      </c>
      <c r="AN11" s="59">
        <f ca="1">AVERAGE(OFFSET($AM$3,0,0,'Données projet'!$E$10+1,1))-AVERAGE(OFFSET($H$3,0,0,'Données projet'!$E$10+1,1))</f>
        <v>147.21567065005729</v>
      </c>
      <c r="AO11" s="59">
        <f t="shared" si="36"/>
        <v>332.2871246077637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7.7271428571428578</v>
      </c>
      <c r="N12" s="13">
        <f>IF('Données projet'!$A$36&gt;35,N11+M12-V11,IF(A12&lt;'Données projet'!$A$36,$K$205^A12,IF(A12='Données projet'!$A$36,'Données projet'!$B$36,N11+M12-V11)))</f>
        <v>20.307941975481366</v>
      </c>
      <c r="O12" s="13">
        <f>N12*VLOOKUP('Données projet'!$B$9,Paramètres!$A$1:$I$89,3,0)*VLOOKUP('Données projet'!$B$9,Paramètres!$A$1:$I$89,5,0)</f>
        <v>12.144149301337858</v>
      </c>
      <c r="P12" s="13">
        <f t="shared" si="33"/>
        <v>4.1850324763865441</v>
      </c>
      <c r="Q12" s="20">
        <f t="shared" si="2"/>
        <v>28.439991596203328</v>
      </c>
      <c r="R12" s="59">
        <f t="shared" si="0"/>
        <v>296.10665826287004</v>
      </c>
      <c r="S12" s="59">
        <f ca="1">AVERAGE(OFFSET($R$3,0,0,'Données projet'!$E$9+1,1))-AVERAGE(OFFSET($H$3,0,0,'Données projet'!$E$9+1,1))</f>
        <v>287.52077437571728</v>
      </c>
      <c r="T12" s="59">
        <f t="shared" si="34"/>
        <v>420.95891230839874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8.0128205128205128</v>
      </c>
      <c r="AI12" s="13">
        <f>IF('Données projet'!$A$62&gt;35,AI11+AH12-AQ11,IF(A12&lt;'Données projet'!$A$62,$AF$205^A12,IF(A12='Données projet'!$A$62,'Données projet'!$B$62,AI11+AH12-AQ11)))</f>
        <v>51.690040588493787</v>
      </c>
      <c r="AJ12" s="13">
        <f>AI12*VLOOKUP('Données projet'!$B$10,Paramètres!$A$1:$I$89,3,0)*VLOOKUP('Données projet'!$B$10,Paramètres!$A$1:$I$89,5,0)</f>
        <v>24.594121312005345</v>
      </c>
      <c r="AK12" s="13">
        <f t="shared" si="35"/>
        <v>7.807115620828001</v>
      </c>
      <c r="AL12" s="20">
        <f t="shared" si="4"/>
        <v>56.432154324684745</v>
      </c>
      <c r="AM12" s="59">
        <f t="shared" si="5"/>
        <v>324.09882099135143</v>
      </c>
      <c r="AN12" s="59">
        <f ca="1">AVERAGE(OFFSET($AM$3,0,0,'Données projet'!$E$10+1,1))-AVERAGE(OFFSET($H$3,0,0,'Données projet'!$E$10+1,1))</f>
        <v>147.21567065005729</v>
      </c>
      <c r="AO12" s="59">
        <f t="shared" si="36"/>
        <v>332.2871246077637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7.7271428571428578</v>
      </c>
      <c r="N13" s="13">
        <f>IF('Données projet'!$A$36&gt;35,N12+M13-V12,IF(A13&lt;'Données projet'!$A$36,$K$205^A13,IF(A13='Données projet'!$A$36,'Données projet'!$B$36,N12+M13-V12)))</f>
        <v>28.376715529793994</v>
      </c>
      <c r="O13" s="13">
        <f>N13*VLOOKUP('Données projet'!$B$9,Paramètres!$A$1:$I$89,3,0)*VLOOKUP('Données projet'!$B$9,Paramètres!$A$1:$I$89,5,0)</f>
        <v>16.96927588681681</v>
      </c>
      <c r="P13" s="13">
        <f t="shared" si="33"/>
        <v>5.6244824503711541</v>
      </c>
      <c r="Q13" s="20">
        <f t="shared" si="2"/>
        <v>39.350795770602367</v>
      </c>
      <c r="R13" s="59">
        <f t="shared" si="0"/>
        <v>308.23968465949122</v>
      </c>
      <c r="S13" s="59">
        <f ca="1">AVERAGE(OFFSET($R$3,0,0,'Données projet'!$E$9+1,1))-AVERAGE(OFFSET($H$3,0,0,'Données projet'!$E$9+1,1))</f>
        <v>287.52077437571728</v>
      </c>
      <c r="T13" s="59">
        <f t="shared" si="34"/>
        <v>420.95891230839874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80.128205128205124</v>
      </c>
      <c r="AG13" s="12">
        <f>VLOOKUP(A13,'Données projet'!$A$61:$I$81,9,0)</f>
        <v>8.0128205128205128</v>
      </c>
      <c r="AH13" s="12">
        <f t="array" ref="AH13">INDEX(AG:AG,MIN(IF(ISNUMBER(AG13:AG209),ROW(AG13:AG209),"")))</f>
        <v>8.0128205128205128</v>
      </c>
      <c r="AI13" s="13">
        <f>IF('Données projet'!$A$62&gt;35,AI12+AH13-AQ12,IF(A13&lt;'Données projet'!$A$62,$AF$205^A13,IF(A13='Données projet'!$A$62,'Données projet'!$B$62,AI12+AH13-AQ12)))</f>
        <v>80.128205128205124</v>
      </c>
      <c r="AJ13" s="13">
        <f>AI13*VLOOKUP('Données projet'!$B$10,Paramètres!$A$1:$I$89,3,0)*VLOOKUP('Données projet'!$B$10,Paramètres!$A$1:$I$89,5,0)</f>
        <v>38.125</v>
      </c>
      <c r="AK13" s="13">
        <f t="shared" si="35"/>
        <v>11.500297902305661</v>
      </c>
      <c r="AL13" s="20">
        <f t="shared" si="4"/>
        <v>86.430727179849029</v>
      </c>
      <c r="AM13" s="59">
        <f t="shared" si="5"/>
        <v>355.3196160687379</v>
      </c>
      <c r="AN13" s="59">
        <f ca="1">AVERAGE(OFFSET($AM$3,0,0,'Données projet'!$E$10+1,1))-AVERAGE(OFFSET($H$3,0,0,'Données projet'!$E$10+1,1))</f>
        <v>147.21567065005729</v>
      </c>
      <c r="AO13" s="59">
        <f t="shared" si="36"/>
        <v>332.2871246077637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0.44999999999999996</v>
      </c>
      <c r="AS13" s="16">
        <f>IF(ISNA(VLOOKUP(A13,'Données projet'!$A$61:$I$81,6,0)),0%,VLOOKUP(A13,'Données projet'!$A$61:$I$81,6,0)*VLOOKUP('Données projet'!$B$10,Paramètres!$A$1:$I$89,7,0))</f>
        <v>0.12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7.7271428571428578</v>
      </c>
      <c r="N14" s="13">
        <f>IF('Données projet'!$A$36&gt;35,N13+M14-V13,IF(A14&lt;'Données projet'!$A$36,$K$205^A14,IF(A14='Données projet'!$A$36,'Données projet'!$B$36,N13+M14-V13)))</f>
        <v>39.651382953085523</v>
      </c>
      <c r="O14" s="13">
        <f>N14*VLOOKUP('Données projet'!$B$9,Paramètres!$A$1:$I$89,3,0)*VLOOKUP('Données projet'!$B$9,Paramètres!$A$1:$I$89,5,0)</f>
        <v>23.711527005945143</v>
      </c>
      <c r="P14" s="13">
        <f t="shared" si="33"/>
        <v>7.5590340130042035</v>
      </c>
      <c r="Q14" s="20">
        <f t="shared" si="2"/>
        <v>54.462893774670114</v>
      </c>
      <c r="R14" s="59">
        <f t="shared" si="0"/>
        <v>324.57400488578128</v>
      </c>
      <c r="S14" s="59">
        <f ca="1">AVERAGE(OFFSET($R$3,0,0,'Données projet'!$E$9+1,1))-AVERAGE(OFFSET($H$3,0,0,'Données projet'!$E$9+1,1))</f>
        <v>287.52077437571728</v>
      </c>
      <c r="T14" s="59">
        <f t="shared" si="34"/>
        <v>420.95891230839874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13.717948717948715</v>
      </c>
      <c r="AI14" s="13">
        <f>IF('Données projet'!$A$62&gt;35,AI13+AH14-AQ13,IF(A14&lt;'Données projet'!$A$62,$AF$205^A14,IF(A14='Données projet'!$A$62,'Données projet'!$B$62,AI13+AH14-AQ13)))</f>
        <v>93.84615384615384</v>
      </c>
      <c r="AJ14" s="13">
        <f>AI14*VLOOKUP('Données projet'!$B$10,Paramètres!$A$1:$I$89,3,0)*VLOOKUP('Données projet'!$B$10,Paramètres!$A$1:$I$89,5,0)</f>
        <v>44.651999999999994</v>
      </c>
      <c r="AK14" s="13">
        <f t="shared" si="35"/>
        <v>13.223654639813496</v>
      </c>
      <c r="AL14" s="20">
        <f t="shared" si="4"/>
        <v>100.80009849767515</v>
      </c>
      <c r="AM14" s="59">
        <f t="shared" si="5"/>
        <v>370.91120960878629</v>
      </c>
      <c r="AN14" s="59">
        <f ca="1">AVERAGE(OFFSET($AM$3,0,0,'Données projet'!$E$10+1,1))-AVERAGE(OFFSET($H$3,0,0,'Données projet'!$E$10+1,1))</f>
        <v>147.21567065005729</v>
      </c>
      <c r="AO14" s="59">
        <f t="shared" si="36"/>
        <v>332.2871246077637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7.7271428571428578</v>
      </c>
      <c r="N15" s="13">
        <f>IF('Données projet'!$A$36&gt;35,N14+M15-V14,IF(A15&lt;'Données projet'!$A$36,$K$205^A15,IF(A15='Données projet'!$A$36,'Données projet'!$B$36,N14+M15-V14)))</f>
        <v>55.40571347806209</v>
      </c>
      <c r="O15" s="13">
        <f>N15*VLOOKUP('Données projet'!$B$9,Paramètres!$A$1:$I$89,3,0)*VLOOKUP('Données projet'!$B$9,Paramètres!$A$1:$I$89,5,0)</f>
        <v>33.13261665988113</v>
      </c>
      <c r="P15" s="13">
        <f t="shared" si="33"/>
        <v>10.158978308481325</v>
      </c>
      <c r="Q15" s="20">
        <f t="shared" si="2"/>
        <v>75.39952790323126</v>
      </c>
      <c r="R15" s="59">
        <f t="shared" si="0"/>
        <v>346.73286123656459</v>
      </c>
      <c r="S15" s="59">
        <f ca="1">AVERAGE(OFFSET($R$3,0,0,'Données projet'!$E$9+1,1))-AVERAGE(OFFSET($H$3,0,0,'Données projet'!$E$9+1,1))</f>
        <v>287.52077437571728</v>
      </c>
      <c r="T15" s="59">
        <f t="shared" si="34"/>
        <v>420.95891230839874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13.717948717948715</v>
      </c>
      <c r="AI15" s="13">
        <f>IF('Données projet'!$A$62&gt;35,AI14+AH15-AQ14,IF(A15&lt;'Données projet'!$A$62,$AF$205^A15,IF(A15='Données projet'!$A$62,'Données projet'!$B$62,AI14+AH15-AQ14)))</f>
        <v>107.56410256410255</v>
      </c>
      <c r="AJ15" s="13">
        <f>AI15*VLOOKUP('Données projet'!$B$10,Paramètres!$A$1:$I$89,3,0)*VLOOKUP('Données projet'!$B$10,Paramètres!$A$1:$I$89,5,0)</f>
        <v>51.178999999999995</v>
      </c>
      <c r="AK15" s="13">
        <f t="shared" si="35"/>
        <v>14.917827318829771</v>
      </c>
      <c r="AL15" s="20">
        <f t="shared" si="4"/>
        <v>115.1186409136285</v>
      </c>
      <c r="AM15" s="59">
        <f t="shared" si="5"/>
        <v>386.45197424696181</v>
      </c>
      <c r="AN15" s="59">
        <f ca="1">AVERAGE(OFFSET($AM$3,0,0,'Données projet'!$E$10+1,1))-AVERAGE(OFFSET($H$3,0,0,'Données projet'!$E$10+1,1))</f>
        <v>147.21567065005729</v>
      </c>
      <c r="AO15" s="59">
        <f t="shared" si="36"/>
        <v>332.2871246077637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7.7271428571428578</v>
      </c>
      <c r="N16" s="13">
        <f>IF('Données projet'!$A$36&gt;35,N15+M16-V15,IF(A16&lt;'Données projet'!$A$36,$K$205^A16,IF(A16='Données projet'!$A$36,'Données projet'!$B$36,N15+M16-V15)))</f>
        <v>77.419571711917584</v>
      </c>
      <c r="O16" s="13">
        <f>N16*VLOOKUP('Données projet'!$B$9,Paramètres!$A$1:$I$89,3,0)*VLOOKUP('Données projet'!$B$9,Paramètres!$A$1:$I$89,5,0)</f>
        <v>46.296903883726721</v>
      </c>
      <c r="P16" s="13">
        <f t="shared" si="33"/>
        <v>13.653178447754749</v>
      </c>
      <c r="Q16" s="20">
        <f t="shared" si="2"/>
        <v>104.41306006066355</v>
      </c>
      <c r="R16" s="59">
        <f t="shared" si="0"/>
        <v>376.9686156162191</v>
      </c>
      <c r="S16" s="59">
        <f ca="1">AVERAGE(OFFSET($R$3,0,0,'Données projet'!$E$9+1,1))-AVERAGE(OFFSET($H$3,0,0,'Données projet'!$E$9+1,1))</f>
        <v>287.52077437571728</v>
      </c>
      <c r="T16" s="59">
        <f t="shared" si="34"/>
        <v>420.95891230839874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13.717948717948715</v>
      </c>
      <c r="AI16" s="13">
        <f>IF('Données projet'!$A$62&gt;35,AI15+AH16-AQ15,IF(A16&lt;'Données projet'!$A$62,$AF$205^A16,IF(A16='Données projet'!$A$62,'Données projet'!$B$62,AI15+AH16-AQ15)))</f>
        <v>121.28205128205127</v>
      </c>
      <c r="AJ16" s="13">
        <f>AI16*VLOOKUP('Données projet'!$B$10,Paramètres!$A$1:$I$89,3,0)*VLOOKUP('Données projet'!$B$10,Paramètres!$A$1:$I$89,5,0)</f>
        <v>57.705999999999996</v>
      </c>
      <c r="AK16" s="13">
        <f t="shared" si="35"/>
        <v>16.586964501622983</v>
      </c>
      <c r="AL16" s="20">
        <f t="shared" si="4"/>
        <v>129.39357984032668</v>
      </c>
      <c r="AM16" s="59">
        <f t="shared" si="5"/>
        <v>401.94913539588219</v>
      </c>
      <c r="AN16" s="59">
        <f ca="1">AVERAGE(OFFSET($AM$3,0,0,'Données projet'!$E$10+1,1))-AVERAGE(OFFSET($H$3,0,0,'Données projet'!$E$10+1,1))</f>
        <v>147.21567065005729</v>
      </c>
      <c r="AO16" s="59">
        <f t="shared" si="36"/>
        <v>332.2871246077637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7.7271428571428578</v>
      </c>
      <c r="M17" s="12">
        <f t="array" ref="M17">INDEX(L:L,MIN(IF(ISNUMBER(L17:L213),ROW(L17:L213),"")))</f>
        <v>7.7271428571428578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418.4072676851622</v>
      </c>
      <c r="S17" s="59">
        <f ca="1">AVERAGE(OFFSET($R$3,0,0,'Données projet'!$E$9+1,1))-AVERAGE(OFFSET($H$3,0,0,'Données projet'!$E$9+1,1))</f>
        <v>287.52077437571728</v>
      </c>
      <c r="T17" s="59">
        <f t="shared" si="34"/>
        <v>420.95891230839874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0.45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12.17837301020951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12.17837301020951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13.717948717948715</v>
      </c>
      <c r="AI17" s="13">
        <f>IF('Données projet'!$A$62&gt;35,AI16+AH17-AQ16,IF(A17&lt;'Données projet'!$A$62,$AF$205^A17,IF(A17='Données projet'!$A$62,'Données projet'!$B$62,AI16+AH17-AQ16)))</f>
        <v>135</v>
      </c>
      <c r="AJ17" s="13">
        <f>AI17*VLOOKUP('Données projet'!$B$10,Paramètres!$A$1:$I$89,3,0)*VLOOKUP('Données projet'!$B$10,Paramètres!$A$1:$I$89,5,0)</f>
        <v>64.233000000000004</v>
      </c>
      <c r="AK17" s="13">
        <f t="shared" si="35"/>
        <v>18.234221070972289</v>
      </c>
      <c r="AL17" s="20">
        <f t="shared" si="4"/>
        <v>143.6304100319434</v>
      </c>
      <c r="AM17" s="59">
        <f t="shared" si="5"/>
        <v>417.4081878097212</v>
      </c>
      <c r="AN17" s="59">
        <f ca="1">AVERAGE(OFFSET($AM$3,0,0,'Données projet'!$E$10+1,1))-AVERAGE(OFFSET($H$3,0,0,'Données projet'!$E$10+1,1))</f>
        <v>147.21567065005729</v>
      </c>
      <c r="AO17" s="59">
        <f t="shared" si="36"/>
        <v>332.2871246077637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403.60946872101408</v>
      </c>
      <c r="S18" s="59">
        <f ca="1">AVERAGE(OFFSET($R$3,0,0,'Données projet'!$E$9+1,1))-AVERAGE(OFFSET($H$3,0,0,'Données projet'!$E$9+1,1))</f>
        <v>287.52077437571728</v>
      </c>
      <c r="T18" s="59">
        <f t="shared" si="34"/>
        <v>420.95891230839874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11.845354759812528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11.845354759812528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148.7179487179487</v>
      </c>
      <c r="AG18" s="12">
        <f>VLOOKUP(A18,'Données projet'!$A$61:$I$81,9,0)</f>
        <v>13.717948717948715</v>
      </c>
      <c r="AH18" s="12">
        <f t="array" ref="AH18">INDEX(AG:AG,MIN(IF(ISNUMBER(AG18:AG214),ROW(AG18:AG214),"")))</f>
        <v>13.717948717948715</v>
      </c>
      <c r="AI18" s="13">
        <f>IF('Données projet'!$A$62&gt;35,AI17+AH18-AQ17,IF(A18&lt;'Données projet'!$A$62,$AF$205^A18,IF(A18='Données projet'!$A$62,'Données projet'!$B$62,AI17+AH18-AQ17)))</f>
        <v>148.71794871794873</v>
      </c>
      <c r="AJ18" s="13">
        <f>AI18*VLOOKUP('Données projet'!$B$10,Paramètres!$A$1:$I$89,3,0)*VLOOKUP('Données projet'!$B$10,Paramètres!$A$1:$I$89,5,0)</f>
        <v>70.760000000000005</v>
      </c>
      <c r="AK18" s="13">
        <f t="shared" si="35"/>
        <v>19.862073577423203</v>
      </c>
      <c r="AL18" s="20">
        <f t="shared" si="4"/>
        <v>157.8334448140121</v>
      </c>
      <c r="AM18" s="59">
        <f t="shared" si="5"/>
        <v>432.83344481401207</v>
      </c>
      <c r="AN18" s="59">
        <f ca="1">AVERAGE(OFFSET($AM$3,0,0,'Données projet'!$E$10+1,1))-AVERAGE(OFFSET($H$3,0,0,'Données projet'!$E$10+1,1))</f>
        <v>147.21567065005729</v>
      </c>
      <c r="AO18" s="59">
        <f t="shared" si="36"/>
        <v>332.2871246077637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0.44999999999999996</v>
      </c>
      <c r="AS18" s="16">
        <f>IF(ISNA(VLOOKUP(A18,'Données projet'!$A$61:$I$81,6,0)),0%,VLOOKUP(A18,'Données projet'!$A$61:$I$81,6,0)*VLOOKUP('Données projet'!$B$10,Paramètres!$A$1:$I$89,7,0))</f>
        <v>0.12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433.45542818823941</v>
      </c>
      <c r="S19" s="59">
        <f ca="1">AVERAGE(OFFSET($R$3,0,0,'Données projet'!$E$9+1,1))-AVERAGE(OFFSET($H$3,0,0,'Données projet'!$E$9+1,1))</f>
        <v>287.52077437571728</v>
      </c>
      <c r="T19" s="59">
        <f t="shared" si="34"/>
        <v>420.95891230839874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11.521442910985321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11.521442910985321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14.230769230769232</v>
      </c>
      <c r="AI19" s="13">
        <f>IF('Données projet'!$A$62&gt;35,AI18+AH19-AQ18,IF(A19&lt;'Données projet'!$A$62,$AF$205^A19,IF(A19='Données projet'!$A$62,'Données projet'!$B$62,AI18+AH19-AQ18)))</f>
        <v>162.94871794871796</v>
      </c>
      <c r="AJ19" s="13">
        <f>AI19*VLOOKUP('Données projet'!$B$10,Paramètres!$A$1:$I$89,3,0)*VLOOKUP('Données projet'!$B$10,Paramètres!$A$1:$I$89,5,0)</f>
        <v>77.531000000000006</v>
      </c>
      <c r="AK19" s="13">
        <f t="shared" si="35"/>
        <v>21.532403797671684</v>
      </c>
      <c r="AL19" s="20">
        <f t="shared" si="4"/>
        <v>172.53542828094487</v>
      </c>
      <c r="AM19" s="59">
        <f t="shared" si="5"/>
        <v>448.7576505031671</v>
      </c>
      <c r="AN19" s="59">
        <f ca="1">AVERAGE(OFFSET($AM$3,0,0,'Données projet'!$E$10+1,1))-AVERAGE(OFFSET($H$3,0,0,'Données projet'!$E$10+1,1))</f>
        <v>147.21567065005729</v>
      </c>
      <c r="AO19" s="59">
        <f t="shared" si="36"/>
        <v>332.2871246077637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463.17736333033815</v>
      </c>
      <c r="S20" s="59">
        <f ca="1">AVERAGE(OFFSET($R$3,0,0,'Données projet'!$E$9+1,1))-AVERAGE(OFFSET($H$3,0,0,'Données projet'!$E$9+1,1))</f>
        <v>287.52077437571728</v>
      </c>
      <c r="T20" s="59">
        <f t="shared" si="34"/>
        <v>420.95891230839874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11.206388448698078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11.206388448698078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14.230769230769232</v>
      </c>
      <c r="AI20" s="13">
        <f>IF('Données projet'!$A$62&gt;35,AI19+AH20-AQ19,IF(A20&lt;'Données projet'!$A$62,$AF$205^A20,IF(A20='Données projet'!$A$62,'Données projet'!$B$62,AI19+AH20-AQ19)))</f>
        <v>177.17948717948718</v>
      </c>
      <c r="AJ20" s="13">
        <f>AI20*VLOOKUP('Données projet'!$B$10,Paramètres!$A$1:$I$89,3,0)*VLOOKUP('Données projet'!$B$10,Paramètres!$A$1:$I$89,5,0)</f>
        <v>84.301999999999992</v>
      </c>
      <c r="AK20" s="13">
        <f t="shared" si="35"/>
        <v>23.185817541982551</v>
      </c>
      <c r="AL20" s="20">
        <f t="shared" si="4"/>
        <v>187.20794888561957</v>
      </c>
      <c r="AM20" s="59">
        <f t="shared" si="5"/>
        <v>464.652393330064</v>
      </c>
      <c r="AN20" s="59">
        <f ca="1">AVERAGE(OFFSET($AM$3,0,0,'Données projet'!$E$10+1,1))-AVERAGE(OFFSET($H$3,0,0,'Données projet'!$E$10+1,1))</f>
        <v>147.21567065005729</v>
      </c>
      <c r="AO20" s="59">
        <f t="shared" si="36"/>
        <v>332.2871246077637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492.79702436241814</v>
      </c>
      <c r="S21" s="59">
        <f ca="1">AVERAGE(OFFSET($R$3,0,0,'Données projet'!$E$9+1,1))-AVERAGE(OFFSET($H$3,0,0,'Données projet'!$E$9+1,1))</f>
        <v>287.52077437571728</v>
      </c>
      <c r="T21" s="59">
        <f t="shared" si="34"/>
        <v>420.95891230839874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10.899949167250073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10.899949167250073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14.230769230769232</v>
      </c>
      <c r="AI21" s="13">
        <f>IF('Données projet'!$A$62&gt;35,AI20+AH21-AQ20,IF(A21&lt;'Données projet'!$A$62,$AF$205^A21,IF(A21='Données projet'!$A$62,'Données projet'!$B$62,AI20+AH21-AQ20)))</f>
        <v>191.41025641025641</v>
      </c>
      <c r="AJ21" s="13">
        <f>AI21*VLOOKUP('Données projet'!$B$10,Paramètres!$A$1:$I$89,3,0)*VLOOKUP('Données projet'!$B$10,Paramètres!$A$1:$I$89,5,0)</f>
        <v>91.072999999999993</v>
      </c>
      <c r="AK21" s="13">
        <f t="shared" si="35"/>
        <v>24.823827986026089</v>
      </c>
      <c r="AL21" s="20">
        <f t="shared" si="4"/>
        <v>201.85364207566207</v>
      </c>
      <c r="AM21" s="59">
        <f t="shared" si="5"/>
        <v>480.52030874232878</v>
      </c>
      <c r="AN21" s="59">
        <f ca="1">AVERAGE(OFFSET($AM$3,0,0,'Données projet'!$E$10+1,1))-AVERAGE(OFFSET($H$3,0,0,'Données projet'!$E$10+1,1))</f>
        <v>147.21567065005729</v>
      </c>
      <c r="AO21" s="59">
        <f t="shared" si="36"/>
        <v>332.2871246077637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522.32989406804052</v>
      </c>
      <c r="S22" s="59">
        <f ca="1">AVERAGE(OFFSET($R$3,0,0,'Données projet'!$E$9+1,1))-AVERAGE(OFFSET($H$3,0,0,'Données projet'!$E$9+1,1))</f>
        <v>287.52077437571728</v>
      </c>
      <c r="T22" s="59">
        <f t="shared" si="34"/>
        <v>420.95891230839874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0.45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31.75847909304531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31.75847909304531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14.230769230769232</v>
      </c>
      <c r="AI22" s="13">
        <f>IF('Données projet'!$A$62&gt;35,AI21+AH22-AQ21,IF(A22&lt;'Données projet'!$A$62,$AF$205^A22,IF(A22='Données projet'!$A$62,'Données projet'!$B$62,AI21+AH22-AQ21)))</f>
        <v>205.64102564102564</v>
      </c>
      <c r="AJ22" s="13">
        <f>AI22*VLOOKUP('Données projet'!$B$10,Paramètres!$A$1:$I$89,3,0)*VLOOKUP('Données projet'!$B$10,Paramètres!$A$1:$I$89,5,0)</f>
        <v>97.843999999999994</v>
      </c>
      <c r="AK22" s="13">
        <f t="shared" si="35"/>
        <v>26.447710540122245</v>
      </c>
      <c r="AL22" s="20">
        <f t="shared" si="4"/>
        <v>216.47472919071288</v>
      </c>
      <c r="AM22" s="59">
        <f t="shared" si="5"/>
        <v>496.36361807960174</v>
      </c>
      <c r="AN22" s="59">
        <f ca="1">AVERAGE(OFFSET($AM$3,0,0,'Données projet'!$E$10+1,1))-AVERAGE(OFFSET($H$3,0,0,'Données projet'!$E$10+1,1))</f>
        <v>147.21567065005729</v>
      </c>
      <c r="AO22" s="59">
        <f t="shared" si="36"/>
        <v>332.2871246077637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21.403333333333332</v>
      </c>
      <c r="N23" s="13">
        <f>IF('Données projet'!$A$36&gt;35,N22+M23-V22,IF(A23&lt;'Données projet'!$A$36,$K$205^A23,IF(A23='Données projet'!$A$36,'Données projet'!$B$36,N22+M23-V22)))</f>
        <v>145.67333333333332</v>
      </c>
      <c r="O23" s="13">
        <f>N23*VLOOKUP('Données projet'!$B$9,Paramètres!$A$1:$I$89,3,0)*VLOOKUP('Données projet'!$B$9,Paramètres!$A$1:$I$89,5,0)</f>
        <v>87.112653333333327</v>
      </c>
      <c r="P23" s="13">
        <f t="shared" si="33"/>
        <v>23.867550507152405</v>
      </c>
      <c r="Q23" s="20">
        <f t="shared" si="2"/>
        <v>193.29052168884596</v>
      </c>
      <c r="R23" s="59">
        <f t="shared" si="0"/>
        <v>474.4016327999571</v>
      </c>
      <c r="S23" s="59">
        <f ca="1">AVERAGE(OFFSET($R$3,0,0,'Données projet'!$E$9+1,1))-AVERAGE(OFFSET($H$3,0,0,'Données projet'!$E$9+1,1))</f>
        <v>287.52077437571728</v>
      </c>
      <c r="T23" s="59">
        <f t="shared" si="34"/>
        <v>420.95891230839874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30.890041812140154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30.890041812140154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219.87179487179486</v>
      </c>
      <c r="AG23" s="12">
        <f>VLOOKUP(A23,'Données projet'!$A$61:$I$81,9,0)</f>
        <v>14.230769230769232</v>
      </c>
      <c r="AH23" s="12">
        <f t="array" ref="AH23">INDEX(AG:AG,MIN(IF(ISNUMBER(AG23:AG219),ROW(AG23:AG219),"")))</f>
        <v>14.230769230769232</v>
      </c>
      <c r="AI23" s="13">
        <f>IF('Données projet'!$A$62&gt;35,AI22+AH23-AQ22,IF(A23&lt;'Données projet'!$A$62,$AF$205^A23,IF(A23='Données projet'!$A$62,'Données projet'!$B$62,AI22+AH23-AQ22)))</f>
        <v>219.87179487179486</v>
      </c>
      <c r="AJ23" s="13">
        <f>AI23*VLOOKUP('Données projet'!$B$10,Paramètres!$A$1:$I$89,3,0)*VLOOKUP('Données projet'!$B$10,Paramètres!$A$1:$I$89,5,0)</f>
        <v>104.61499999999999</v>
      </c>
      <c r="AK23" s="13">
        <f t="shared" si="35"/>
        <v>28.058554098248415</v>
      </c>
      <c r="AL23" s="20">
        <f t="shared" si="4"/>
        <v>231.07310672111598</v>
      </c>
      <c r="AM23" s="59">
        <f t="shared" si="5"/>
        <v>512.18421783222709</v>
      </c>
      <c r="AN23" s="59">
        <f ca="1">AVERAGE(OFFSET($AM$3,0,0,'Données projet'!$E$10+1,1))-AVERAGE(OFFSET($H$3,0,0,'Données projet'!$E$10+1,1))</f>
        <v>147.21567065005729</v>
      </c>
      <c r="AO23" s="59">
        <f t="shared" si="36"/>
        <v>332.2871246077637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0.44999999999999996</v>
      </c>
      <c r="AS23" s="16">
        <f>IF(ISNA(VLOOKUP(A23,'Données projet'!$A$61:$I$81,6,0)),0%,VLOOKUP(A23,'Données projet'!$A$61:$I$81,6,0)*VLOOKUP('Données projet'!$B$10,Paramètres!$A$1:$I$89,7,0))</f>
        <v>0.12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21.403333333333332</v>
      </c>
      <c r="N24" s="13">
        <f>IF('Données projet'!$A$36&gt;35,N23+M24-V23,IF(A24&lt;'Données projet'!$A$36,$K$205^A24,IF(A24='Données projet'!$A$36,'Données projet'!$B$36,N23+M24-V23)))</f>
        <v>167.07666666666665</v>
      </c>
      <c r="O24" s="13">
        <f>N24*VLOOKUP('Données projet'!$B$9,Paramètres!$A$1:$I$89,3,0)*VLOOKUP('Données projet'!$B$9,Paramètres!$A$1:$I$89,5,0)</f>
        <v>99.911846666666662</v>
      </c>
      <c r="P24" s="13">
        <f t="shared" si="33"/>
        <v>26.940995154457852</v>
      </c>
      <c r="Q24" s="20">
        <f t="shared" si="2"/>
        <v>220.93536617179186</v>
      </c>
      <c r="R24" s="59">
        <f t="shared" si="0"/>
        <v>503.26869950512514</v>
      </c>
      <c r="S24" s="59">
        <f ca="1">AVERAGE(OFFSET($R$3,0,0,'Données projet'!$E$9+1,1))-AVERAGE(OFFSET($H$3,0,0,'Données projet'!$E$9+1,1))</f>
        <v>287.52077437571728</v>
      </c>
      <c r="T24" s="59">
        <f t="shared" si="34"/>
        <v>420.95891230839874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30.045351994350483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30.045351994350483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12.5</v>
      </c>
      <c r="AI24" s="13">
        <f>IF('Données projet'!$A$62&gt;35,AI23+AH24-AQ23,IF(A24&lt;'Données projet'!$A$62,$AF$205^A24,IF(A24='Données projet'!$A$62,'Données projet'!$B$62,AI23+AH24-AQ23)))</f>
        <v>232.37179487179486</v>
      </c>
      <c r="AJ24" s="13">
        <f>AI24*VLOOKUP('Données projet'!$B$10,Paramètres!$A$1:$I$89,3,0)*VLOOKUP('Données projet'!$B$10,Paramètres!$A$1:$I$89,5,0)</f>
        <v>110.5625</v>
      </c>
      <c r="AK24" s="13">
        <f t="shared" si="35"/>
        <v>29.463474592199073</v>
      </c>
      <c r="AL24" s="20">
        <f t="shared" si="4"/>
        <v>243.87857241474671</v>
      </c>
      <c r="AM24" s="59">
        <f t="shared" si="5"/>
        <v>526.21190574807997</v>
      </c>
      <c r="AN24" s="59">
        <f ca="1">AVERAGE(OFFSET($AM$3,0,0,'Données projet'!$E$10+1,1))-AVERAGE(OFFSET($H$3,0,0,'Données projet'!$E$10+1,1))</f>
        <v>147.21567065005729</v>
      </c>
      <c r="AO24" s="59">
        <f t="shared" si="36"/>
        <v>332.2871246077637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21.403333333333332</v>
      </c>
      <c r="N25" s="13">
        <f>IF('Données projet'!$A$36&gt;35,N24+M25-V24,IF(A25&lt;'Données projet'!$A$36,$K$205^A25,IF(A25='Données projet'!$A$36,'Données projet'!$B$36,N24+M25-V24)))</f>
        <v>188.48</v>
      </c>
      <c r="O25" s="13">
        <f>N25*VLOOKUP('Données projet'!$B$9,Paramètres!$A$1:$I$89,3,0)*VLOOKUP('Données projet'!$B$9,Paramètres!$A$1:$I$89,5,0)</f>
        <v>112.71104000000001</v>
      </c>
      <c r="P25" s="13">
        <f t="shared" si="33"/>
        <v>29.968818833735142</v>
      </c>
      <c r="Q25" s="20">
        <f t="shared" si="2"/>
        <v>248.50075413542206</v>
      </c>
      <c r="R25" s="59">
        <f t="shared" si="0"/>
        <v>532.05630969097763</v>
      </c>
      <c r="S25" s="59">
        <f ca="1">AVERAGE(OFFSET($R$3,0,0,'Données projet'!$E$9+1,1))-AVERAGE(OFFSET($H$3,0,0,'Données projet'!$E$9+1,1))</f>
        <v>287.52077437571728</v>
      </c>
      <c r="T25" s="59">
        <f t="shared" si="34"/>
        <v>420.95891230839874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29.223760264048579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29.223760264048579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244.87179487179486</v>
      </c>
      <c r="AG25" s="12">
        <f>VLOOKUP(A25,'Données projet'!$A$61:$I$81,9,0)</f>
        <v>12.5</v>
      </c>
      <c r="AH25" s="12">
        <f t="array" ref="AH25">INDEX(AG:AG,MIN(IF(ISNUMBER(AG25:AG221),ROW(AG25:AG221),"")))</f>
        <v>12.5</v>
      </c>
      <c r="AI25" s="13">
        <f>IF('Données projet'!$A$62&gt;35,AI24+AH25-AQ24,IF(A25&lt;'Données projet'!$A$62,$AF$205^A25,IF(A25='Données projet'!$A$62,'Données projet'!$B$62,AI24+AH25-AQ24)))</f>
        <v>244.87179487179486</v>
      </c>
      <c r="AJ25" s="13">
        <f>AI25*VLOOKUP('Données projet'!$B$10,Paramètres!$A$1:$I$89,3,0)*VLOOKUP('Données projet'!$B$10,Paramètres!$A$1:$I$89,5,0)</f>
        <v>116.50999999999999</v>
      </c>
      <c r="AK25" s="13">
        <f t="shared" si="35"/>
        <v>30.859621169021718</v>
      </c>
      <c r="AL25" s="20">
        <f t="shared" si="4"/>
        <v>256.66875686937948</v>
      </c>
      <c r="AM25" s="59">
        <f t="shared" si="5"/>
        <v>540.22431242493508</v>
      </c>
      <c r="AN25" s="59">
        <f ca="1">AVERAGE(OFFSET($AM$3,0,0,'Données projet'!$E$10+1,1))-AVERAGE(OFFSET($H$3,0,0,'Données projet'!$E$10+1,1))</f>
        <v>147.21567065005729</v>
      </c>
      <c r="AO25" s="59">
        <f t="shared" si="36"/>
        <v>332.2871246077637</v>
      </c>
      <c r="AP25" s="15">
        <f>IF(ISNA(VLOOKUP(A25,'Données projet'!$A$61:$I$81,3,0)),0,VLOOKUP(A25,'Données projet'!$A$61:$I$81,3,0))</f>
        <v>4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0.44999999999999996</v>
      </c>
      <c r="AS25" s="16">
        <f>IF(ISNA(VLOOKUP(A25,'Données projet'!$A$61:$I$81,6,0)),0%,VLOOKUP(A25,'Données projet'!$A$61:$I$81,6,0)*VLOOKUP('Données projet'!$B$10,Paramètres!$A$1:$I$89,7,0))</f>
        <v>0.12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21.403333333333332</v>
      </c>
      <c r="N26" s="13">
        <f>IF('Données projet'!$A$36&gt;35,N25+M26-V25,IF(A26&lt;'Données projet'!$A$36,$K$205^A26,IF(A26='Données projet'!$A$36,'Données projet'!$B$36,N25+M26-V25)))</f>
        <v>209.88333333333333</v>
      </c>
      <c r="O26" s="13">
        <f>N26*VLOOKUP('Données projet'!$B$9,Paramètres!$A$1:$I$89,3,0)*VLOOKUP('Données projet'!$B$9,Paramètres!$A$1:$I$89,5,0)</f>
        <v>125.51023333333335</v>
      </c>
      <c r="P26" s="13">
        <f t="shared" si="33"/>
        <v>32.956793460624539</v>
      </c>
      <c r="Q26" s="20">
        <f t="shared" si="2"/>
        <v>275.99673833280997</v>
      </c>
      <c r="R26" s="59">
        <f t="shared" si="0"/>
        <v>560.77451611058768</v>
      </c>
      <c r="S26" s="59">
        <f ca="1">AVERAGE(OFFSET($R$3,0,0,'Données projet'!$E$9+1,1))-AVERAGE(OFFSET($H$3,0,0,'Données projet'!$E$9+1,1))</f>
        <v>287.52077437571728</v>
      </c>
      <c r="T26" s="59">
        <f t="shared" si="34"/>
        <v>420.95891230839874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28.424635002817411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28.424635002817411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12.5</v>
      </c>
      <c r="AI26" s="13">
        <f>IF('Données projet'!$A$62&gt;35,AI25+AH26-AQ25,IF(A26&lt;'Données projet'!$A$62,$AF$205^A26,IF(A26='Données projet'!$A$62,'Données projet'!$B$62,AI25+AH26-AQ25)))</f>
        <v>257.37179487179486</v>
      </c>
      <c r="AJ26" s="13">
        <f>AI26*VLOOKUP('Données projet'!$B$10,Paramètres!$A$1:$I$89,3,0)*VLOOKUP('Données projet'!$B$10,Paramètres!$A$1:$I$89,5,0)</f>
        <v>122.4575</v>
      </c>
      <c r="AK26" s="13">
        <f t="shared" si="35"/>
        <v>32.247492807038888</v>
      </c>
      <c r="AL26" s="20">
        <f t="shared" si="4"/>
        <v>269.44452913892604</v>
      </c>
      <c r="AM26" s="59">
        <f t="shared" si="5"/>
        <v>554.22230691670381</v>
      </c>
      <c r="AN26" s="59">
        <f ca="1">AVERAGE(OFFSET($AM$3,0,0,'Données projet'!$E$10+1,1))-AVERAGE(OFFSET($H$3,0,0,'Données projet'!$E$10+1,1))</f>
        <v>147.21567065005729</v>
      </c>
      <c r="AO26" s="59">
        <f t="shared" si="36"/>
        <v>332.2871246077637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21.403333333333332</v>
      </c>
      <c r="N27" s="13">
        <f>IF('Données projet'!$A$36&gt;35,N26+M27-V26,IF(A27&lt;'Données projet'!$A$36,$K$205^A27,IF(A27='Données projet'!$A$36,'Données projet'!$B$36,N26+M27-V26)))</f>
        <v>231.28666666666666</v>
      </c>
      <c r="O27" s="13">
        <f>N27*VLOOKUP('Données projet'!$B$9,Paramètres!$A$1:$I$89,3,0)*VLOOKUP('Données projet'!$B$9,Paramètres!$A$1:$I$89,5,0)</f>
        <v>138.30942666666667</v>
      </c>
      <c r="P27" s="13">
        <f t="shared" si="33"/>
        <v>35.909445469885178</v>
      </c>
      <c r="Q27" s="20">
        <f t="shared" si="2"/>
        <v>303.43120230449443</v>
      </c>
      <c r="R27" s="59">
        <f t="shared" si="0"/>
        <v>589.43120230449449</v>
      </c>
      <c r="S27" s="59">
        <f ca="1">AVERAGE(OFFSET($R$3,0,0,'Données projet'!$E$9+1,1))-AVERAGE(OFFSET($H$3,0,0,'Données projet'!$E$9+1,1))</f>
        <v>287.52077437571728</v>
      </c>
      <c r="T27" s="59">
        <f t="shared" si="34"/>
        <v>420.95891230839874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27.647361863878778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27.647361863878778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269.87179487179486</v>
      </c>
      <c r="AG27" s="12">
        <f>VLOOKUP(A27,'Données projet'!$A$61:$I$81,9,0)</f>
        <v>12.5</v>
      </c>
      <c r="AH27" s="12">
        <f t="array" ref="AH27">INDEX(AG:AG,MIN(IF(ISNUMBER(AG27:AG223),ROW(AG27:AG223),"")))</f>
        <v>12.5</v>
      </c>
      <c r="AI27" s="13">
        <f>IF('Données projet'!$A$62&gt;35,AI26+AH27-AQ26,IF(A27&lt;'Données projet'!$A$62,$AF$205^A27,IF(A27='Données projet'!$A$62,'Données projet'!$B$62,AI26+AH27-AQ26)))</f>
        <v>269.87179487179486</v>
      </c>
      <c r="AJ27" s="13">
        <f>AI27*VLOOKUP('Données projet'!$B$10,Paramètres!$A$1:$I$89,3,0)*VLOOKUP('Données projet'!$B$10,Paramètres!$A$1:$I$89,5,0)</f>
        <v>128.405</v>
      </c>
      <c r="AK27" s="13">
        <f t="shared" si="35"/>
        <v>33.627537277545215</v>
      </c>
      <c r="AL27" s="20">
        <f t="shared" si="4"/>
        <v>282.20666909172456</v>
      </c>
      <c r="AM27" s="59">
        <f t="shared" si="5"/>
        <v>568.20666909172451</v>
      </c>
      <c r="AN27" s="59">
        <f ca="1">AVERAGE(OFFSET($AM$3,0,0,'Données projet'!$E$10+1,1))-AVERAGE(OFFSET($H$3,0,0,'Données projet'!$E$10+1,1))</f>
        <v>147.21567065005729</v>
      </c>
      <c r="AO27" s="59">
        <f t="shared" si="36"/>
        <v>332.2871246077637</v>
      </c>
      <c r="AP27" s="15">
        <f>IF(ISNA(VLOOKUP(A27,'Données projet'!$A$61:$I$81,3,0)),0,VLOOKUP(A27,'Données projet'!$A$61:$I$81,3,0))</f>
        <v>5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0.44999999999999996</v>
      </c>
      <c r="AS27" s="16">
        <f>IF(ISNA(VLOOKUP(A27,'Données projet'!$A$61:$I$81,6,0)),0%,VLOOKUP(A27,'Données projet'!$A$61:$I$81,6,0)*VLOOKUP('Données projet'!$B$10,Paramètres!$A$1:$I$89,7,0))</f>
        <v>0.12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21.403333333333332</v>
      </c>
      <c r="M28" s="12">
        <f t="array" ref="M28">INDEX(L:L,MIN(IF(ISNUMBER(L28:L224),ROW(L28:L224),"")))</f>
        <v>21.403333333333332</v>
      </c>
      <c r="N28" s="13">
        <f>IF('Données projet'!$A$36&gt;35,N27+M28-V27,IF(A28&lt;'Données projet'!$A$36,$K$205^A28,IF(A28='Données projet'!$A$36,'Données projet'!$B$36,N27+M28-V27)))</f>
        <v>252.69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618.03270891410375</v>
      </c>
      <c r="S28" s="59">
        <f ca="1">AVERAGE(OFFSET($R$3,0,0,'Données projet'!$E$9+1,1))-AVERAGE(OFFSET($H$3,0,0,'Données projet'!$E$9+1,1))</f>
        <v>287.52077437571728</v>
      </c>
      <c r="T28" s="59">
        <f t="shared" si="34"/>
        <v>420.95891230839874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0.36000000000000004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2.1761409052687246</v>
      </c>
      <c r="AA28" s="21">
        <f>EXP(-LN(2)/25)*AA27+(1-EXP(-LN(2)/25))/(LN(2)/25)*Calculateur!V28*Calculateur!X28*VLOOKUP('Données projet'!$B$9,Paramètres!$A$1:$I$89,3,0)*0.475*44/12</f>
        <v>44.231924174599371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46.408065079868095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8.974358974358978</v>
      </c>
      <c r="AI28" s="13">
        <f>IF('Données projet'!$A$62&gt;35,AI27+AH28-AQ27,IF(A28&lt;'Données projet'!$A$62,$AF$205^A28,IF(A28='Données projet'!$A$62,'Données projet'!$B$62,AI27+AH28-AQ27)))</f>
        <v>278.84615384615381</v>
      </c>
      <c r="AJ28" s="13">
        <f>AI28*VLOOKUP('Données projet'!$B$10,Paramètres!$A$1:$I$89,3,0)*VLOOKUP('Données projet'!$B$10,Paramètres!$A$1:$I$89,5,0)</f>
        <v>132.67499999999998</v>
      </c>
      <c r="AK28" s="13">
        <f t="shared" si="35"/>
        <v>34.613738660746812</v>
      </c>
      <c r="AL28" s="20">
        <f t="shared" si="4"/>
        <v>291.36121983413398</v>
      </c>
      <c r="AM28" s="59">
        <f t="shared" si="5"/>
        <v>578.58344205635626</v>
      </c>
      <c r="AN28" s="59">
        <f ca="1">AVERAGE(OFFSET($AM$3,0,0,'Données projet'!$E$10+1,1))-AVERAGE(OFFSET($H$3,0,0,'Données projet'!$E$10+1,1))</f>
        <v>147.21567065005729</v>
      </c>
      <c r="AO28" s="59">
        <f t="shared" si="36"/>
        <v>332.2871246077637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20.575714285714287</v>
      </c>
      <c r="N29" s="13">
        <f>IF('Données projet'!$A$36&gt;35,N28+M29-V28,IF(A29&lt;'Données projet'!$A$36,$K$205^A29,IF(A29='Données projet'!$A$36,'Données projet'!$B$36,N28+M29-V28)))</f>
        <v>212.30571428571429</v>
      </c>
      <c r="O29" s="13">
        <f>N29*VLOOKUP('Données projet'!$B$9,Paramètres!$A$1:$I$89,3,0)*VLOOKUP('Données projet'!$B$9,Paramètres!$A$1:$I$89,5,0)</f>
        <v>126.95881714285716</v>
      </c>
      <c r="P29" s="13">
        <f t="shared" si="33"/>
        <v>33.292666057268733</v>
      </c>
      <c r="Q29" s="20">
        <f t="shared" si="2"/>
        <v>279.10466657355261</v>
      </c>
      <c r="R29" s="59">
        <f t="shared" si="0"/>
        <v>567.54911101799712</v>
      </c>
      <c r="S29" s="59">
        <f ca="1">AVERAGE(OFFSET($R$3,0,0,'Données projet'!$E$9+1,1))-AVERAGE(OFFSET($H$3,0,0,'Données projet'!$E$9+1,1))</f>
        <v>287.52077437571728</v>
      </c>
      <c r="T29" s="59">
        <f t="shared" si="34"/>
        <v>420.95891230839874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2.1334681094312957</v>
      </c>
      <c r="AA29" s="21">
        <f>EXP(-LN(2)/25)*AA28+(1-EXP(-LN(2)/25))/(LN(2)/25)*Calculateur!V29*Calculateur!X29*VLOOKUP('Données projet'!$B$9,Paramètres!$A$1:$I$89,3,0)*0.475*44/12</f>
        <v>43.022399881989152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45.15586799142045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>
        <f>VLOOKUP(A29,'Données projet'!$A$61:$I$81,2,0)</f>
        <v>287.82051282051282</v>
      </c>
      <c r="AG29" s="12">
        <f>VLOOKUP(A29,'Données projet'!$A$61:$I$81,9,0)</f>
        <v>8.974358974358978</v>
      </c>
      <c r="AH29" s="12">
        <f t="array" ref="AH29">INDEX(AG:AG,MIN(IF(ISNUMBER(AG29:AG225),ROW(AG29:AG225),"")))</f>
        <v>8.974358974358978</v>
      </c>
      <c r="AI29" s="13">
        <f>IF('Données projet'!$A$62&gt;35,AI28+AH29-AQ28,IF(A29&lt;'Données projet'!$A$62,$AF$205^A29,IF(A29='Données projet'!$A$62,'Données projet'!$B$62,AI28+AH29-AQ28)))</f>
        <v>287.82051282051282</v>
      </c>
      <c r="AJ29" s="13">
        <f>AI29*VLOOKUP('Données projet'!$B$10,Paramètres!$A$1:$I$89,3,0)*VLOOKUP('Données projet'!$B$10,Paramètres!$A$1:$I$89,5,0)</f>
        <v>136.94499999999999</v>
      </c>
      <c r="AK29" s="13">
        <f t="shared" si="35"/>
        <v>35.596251768413033</v>
      </c>
      <c r="AL29" s="20">
        <f t="shared" si="4"/>
        <v>300.50934682998599</v>
      </c>
      <c r="AM29" s="59">
        <f t="shared" si="5"/>
        <v>588.95379127443039</v>
      </c>
      <c r="AN29" s="59">
        <f ca="1">AVERAGE(OFFSET($AM$3,0,0,'Données projet'!$E$10+1,1))-AVERAGE(OFFSET($H$3,0,0,'Données projet'!$E$10+1,1))</f>
        <v>147.21567065005729</v>
      </c>
      <c r="AO29" s="59">
        <f t="shared" si="36"/>
        <v>332.2871246077637</v>
      </c>
      <c r="AP29" s="15">
        <f>IF(ISNA(VLOOKUP(A29,'Données projet'!$A$61:$I$81,3,0)),0,VLOOKUP(A29,'Données projet'!$A$61:$I$81,3,0))</f>
        <v>6</v>
      </c>
      <c r="AQ29" s="15">
        <f>IF(ISNA(VLOOKUP(A29,'Données projet'!$A$61:$I$81,4,0)),0,VLOOKUP(A29,'Données projet'!$A$61:$I$81,4,0))</f>
        <v>287.82051282051282</v>
      </c>
      <c r="AR29" s="16">
        <f>IF(ISNA(VLOOKUP(A29,'Données projet'!$A$61:$I$81,5,0)),0%,VLOOKUP(A29,'Données projet'!$A$61:$I$81,5,0)*VLOOKUP('Données projet'!$B$10,Paramètres!$A$1:$I$89,7,0))</f>
        <v>0.44999999999999996</v>
      </c>
      <c r="AS29" s="16">
        <f>IF(ISNA(VLOOKUP(A29,'Données projet'!$A$61:$I$81,6,0)),0%,VLOOKUP(A29,'Données projet'!$A$61:$I$81,6,0)*VLOOKUP('Données projet'!$B$10,Paramètres!$A$1:$I$89,7,0))</f>
        <v>0.12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68.124888506312928</v>
      </c>
      <c r="AV29" s="21">
        <f>EXP(-LN(2)/25)*AV28+(1-EXP(-LN(2)/25))/(LN(2)/25)*Calculateur!AQ29*Calculateur!AS29*VLOOKUP('Données projet'!$B$10,Paramètres!$A$1:$I$89,3,0)*0.475*44/12</f>
        <v>18.095107963372275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86.219996469685199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20.575714285714287</v>
      </c>
      <c r="N30" s="13">
        <f>IF('Données projet'!$A$36&gt;35,N29+M30-V29,IF(A30&lt;'Données projet'!$A$36,$K$205^A30,IF(A30='Données projet'!$A$36,'Données projet'!$B$36,N29+M30-V29)))</f>
        <v>232.88142857142859</v>
      </c>
      <c r="O30" s="13">
        <f>N30*VLOOKUP('Données projet'!$B$9,Paramètres!$A$1:$I$89,3,0)*VLOOKUP('Données projet'!$B$9,Paramètres!$A$1:$I$89,5,0)</f>
        <v>139.26309428571432</v>
      </c>
      <c r="P30" s="13">
        <f t="shared" si="33"/>
        <v>36.128138927166717</v>
      </c>
      <c r="Q30" s="20">
        <f t="shared" si="2"/>
        <v>305.47306451243452</v>
      </c>
      <c r="R30" s="59">
        <f t="shared" si="0"/>
        <v>595.1397311791012</v>
      </c>
      <c r="S30" s="59">
        <f ca="1">AVERAGE(OFFSET($R$3,0,0,'Données projet'!$E$9+1,1))-AVERAGE(OFFSET($H$3,0,0,'Données projet'!$E$9+1,1))</f>
        <v>287.52077437571728</v>
      </c>
      <c r="T30" s="59">
        <f t="shared" si="34"/>
        <v>420.95891230839874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2.0916321010924035</v>
      </c>
      <c r="AA30" s="21">
        <f>EXP(-LN(2)/25)*AA29+(1-EXP(-LN(2)/25))/(LN(2)/25)*Calculateur!V30*Calculateur!X30*VLOOKUP('Données projet'!$B$9,Paramètres!$A$1:$I$89,3,0)*0.475*44/12</f>
        <v>41.845950094766479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43.93758219585888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147.21567065005729</v>
      </c>
      <c r="AO30" s="59">
        <f t="shared" si="36"/>
        <v>332.2871246077637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66.789000994783194</v>
      </c>
      <c r="AV30" s="21">
        <f>EXP(-LN(2)/25)*AV29+(1-EXP(-LN(2)/25))/(LN(2)/25)*Calculateur!AQ30*Calculateur!AS30*VLOOKUP('Données projet'!$B$10,Paramètres!$A$1:$I$89,3,0)*0.475*44/12</f>
        <v>17.600296284533488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84.389297279316679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20.575714285714287</v>
      </c>
      <c r="N31" s="13">
        <f>IF('Données projet'!$A$36&gt;35,N30+M31-V30,IF(A31&lt;'Données projet'!$A$36,$K$205^A31,IF(A31='Données projet'!$A$36,'Données projet'!$B$36,N30+M31-V30)))</f>
        <v>253.45714285714288</v>
      </c>
      <c r="O31" s="13">
        <f>N31*VLOOKUP('Données projet'!$B$9,Paramètres!$A$1:$I$89,3,0)*VLOOKUP('Données projet'!$B$9,Paramètres!$A$1:$I$89,5,0)</f>
        <v>151.56737142857145</v>
      </c>
      <c r="P31" s="13">
        <f t="shared" si="33"/>
        <v>38.934560626064055</v>
      </c>
      <c r="Q31" s="20">
        <f t="shared" si="2"/>
        <v>331.79086499515682</v>
      </c>
      <c r="R31" s="59">
        <f t="shared" si="0"/>
        <v>622.67975388404568</v>
      </c>
      <c r="S31" s="59">
        <f ca="1">AVERAGE(OFFSET($R$3,0,0,'Données projet'!$E$9+1,1))-AVERAGE(OFFSET($H$3,0,0,'Données projet'!$E$9+1,1))</f>
        <v>287.52077437571728</v>
      </c>
      <c r="T31" s="59">
        <f t="shared" si="34"/>
        <v>420.95891230839874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2.0506164713595911</v>
      </c>
      <c r="AA31" s="21">
        <f>EXP(-LN(2)/25)*AA30+(1-EXP(-LN(2)/25))/(LN(2)/25)*Calculateur!V31*Calculateur!X31*VLOOKUP('Données projet'!$B$9,Paramètres!$A$1:$I$89,3,0)*0.475*44/12</f>
        <v>40.701670388842217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42.752286860201806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147.21567065005729</v>
      </c>
      <c r="AO31" s="59">
        <f t="shared" si="36"/>
        <v>332.2871246077637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65.479309422543636</v>
      </c>
      <c r="AV31" s="21">
        <f>EXP(-LN(2)/25)*AV30+(1-EXP(-LN(2)/25))/(LN(2)/25)*Calculateur!AQ31*Calculateur!AS31*VLOOKUP('Données projet'!$B$10,Paramètres!$A$1:$I$89,3,0)*0.475*44/12</f>
        <v>17.119015257073563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82.598324679617207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20.575714285714287</v>
      </c>
      <c r="N32" s="13">
        <f>IF('Données projet'!$A$36&gt;35,N31+M32-V31,IF(A32&lt;'Données projet'!$A$36,$K$205^A32,IF(A32='Données projet'!$A$36,'Données projet'!$B$36,N31+M32-V31)))</f>
        <v>274.03285714285715</v>
      </c>
      <c r="O32" s="13">
        <f>N32*VLOOKUP('Données projet'!$B$9,Paramètres!$A$1:$I$89,3,0)*VLOOKUP('Données projet'!$B$9,Paramètres!$A$1:$I$89,5,0)</f>
        <v>163.87164857142858</v>
      </c>
      <c r="P32" s="13">
        <f t="shared" si="33"/>
        <v>41.714557659402736</v>
      </c>
      <c r="Q32" s="20">
        <f t="shared" si="2"/>
        <v>358.06264251869788</v>
      </c>
      <c r="R32" s="59">
        <f t="shared" si="0"/>
        <v>650.17375362980897</v>
      </c>
      <c r="S32" s="59">
        <f ca="1">AVERAGE(OFFSET($R$3,0,0,'Données projet'!$E$9+1,1))-AVERAGE(OFFSET($H$3,0,0,'Données projet'!$E$9+1,1))</f>
        <v>287.52077437571728</v>
      </c>
      <c r="T32" s="59">
        <f t="shared" si="34"/>
        <v>420.95891230839874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2.0104051331087756</v>
      </c>
      <c r="AA32" s="21">
        <f>EXP(-LN(2)/25)*AA31+(1-EXP(-LN(2)/25))/(LN(2)/25)*Calculateur!V32*Calculateur!X32*VLOOKUP('Données projet'!$B$9,Paramètres!$A$1:$I$89,3,0)*0.475*44/12</f>
        <v>39.588681071651507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41.599086204760283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147.21567065005729</v>
      </c>
      <c r="AO32" s="59">
        <f t="shared" si="36"/>
        <v>332.2871246077637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64.195300103202712</v>
      </c>
      <c r="AV32" s="21">
        <f>EXP(-LN(2)/25)*AV31+(1-EXP(-LN(2)/25))/(LN(2)/25)*Calculateur!AQ32*Calculateur!AS32*VLOOKUP('Données projet'!$B$10,Paramètres!$A$1:$I$89,3,0)*0.475*44/12</f>
        <v>16.650894884618999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80.846194987821718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20.575714285714287</v>
      </c>
      <c r="N33" s="13">
        <f>IF('Données projet'!$A$36&gt;35,N32+M33-V32,IF(A33&lt;'Données projet'!$A$36,$K$205^A33,IF(A33='Données projet'!$A$36,'Données projet'!$B$36,N32+M33-V32)))</f>
        <v>294.60857142857145</v>
      </c>
      <c r="O33" s="13">
        <f>N33*VLOOKUP('Données projet'!$B$9,Paramètres!$A$1:$I$89,3,0)*VLOOKUP('Données projet'!$B$9,Paramètres!$A$1:$I$89,5,0)</f>
        <v>176.17592571428574</v>
      </c>
      <c r="P33" s="13">
        <f t="shared" si="33"/>
        <v>44.470339725943226</v>
      </c>
      <c r="Q33" s="20">
        <f t="shared" si="2"/>
        <v>384.29224564173211</v>
      </c>
      <c r="R33" s="59">
        <f t="shared" si="0"/>
        <v>677.62557897506542</v>
      </c>
      <c r="S33" s="59">
        <f ca="1">AVERAGE(OFFSET($R$3,0,0,'Données projet'!$E$9+1,1))-AVERAGE(OFFSET($H$3,0,0,'Données projet'!$E$9+1,1))</f>
        <v>287.52077437571728</v>
      </c>
      <c r="T33" s="59">
        <f t="shared" si="34"/>
        <v>420.95891230839874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1.970982314674564</v>
      </c>
      <c r="AA33" s="21">
        <f>EXP(-LN(2)/25)*AA32+(1-EXP(-LN(2)/25))/(LN(2)/25)*Calculateur!V33*Calculateur!X33*VLOOKUP('Données projet'!$B$9,Paramètres!$A$1:$I$89,3,0)*0.475*44/12</f>
        <v>38.506126505868941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40.477108820543506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147.21567065005729</v>
      </c>
      <c r="AO33" s="59">
        <f t="shared" si="36"/>
        <v>332.2871246077637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62.936469423445708</v>
      </c>
      <c r="AV33" s="21">
        <f>EXP(-LN(2)/25)*AV32+(1-EXP(-LN(2)/25))/(LN(2)/25)*Calculateur!AQ33*Calculateur!AS33*VLOOKUP('Données projet'!$B$10,Paramètres!$A$1:$I$89,3,0)*0.475*44/12</f>
        <v>16.195575288366587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79.132044711812298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20.575714285714287</v>
      </c>
      <c r="N34" s="13">
        <f>IF('Données projet'!$A$36&gt;35,N33+M34-V33,IF(A34&lt;'Données projet'!$A$36,$K$205^A34,IF(A34='Données projet'!$A$36,'Données projet'!$B$36,N33+M34-V33)))</f>
        <v>315.18428571428575</v>
      </c>
      <c r="O34" s="13">
        <f>N34*VLOOKUP('Données projet'!$B$9,Paramètres!$A$1:$I$89,3,0)*VLOOKUP('Données projet'!$B$9,Paramètres!$A$1:$I$89,5,0)</f>
        <v>188.4802028571429</v>
      </c>
      <c r="P34" s="13">
        <f t="shared" si="33"/>
        <v>47.203790390431891</v>
      </c>
      <c r="Q34" s="20">
        <f t="shared" si="2"/>
        <v>410.48295490619279</v>
      </c>
      <c r="R34" s="59">
        <f t="shared" si="0"/>
        <v>703.8162882395261</v>
      </c>
      <c r="S34" s="59">
        <f ca="1">AVERAGE(OFFSET($R$3,0,0,'Données projet'!$E$9+1,1))-AVERAGE(OFFSET($H$3,0,0,'Données projet'!$E$9+1,1))</f>
        <v>287.52077437571728</v>
      </c>
      <c r="T34" s="59">
        <f t="shared" si="34"/>
        <v>420.95891230839874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1.9323325536643023</v>
      </c>
      <c r="AA34" s="21">
        <f>EXP(-LN(2)/25)*AA33+(1-EXP(-LN(2)/25))/(LN(2)/25)*Calculateur!V34*Calculateur!X34*VLOOKUP('Données projet'!$B$9,Paramètres!$A$1:$I$89,3,0)*0.475*44/12</f>
        <v>37.453174451616768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39.38550700528107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147.21567065005729</v>
      </c>
      <c r="AO34" s="59">
        <f t="shared" si="36"/>
        <v>332.2871246077637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61.702323645507839</v>
      </c>
      <c r="AV34" s="21">
        <f>EXP(-LN(2)/25)*AV33+(1-EXP(-LN(2)/25))/(LN(2)/25)*Calculateur!AQ34*Calculateur!AS34*VLOOKUP('Données projet'!$B$10,Paramètres!$A$1:$I$89,3,0)*0.475*44/12</f>
        <v>15.752706430417915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77.455030075925748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20.575714285714287</v>
      </c>
      <c r="M35" s="12">
        <f t="array" ref="M35">INDEX(L:L,MIN(IF(ISNUMBER(L35:L231),ROW(L35:L231),"")))</f>
        <v>20.575714285714287</v>
      </c>
      <c r="N35" s="13">
        <f>IF('Données projet'!$A$36&gt;35,N34+M35-V34,IF(A35&lt;'Données projet'!$A$36,$K$205^A35,IF(A35='Données projet'!$A$36,'Données projet'!$B$36,N34+M35-V34)))</f>
        <v>335.76000000000005</v>
      </c>
      <c r="O35" s="13">
        <f>N35*VLOOKUP('Données projet'!$B$9,Paramètres!$A$1:$I$89,3,0)*VLOOKUP('Données projet'!$B$9,Paramètres!$A$1:$I$89,5,0)</f>
        <v>200.78448000000006</v>
      </c>
      <c r="P35" s="13">
        <f t="shared" si="33"/>
        <v>49.916533385625819</v>
      </c>
      <c r="Q35" s="20">
        <f t="shared" ref="Q35:Q66" si="53">(O35+P35)*0.475*44/12</f>
        <v>436.63759831329838</v>
      </c>
      <c r="R35" s="59">
        <f t="shared" si="0"/>
        <v>729.9709316466317</v>
      </c>
      <c r="S35" s="59">
        <f ca="1">AVERAGE(OFFSET($R$3,0,0,'Données projet'!$E$9+1,1))-AVERAGE(OFFSET($H$3,0,0,'Données projet'!$E$9+1,1))</f>
        <v>287.52077437571728</v>
      </c>
      <c r="T35" s="59">
        <f t="shared" si="34"/>
        <v>420.95891230839874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0.13500000000000001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10.078529666318422</v>
      </c>
      <c r="AA35" s="21">
        <f>EXP(-LN(2)/25)*AA34+(1-EXP(-LN(2)/25))/(LN(2)/25)*Calculateur!V35*Calculateur!X35*VLOOKUP('Données projet'!$B$9,Paramètres!$A$1:$I$89,3,0)*0.475*44/12</f>
        <v>50.015457257904416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60.09398692422284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147.21567065005729</v>
      </c>
      <c r="AO35" s="59">
        <f t="shared" si="36"/>
        <v>332.2871246077637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60.492378713520736</v>
      </c>
      <c r="AV35" s="21">
        <f>EXP(-LN(2)/25)*AV34+(1-EXP(-LN(2)/25))/(LN(2)/25)*Calculateur!AQ35*Calculateur!AS35*VLOOKUP('Données projet'!$B$10,Paramètres!$A$1:$I$89,3,0)*0.475*44/12</f>
        <v>15.321947844679309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75.814326558200051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18.811538461538461</v>
      </c>
      <c r="N36" s="13">
        <f>IF('Données projet'!$A$36&gt;35,N35+M36-V35,IF(A36&lt;'Données projet'!$A$36,$K$205^A36,IF(A36='Données projet'!$A$36,'Données projet'!$B$36,N35+M36-V35)))</f>
        <v>278.15153846153851</v>
      </c>
      <c r="O36" s="13">
        <f>N36*VLOOKUP('Données projet'!$B$9,Paramètres!$A$1:$I$89,3,0)*VLOOKUP('Données projet'!$B$9,Paramètres!$A$1:$I$89,5,0)</f>
        <v>166.33462000000006</v>
      </c>
      <c r="P36" s="13">
        <f t="shared" si="33"/>
        <v>42.26806189712719</v>
      </c>
      <c r="Q36" s="20">
        <f t="shared" si="53"/>
        <v>363.31633763749659</v>
      </c>
      <c r="R36" s="59">
        <f t="shared" si="0"/>
        <v>656.6496709708299</v>
      </c>
      <c r="S36" s="59">
        <f ca="1">AVERAGE(OFFSET($R$3,0,0,'Données projet'!$E$9+1,1))-AVERAGE(OFFSET($H$3,0,0,'Données projet'!$E$9+1,1))</f>
        <v>287.52077437571728</v>
      </c>
      <c r="T36" s="59">
        <f t="shared" si="34"/>
        <v>420.95891230839874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9.880895846858019</v>
      </c>
      <c r="AA36" s="21">
        <f>EXP(-LN(2)/25)*AA35+(1-EXP(-LN(2)/25))/(LN(2)/25)*Calculateur!V36*Calculateur!X36*VLOOKUP('Données projet'!$B$9,Paramètres!$A$1:$I$89,3,0)*0.475*44/12</f>
        <v>48.647781948988431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58.528677795846448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147.21567065005729</v>
      </c>
      <c r="AO36" s="59">
        <f t="shared" si="36"/>
        <v>332.2871246077637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59.306160063656364</v>
      </c>
      <c r="AV36" s="21">
        <f>EXP(-LN(2)/25)*AV35+(1-EXP(-LN(2)/25))/(LN(2)/25)*Calculateur!AQ36*Calculateur!AS36*VLOOKUP('Données projet'!$B$10,Paramètres!$A$1:$I$89,3,0)*0.475*44/12</f>
        <v>14.902968375120336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74.209128438776702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18.811538461538461</v>
      </c>
      <c r="N37" s="13">
        <f>IF('Données projet'!$A$36&gt;35,N36+M37-V36,IF(A37&lt;'Données projet'!$A$36,$K$205^A37,IF(A37='Données projet'!$A$36,'Données projet'!$B$36,N36+M37-V36)))</f>
        <v>296.96307692307698</v>
      </c>
      <c r="O37" s="13">
        <f>N37*VLOOKUP('Données projet'!$B$9,Paramètres!$A$1:$I$89,3,0)*VLOOKUP('Données projet'!$B$9,Paramètres!$A$1:$I$89,5,0)</f>
        <v>177.58392000000006</v>
      </c>
      <c r="P37" s="13">
        <f t="shared" si="33"/>
        <v>44.784230847088935</v>
      </c>
      <c r="Q37" s="20">
        <f t="shared" si="53"/>
        <v>387.29119605868004</v>
      </c>
      <c r="R37" s="59">
        <f t="shared" si="0"/>
        <v>680.6245293920133</v>
      </c>
      <c r="S37" s="59">
        <f ca="1">AVERAGE(OFFSET($R$3,0,0,'Données projet'!$E$9+1,1))-AVERAGE(OFFSET($H$3,0,0,'Données projet'!$E$9+1,1))</f>
        <v>287.52077437571728</v>
      </c>
      <c r="T37" s="59">
        <f t="shared" si="34"/>
        <v>420.95891230839874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9.6871375060525082</v>
      </c>
      <c r="AA37" s="21">
        <f>EXP(-LN(2)/25)*AA36+(1-EXP(-LN(2)/25))/(LN(2)/25)*Calculateur!V37*Calculateur!X37*VLOOKUP('Données projet'!$B$9,Paramètres!$A$1:$I$89,3,0)*0.475*44/12</f>
        <v>47.317505793317679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57.004643299370187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147.21567065005729</v>
      </c>
      <c r="AO37" s="59">
        <f t="shared" si="36"/>
        <v>332.2871246077637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58.143202437993899</v>
      </c>
      <c r="AV37" s="21">
        <f>EXP(-LN(2)/25)*AV36+(1-EXP(-LN(2)/25))/(LN(2)/25)*Calculateur!AQ37*Calculateur!AS37*VLOOKUP('Données projet'!$B$10,Paramètres!$A$1:$I$89,3,0)*0.475*44/12</f>
        <v>14.495445921189624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72.63864835918352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18.811538461538461</v>
      </c>
      <c r="N38" s="13">
        <f>IF('Données projet'!$A$36&gt;35,N37+M38-V37,IF(A38&lt;'Données projet'!$A$36,$K$205^A38,IF(A38='Données projet'!$A$36,'Données projet'!$B$36,N37+M38-V37)))</f>
        <v>315.77461538461546</v>
      </c>
      <c r="O38" s="13">
        <f>N38*VLOOKUP('Données projet'!$B$9,Paramètres!$A$1:$I$89,3,0)*VLOOKUP('Données projet'!$B$9,Paramètres!$A$1:$I$89,5,0)</f>
        <v>188.83322000000004</v>
      </c>
      <c r="P38" s="13">
        <f t="shared" si="33"/>
        <v>47.281901952869688</v>
      </c>
      <c r="Q38" s="20">
        <f t="shared" si="53"/>
        <v>411.23383740124814</v>
      </c>
      <c r="R38" s="59">
        <f t="shared" si="0"/>
        <v>704.5671707345814</v>
      </c>
      <c r="S38" s="59">
        <f ca="1">AVERAGE(OFFSET($R$3,0,0,'Données projet'!$E$9+1,1))-AVERAGE(OFFSET($H$3,0,0,'Données projet'!$E$9+1,1))</f>
        <v>287.52077437571728</v>
      </c>
      <c r="T38" s="59">
        <f t="shared" si="34"/>
        <v>420.95891230839874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9.4971786481292746</v>
      </c>
      <c r="AA38" s="21">
        <f>EXP(-LN(2)/25)*AA37+(1-EXP(-LN(2)/25))/(LN(2)/25)*Calculateur!V38*Calculateur!X38*VLOOKUP('Données projet'!$B$9,Paramètres!$A$1:$I$89,3,0)*0.475*44/12</f>
        <v>46.023606109079921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55.520784757209199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147.21567065005729</v>
      </c>
      <c r="AO38" s="59">
        <f t="shared" si="36"/>
        <v>332.2871246077637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57.003049702036563</v>
      </c>
      <c r="AV38" s="21">
        <f>EXP(-LN(2)/25)*AV37+(1-EXP(-LN(2)/25))/(LN(2)/25)*Calculateur!AQ38*Calculateur!AS38*VLOOKUP('Données projet'!$B$10,Paramètres!$A$1:$I$89,3,0)*0.475*44/12</f>
        <v>14.099067190192322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71.102116892228878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18.811538461538461</v>
      </c>
      <c r="N39" s="13">
        <f>IF('Données projet'!$A$36&gt;35,N38+M39-V38,IF(A39&lt;'Données projet'!$A$36,$K$205^A39,IF(A39='Données projet'!$A$36,'Données projet'!$B$36,N38+M39-V38)))</f>
        <v>334.58615384615393</v>
      </c>
      <c r="O39" s="13">
        <f>N39*VLOOKUP('Données projet'!$B$9,Paramètres!$A$1:$I$89,3,0)*VLOOKUP('Données projet'!$B$9,Paramètres!$A$1:$I$89,5,0)</f>
        <v>200.08252000000007</v>
      </c>
      <c r="P39" s="13">
        <f t="shared" si="33"/>
        <v>49.762302688326976</v>
      </c>
      <c r="Q39" s="20">
        <f t="shared" si="53"/>
        <v>435.14639951550294</v>
      </c>
      <c r="R39" s="59">
        <f t="shared" si="0"/>
        <v>728.47973284883619</v>
      </c>
      <c r="S39" s="59">
        <f ca="1">AVERAGE(OFFSET($R$3,0,0,'Données projet'!$E$9+1,1))-AVERAGE(OFFSET($H$3,0,0,'Données projet'!$E$9+1,1))</f>
        <v>287.52077437571728</v>
      </c>
      <c r="T39" s="59">
        <f t="shared" si="34"/>
        <v>420.95891230839874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9.3109447675464523</v>
      </c>
      <c r="AA39" s="21">
        <f>EXP(-LN(2)/25)*AA38+(1-EXP(-LN(2)/25))/(LN(2)/25)*Calculateur!V39*Calculateur!X39*VLOOKUP('Données projet'!$B$9,Paramètres!$A$1:$I$89,3,0)*0.475*44/12</f>
        <v>44.765088179750876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54.076032947297328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147.21567065005729</v>
      </c>
      <c r="AO39" s="59">
        <f t="shared" si="36"/>
        <v>332.2871246077637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55.885254665806848</v>
      </c>
      <c r="AV39" s="21">
        <f>EXP(-LN(2)/25)*AV38+(1-EXP(-LN(2)/25))/(LN(2)/25)*Calculateur!AQ39*Calculateur!AS39*VLOOKUP('Données projet'!$B$10,Paramètres!$A$1:$I$89,3,0)*0.475*44/12</f>
        <v>13.713527456438793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69.598782122245638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18.811538461538461</v>
      </c>
      <c r="N40" s="13">
        <f>IF('Données projet'!$A$36&gt;35,N39+M40-V39,IF(A40&lt;'Données projet'!$A$36,$K$205^A40,IF(A40='Données projet'!$A$36,'Données projet'!$B$36,N39+M40-V39)))</f>
        <v>353.39769230769241</v>
      </c>
      <c r="O40" s="13">
        <f>N40*VLOOKUP('Données projet'!$B$9,Paramètres!$A$1:$I$89,3,0)*VLOOKUP('Données projet'!$B$9,Paramètres!$A$1:$I$89,5,0)</f>
        <v>211.33182000000008</v>
      </c>
      <c r="P40" s="13">
        <f t="shared" si="33"/>
        <v>52.226514706347821</v>
      </c>
      <c r="Q40" s="20">
        <f t="shared" si="53"/>
        <v>459.03076628022262</v>
      </c>
      <c r="R40" s="59">
        <f t="shared" si="0"/>
        <v>752.36409961355594</v>
      </c>
      <c r="S40" s="59">
        <f ca="1">AVERAGE(OFFSET($R$3,0,0,'Données projet'!$E$9+1,1))-AVERAGE(OFFSET($H$3,0,0,'Données projet'!$E$9+1,1))</f>
        <v>287.52077437571728</v>
      </c>
      <c r="T40" s="59">
        <f t="shared" si="34"/>
        <v>420.95891230839874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9.128362819770409</v>
      </c>
      <c r="AA40" s="21">
        <f>EXP(-LN(2)/25)*AA39+(1-EXP(-LN(2)/25))/(LN(2)/25)*Calculateur!V40*Calculateur!X40*VLOOKUP('Données projet'!$B$9,Paramètres!$A$1:$I$89,3,0)*0.475*44/12</f>
        <v>43.540984489381913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52.669347309152322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147.21567065005729</v>
      </c>
      <c r="AO40" s="59">
        <f t="shared" si="36"/>
        <v>332.2871246077637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54.789378908449947</v>
      </c>
      <c r="AV40" s="21">
        <f>EXP(-LN(2)/25)*AV39+(1-EXP(-LN(2)/25))/(LN(2)/25)*Calculateur!AQ40*Calculateur!AS40*VLOOKUP('Données projet'!$B$10,Paramètres!$A$1:$I$89,3,0)*0.475*44/12</f>
        <v>13.338530326979408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68.127909235429357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18.811538461538461</v>
      </c>
      <c r="N41" s="13">
        <f>IF('Données projet'!$A$36&gt;35,N40+M41-V40,IF(A41&lt;'Données projet'!$A$36,$K$205^A41,IF(A41='Données projet'!$A$36,'Données projet'!$B$36,N40+M41-V40)))</f>
        <v>372.20923076923089</v>
      </c>
      <c r="O41" s="13">
        <f>N41*VLOOKUP('Données projet'!$B$9,Paramètres!$A$1:$I$89,3,0)*VLOOKUP('Données projet'!$B$9,Paramètres!$A$1:$I$89,5,0)</f>
        <v>222.58112000000008</v>
      </c>
      <c r="P41" s="13">
        <f t="shared" si="33"/>
        <v>54.675498002213622</v>
      </c>
      <c r="Q41" s="20">
        <f t="shared" si="53"/>
        <v>482.88860968718888</v>
      </c>
      <c r="R41" s="59">
        <f t="shared" si="0"/>
        <v>776.22194302052219</v>
      </c>
      <c r="S41" s="59">
        <f ca="1">AVERAGE(OFFSET($R$3,0,0,'Données projet'!$E$9+1,1))-AVERAGE(OFFSET($H$3,0,0,'Données projet'!$E$9+1,1))</f>
        <v>287.52077437571728</v>
      </c>
      <c r="T41" s="59">
        <f t="shared" si="34"/>
        <v>420.95891230839874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8.9493611926262613</v>
      </c>
      <c r="AA41" s="21">
        <f>EXP(-LN(2)/25)*AA40+(1-EXP(-LN(2)/25))/(LN(2)/25)*Calculateur!V41*Calculateur!X41*VLOOKUP('Données projet'!$B$9,Paramètres!$A$1:$I$89,3,0)*0.475*44/12</f>
        <v>42.350353978798907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51.29971517142517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147.21567065005729</v>
      </c>
      <c r="AO41" s="59">
        <f t="shared" si="36"/>
        <v>332.2871246077637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53.714992606276603</v>
      </c>
      <c r="AV41" s="21">
        <f>EXP(-LN(2)/25)*AV40+(1-EXP(-LN(2)/25))/(LN(2)/25)*Calculateur!AQ41*Calculateur!AS41*VLOOKUP('Données projet'!$B$10,Paramètres!$A$1:$I$89,3,0)*0.475*44/12</f>
        <v>12.973787513745332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66.688780120021931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18.811538461538461</v>
      </c>
      <c r="N42" s="13">
        <f>IF('Données projet'!$A$36&gt;35,N41+M42-V41,IF(A42&lt;'Données projet'!$A$36,$K$205^A42,IF(A42='Données projet'!$A$36,'Données projet'!$B$36,N41+M42-V41)))</f>
        <v>391.02076923076936</v>
      </c>
      <c r="O42" s="13">
        <f>N42*VLOOKUP('Données projet'!$B$9,Paramètres!$A$1:$I$89,3,0)*VLOOKUP('Données projet'!$B$9,Paramètres!$A$1:$I$89,5,0)</f>
        <v>233.83042000000009</v>
      </c>
      <c r="P42" s="13">
        <f t="shared" si="33"/>
        <v>57.11011005315418</v>
      </c>
      <c r="Q42" s="20">
        <f t="shared" si="53"/>
        <v>506.72142317591027</v>
      </c>
      <c r="R42" s="59">
        <f t="shared" si="0"/>
        <v>800.05475650924359</v>
      </c>
      <c r="S42" s="59">
        <f ca="1">AVERAGE(OFFSET($R$3,0,0,'Données projet'!$E$9+1,1))-AVERAGE(OFFSET($H$3,0,0,'Données projet'!$E$9+1,1))</f>
        <v>287.52077437571728</v>
      </c>
      <c r="T42" s="59">
        <f t="shared" si="34"/>
        <v>420.95891230839874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8.7738696782101986</v>
      </c>
      <c r="AA42" s="21">
        <f>EXP(-LN(2)/25)*AA41+(1-EXP(-LN(2)/25))/(LN(2)/25)*Calculateur!V42*Calculateur!X42*VLOOKUP('Données projet'!$B$9,Paramètres!$A$1:$I$89,3,0)*0.475*44/12</f>
        <v>41.192281322140332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49.966151000350528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147.21567065005729</v>
      </c>
      <c r="AO42" s="59">
        <f t="shared" si="36"/>
        <v>332.2871246077637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52.661674364177941</v>
      </c>
      <c r="AV42" s="21">
        <f>EXP(-LN(2)/25)*AV41+(1-EXP(-LN(2)/25))/(LN(2)/25)*Calculateur!AQ42*Calculateur!AS42*VLOOKUP('Données projet'!$B$10,Paramètres!$A$1:$I$89,3,0)*0.475*44/12</f>
        <v>12.619018611920133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65.280692976098067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18.811538461538461</v>
      </c>
      <c r="N43" s="13">
        <f>IF('Données projet'!$A$36&gt;35,N42+M43-V42,IF(A43&lt;'Données projet'!$A$36,$K$205^A43,IF(A43='Données projet'!$A$36,'Données projet'!$B$36,N42+M43-V42)))</f>
        <v>409.83230769230784</v>
      </c>
      <c r="O43" s="13">
        <f>N43*VLOOKUP('Données projet'!$B$9,Paramètres!$A$1:$I$89,3,0)*VLOOKUP('Données projet'!$B$9,Paramètres!$A$1:$I$89,5,0)</f>
        <v>245.07972000000012</v>
      </c>
      <c r="P43" s="13">
        <f t="shared" si="33"/>
        <v>59.531121170362454</v>
      </c>
      <c r="Q43" s="20">
        <f t="shared" si="53"/>
        <v>530.53054837171476</v>
      </c>
      <c r="R43" s="59">
        <f t="shared" si="0"/>
        <v>823.86388170504802</v>
      </c>
      <c r="S43" s="59">
        <f ca="1">AVERAGE(OFFSET($R$3,0,0,'Données projet'!$E$9+1,1))-AVERAGE(OFFSET($H$3,0,0,'Données projet'!$E$9+1,1))</f>
        <v>287.52077437571728</v>
      </c>
      <c r="T43" s="59">
        <f t="shared" si="34"/>
        <v>420.95891230839874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8.6018194453525805</v>
      </c>
      <c r="AA43" s="21">
        <f>EXP(-LN(2)/25)*AA42+(1-EXP(-LN(2)/25))/(LN(2)/25)*Calculateur!V43*Calculateur!X43*VLOOKUP('Données projet'!$B$9,Paramètres!$A$1:$I$89,3,0)*0.475*44/12</f>
        <v>40.065876223178478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48.66769566853106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147.21567065005729</v>
      </c>
      <c r="AO43" s="59">
        <f t="shared" si="36"/>
        <v>332.2871246077637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51.629011050346143</v>
      </c>
      <c r="AV43" s="21">
        <f>EXP(-LN(2)/25)*AV42+(1-EXP(-LN(2)/25))/(LN(2)/25)*Calculateur!AQ43*Calculateur!AS43*VLOOKUP('Données projet'!$B$10,Paramètres!$A$1:$I$89,3,0)*0.475*44/12</f>
        <v>12.273950884371828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63.902961934717972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18.811538461538461</v>
      </c>
      <c r="N44" s="13">
        <f>IF('Données projet'!$A$36&gt;35,N43+M44-V43,IF(A44&lt;'Données projet'!$A$36,$K$205^A44,IF(A44='Données projet'!$A$36,'Données projet'!$B$36,N43+M44-V43)))</f>
        <v>428.64384615384631</v>
      </c>
      <c r="O44" s="13">
        <f>N44*VLOOKUP('Données projet'!$B$9,Paramètres!$A$1:$I$89,3,0)*VLOOKUP('Données projet'!$B$9,Paramètres!$A$1:$I$89,5,0)</f>
        <v>256.32902000000013</v>
      </c>
      <c r="P44" s="13">
        <f t="shared" si="33"/>
        <v>61.939226952630833</v>
      </c>
      <c r="Q44" s="20">
        <f t="shared" si="53"/>
        <v>554.31719677583226</v>
      </c>
      <c r="R44" s="59">
        <f t="shared" si="0"/>
        <v>847.65053010916563</v>
      </c>
      <c r="S44" s="59">
        <f ca="1">AVERAGE(OFFSET($R$3,0,0,'Données projet'!$E$9+1,1))-AVERAGE(OFFSET($H$3,0,0,'Données projet'!$E$9+1,1))</f>
        <v>287.52077437571728</v>
      </c>
      <c r="T44" s="59">
        <f t="shared" si="34"/>
        <v>420.95891230839874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8.4331430126210201</v>
      </c>
      <c r="AA44" s="21">
        <f>EXP(-LN(2)/25)*AA43+(1-EXP(-LN(2)/25))/(LN(2)/25)*Calculateur!V44*Calculateur!X44*VLOOKUP('Données projet'!$B$9,Paramètres!$A$1:$I$89,3,0)*0.475*44/12</f>
        <v>38.970272730882805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47.403415743503828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147.21567065005729</v>
      </c>
      <c r="AO44" s="59">
        <f t="shared" si="36"/>
        <v>332.2871246077637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50.616597634236157</v>
      </c>
      <c r="AV44" s="21">
        <f>EXP(-LN(2)/25)*AV43+(1-EXP(-LN(2)/25))/(LN(2)/25)*Calculateur!AQ44*Calculateur!AS44*VLOOKUP('Données projet'!$B$10,Paramètres!$A$1:$I$89,3,0)*0.475*44/12</f>
        <v>11.938319051979656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62.554916686215812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18.811538461538461</v>
      </c>
      <c r="N45" s="13">
        <f>IF('Données projet'!$A$36&gt;35,N44+M45-V44,IF(A45&lt;'Données projet'!$A$36,$K$205^A45,IF(A45='Données projet'!$A$36,'Données projet'!$B$36,N44+M45-V44)))</f>
        <v>447.45538461538479</v>
      </c>
      <c r="O45" s="13">
        <f>N45*VLOOKUP('Données projet'!$B$9,Paramètres!$A$1:$I$89,3,0)*VLOOKUP('Données projet'!$B$9,Paramètres!$A$1:$I$89,5,0)</f>
        <v>267.57832000000013</v>
      </c>
      <c r="P45" s="13">
        <f t="shared" si="33"/>
        <v>64.335058492109823</v>
      </c>
      <c r="Q45" s="20">
        <f t="shared" si="53"/>
        <v>578.08246754042477</v>
      </c>
      <c r="R45" s="59">
        <f t="shared" si="0"/>
        <v>871.41580087375814</v>
      </c>
      <c r="S45" s="59">
        <f ca="1">AVERAGE(OFFSET($R$3,0,0,'Données projet'!$E$9+1,1))-AVERAGE(OFFSET($H$3,0,0,'Données projet'!$E$9+1,1))</f>
        <v>287.52077437571728</v>
      </c>
      <c r="T45" s="59">
        <f t="shared" si="34"/>
        <v>420.95891230839874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8.2677742218528607</v>
      </c>
      <c r="AA45" s="21">
        <f>EXP(-LN(2)/25)*AA44+(1-EXP(-LN(2)/25))/(LN(2)/25)*Calculateur!V45*Calculateur!X45*VLOOKUP('Données projet'!$B$9,Paramètres!$A$1:$I$89,3,0)*0.475*44/12</f>
        <v>37.904628573699242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46.172402795552102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147.21567065005729</v>
      </c>
      <c r="AO45" s="59">
        <f t="shared" si="36"/>
        <v>332.2871246077637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49.62403702770488</v>
      </c>
      <c r="AV45" s="21">
        <f>EXP(-LN(2)/25)*AV44+(1-EXP(-LN(2)/25))/(LN(2)/25)*Calculateur!AQ45*Calculateur!AS45*VLOOKUP('Données projet'!$B$10,Paramètres!$A$1:$I$89,3,0)*0.475*44/12</f>
        <v>11.611865089694358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61.235902117399235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18.811538461538461</v>
      </c>
      <c r="N46" s="13">
        <f>IF('Données projet'!$A$36&gt;35,N45+M46-V45,IF(A46&lt;'Données projet'!$A$36,$K$205^A46,IF(A46='Données projet'!$A$36,'Données projet'!$B$36,N45+M46-V45)))</f>
        <v>466.26692307692326</v>
      </c>
      <c r="O46" s="13">
        <f>N46*VLOOKUP('Données projet'!$B$9,Paramètres!$A$1:$I$89,3,0)*VLOOKUP('Données projet'!$B$9,Paramètres!$A$1:$I$89,5,0)</f>
        <v>278.82762000000014</v>
      </c>
      <c r="P46" s="13">
        <f t="shared" si="33"/>
        <v>66.719190815445643</v>
      </c>
      <c r="Q46" s="20">
        <f t="shared" si="53"/>
        <v>601.82736217023478</v>
      </c>
      <c r="R46" s="59">
        <f t="shared" si="0"/>
        <v>895.16069550356815</v>
      </c>
      <c r="S46" s="59">
        <f ca="1">AVERAGE(OFFSET($R$3,0,0,'Données projet'!$E$9+1,1))-AVERAGE(OFFSET($H$3,0,0,'Données projet'!$E$9+1,1))</f>
        <v>287.52077437571728</v>
      </c>
      <c r="T46" s="59">
        <f t="shared" si="34"/>
        <v>420.95891230839874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8.1056482122066615</v>
      </c>
      <c r="AA46" s="21">
        <f>EXP(-LN(2)/25)*AA45+(1-EXP(-LN(2)/25))/(LN(2)/25)*Calculateur!V46*Calculateur!X46*VLOOKUP('Données projet'!$B$9,Paramètres!$A$1:$I$89,3,0)*0.475*44/12</f>
        <v>36.868124512033653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44.973772724240312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147.21567065005729</v>
      </c>
      <c r="AO46" s="59">
        <f t="shared" si="36"/>
        <v>332.2871246077637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48.65093992926549</v>
      </c>
      <c r="AV46" s="21">
        <f>EXP(-LN(2)/25)*AV45+(1-EXP(-LN(2)/25))/(LN(2)/25)*Calculateur!AQ46*Calculateur!AS46*VLOOKUP('Données projet'!$B$10,Paramètres!$A$1:$I$89,3,0)*0.475*44/12</f>
        <v>11.29433802817522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59.945277957440709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18.811538461538461</v>
      </c>
      <c r="N47" s="13">
        <f>IF('Données projet'!$A$36&gt;35,N46+M47-V46,IF(A47&lt;'Données projet'!$A$36,$K$205^A47,IF(A47='Données projet'!$A$36,'Données projet'!$B$36,N46+M47-V46)))</f>
        <v>485.07846153846174</v>
      </c>
      <c r="O47" s="13">
        <f>N47*VLOOKUP('Données projet'!$B$9,Paramètres!$A$1:$I$89,3,0)*VLOOKUP('Données projet'!$B$9,Paramètres!$A$1:$I$89,5,0)</f>
        <v>290.07692000000014</v>
      </c>
      <c r="P47" s="13">
        <f t="shared" si="33"/>
        <v>69.092149924334223</v>
      </c>
      <c r="Q47" s="20">
        <f t="shared" si="53"/>
        <v>625.55279678488239</v>
      </c>
      <c r="R47" s="59">
        <f t="shared" si="0"/>
        <v>918.88613011821576</v>
      </c>
      <c r="S47" s="59">
        <f ca="1">AVERAGE(OFFSET($R$3,0,0,'Données projet'!$E$9+1,1))-AVERAGE(OFFSET($H$3,0,0,'Données projet'!$E$9+1,1))</f>
        <v>287.52077437571728</v>
      </c>
      <c r="T47" s="59">
        <f t="shared" si="34"/>
        <v>420.95891230839874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7.9467013947225231</v>
      </c>
      <c r="AA47" s="21">
        <f>EXP(-LN(2)/25)*AA46+(1-EXP(-LN(2)/25))/(LN(2)/25)*Calculateur!V47*Calculateur!X47*VLOOKUP('Données projet'!$B$9,Paramètres!$A$1:$I$89,3,0)*0.475*44/12</f>
        <v>35.85996370844169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43.806665103164214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147.21567065005729</v>
      </c>
      <c r="AO47" s="59">
        <f t="shared" si="36"/>
        <v>332.2871246077637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47.69692467139587</v>
      </c>
      <c r="AV47" s="21">
        <f>EXP(-LN(2)/25)*AV46+(1-EXP(-LN(2)/25))/(LN(2)/25)*Calculateur!AQ47*Calculateur!AS47*VLOOKUP('Données projet'!$B$10,Paramètres!$A$1:$I$89,3,0)*0.475*44/12</f>
        <v>10.985493760851345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58.682418432247218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18.811538461538461</v>
      </c>
      <c r="M48" s="12">
        <f t="array" ref="M48">INDEX(L:L,MIN(IF(ISNUMBER(L48:L244),ROW(L48:L244),"")))</f>
        <v>18.811538461538461</v>
      </c>
      <c r="N48" s="13">
        <f>IF('Données projet'!$A$36&gt;35,N47+M48-V47,IF(A48&lt;'Données projet'!$A$36,$K$205^A48,IF(A48='Données projet'!$A$36,'Données projet'!$B$36,N47+M48-V47)))</f>
        <v>503.89000000000021</v>
      </c>
      <c r="O48" s="13">
        <f>N48*VLOOKUP('Données projet'!$B$9,Paramètres!$A$1:$I$89,3,0)*VLOOKUP('Données projet'!$B$9,Paramètres!$A$1:$I$89,5,0)</f>
        <v>301.32622000000015</v>
      </c>
      <c r="P48" s="13">
        <f t="shared" si="33"/>
        <v>71.45441871320989</v>
      </c>
      <c r="Q48" s="20">
        <f t="shared" si="53"/>
        <v>649.25961242550738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287.52077437571728</v>
      </c>
      <c r="T48" s="59">
        <f t="shared" si="34"/>
        <v>420.95891230839874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0.13500000000000001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61.754239574815209</v>
      </c>
      <c r="AA48" s="21">
        <f>EXP(-LN(2)/25)*AA47+(1-EXP(-LN(2)/25))/(LN(2)/25)*Calculateur!V48*Calculateur!X48*VLOOKUP('Données projet'!$B$9,Paramètres!$A$1:$I$89,3,0)*0.475*44/12</f>
        <v>124.46419412401119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186.2184336988264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147.21567065005729</v>
      </c>
      <c r="AO48" s="59">
        <f t="shared" si="36"/>
        <v>332.2871246077637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46.761617070841226</v>
      </c>
      <c r="AV48" s="21">
        <f>EXP(-LN(2)/25)*AV47+(1-EXP(-LN(2)/25))/(LN(2)/25)*Calculateur!AQ48*Calculateur!AS48*VLOOKUP('Données projet'!$B$10,Paramètres!$A$1:$I$89,3,0)*0.475*44/12</f>
        <v>10.685094856258855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57.446711927100083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287.52077437571728</v>
      </c>
      <c r="T49" s="59">
        <f t="shared" si="34"/>
        <v>420.95891230839874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60.543276603119978</v>
      </c>
      <c r="AA49" s="21">
        <f>EXP(-LN(2)/25)*AA48+(1-EXP(-LN(2)/25))/(LN(2)/25)*Calculateur!V49*Calculateur!X49*VLOOKUP('Données projet'!$B$9,Paramètres!$A$1:$I$89,3,0)*0.475*44/12</f>
        <v>121.06071419040259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181.60399079352257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147.21567065005729</v>
      </c>
      <c r="AO49" s="59">
        <f t="shared" si="36"/>
        <v>332.2871246077637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45.844650281852154</v>
      </c>
      <c r="AV49" s="21">
        <f>EXP(-LN(2)/25)*AV48+(1-EXP(-LN(2)/25))/(LN(2)/25)*Calculateur!AQ49*Calculateur!AS49*VLOOKUP('Données projet'!$B$10,Paramètres!$A$1:$I$89,3,0)*0.475*44/12</f>
        <v>10.392910375509739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56.237560657361897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287.52077437571728</v>
      </c>
      <c r="T50" s="59">
        <f t="shared" si="34"/>
        <v>420.95891230839874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59.356059876685208</v>
      </c>
      <c r="AA50" s="21">
        <f>EXP(-LN(2)/25)*AA49+(1-EXP(-LN(2)/25))/(LN(2)/25)*Calculateur!V50*Calculateur!X50*VLOOKUP('Données projet'!$B$9,Paramètres!$A$1:$I$89,3,0)*0.475*44/12</f>
        <v>117.75030259455976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177.10636247124495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147.21567065005729</v>
      </c>
      <c r="AO50" s="59">
        <f t="shared" si="36"/>
        <v>332.2871246077637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44.945664652300643</v>
      </c>
      <c r="AV50" s="21">
        <f>EXP(-LN(2)/25)*AV49+(1-EXP(-LN(2)/25))/(LN(2)/25)*Calculateur!AQ50*Calculateur!AS50*VLOOKUP('Données projet'!$B$10,Paramètres!$A$1:$I$89,3,0)*0.475*44/12</f>
        <v>10.108715694752021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55.054380347052664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287.52077437571728</v>
      </c>
      <c r="T51" s="59">
        <f t="shared" si="34"/>
        <v>420.95891230839874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58.192123746125127</v>
      </c>
      <c r="AA51" s="21">
        <f>EXP(-LN(2)/25)*AA50+(1-EXP(-LN(2)/25))/(LN(2)/25)*Calculateur!V51*Calculateur!X51*VLOOKUP('Données projet'!$B$9,Paramètres!$A$1:$I$89,3,0)*0.475*44/12</f>
        <v>114.53041437789223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172.72253812401735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147.21567065005729</v>
      </c>
      <c r="AO51" s="59">
        <f t="shared" si="36"/>
        <v>332.2871246077637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44.064307582617545</v>
      </c>
      <c r="AV51" s="21">
        <f>EXP(-LN(2)/25)*AV50+(1-EXP(-LN(2)/25))/(LN(2)/25)*Calculateur!AQ51*Calculateur!AS51*VLOOKUP('Données projet'!$B$10,Paramètres!$A$1:$I$89,3,0)*0.475*44/12</f>
        <v>9.8322923324847729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53.896599915102314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287.52077437571728</v>
      </c>
      <c r="T52" s="59">
        <f t="shared" si="34"/>
        <v>420.95891230839874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57.051011693154386</v>
      </c>
      <c r="AA52" s="21">
        <f>EXP(-LN(2)/25)*AA51+(1-EXP(-LN(2)/25))/(LN(2)/25)*Calculateur!V52*Calculateur!X52*VLOOKUP('Données projet'!$B$9,Paramètres!$A$1:$I$89,3,0)*0.475*44/12</f>
        <v>111.39857417383604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168.44958586699042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147.21567065005729</v>
      </c>
      <c r="AO52" s="59">
        <f t="shared" si="36"/>
        <v>332.2871246077637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43.200233387496198</v>
      </c>
      <c r="AV52" s="21">
        <f>EXP(-LN(2)/25)*AV51+(1-EXP(-LN(2)/25))/(LN(2)/25)*Calculateur!AQ52*Calculateur!AS52*VLOOKUP('Données projet'!$B$10,Paramètres!$A$1:$I$89,3,0)*0.475*44/12</f>
        <v>9.5634277815951947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52.763661169091392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287.52077437571728</v>
      </c>
      <c r="T53" s="59">
        <f t="shared" si="34"/>
        <v>420.95891230839874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55.932276151532776</v>
      </c>
      <c r="AA53" s="21">
        <f>EXP(-LN(2)/25)*AA52+(1-EXP(-LN(2)/25))/(LN(2)/25)*Calculateur!V53*Calculateur!X53*VLOOKUP('Données projet'!$B$9,Paramètres!$A$1:$I$89,3,0)*0.475*44/12</f>
        <v>108.35237430485608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164.28465045638887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147.21567065005729</v>
      </c>
      <c r="AO53" s="59">
        <f t="shared" si="36"/>
        <v>332.2871246077637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42.35310316030796</v>
      </c>
      <c r="AV53" s="21">
        <f>EXP(-LN(2)/25)*AV52+(1-EXP(-LN(2)/25))/(LN(2)/25)*Calculateur!AQ53*Calculateur!AS53*VLOOKUP('Données projet'!$B$10,Paramètres!$A$1:$I$89,3,0)*0.475*44/12</f>
        <v>9.3019153459886645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51.655018506296628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287.52077437571728</v>
      </c>
      <c r="T54" s="59">
        <f t="shared" si="34"/>
        <v>420.95891230839874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54.83547833152106</v>
      </c>
      <c r="AA54" s="21">
        <f>EXP(-LN(2)/25)*AA53+(1-EXP(-LN(2)/25))/(LN(2)/25)*Calculateur!V54*Calculateur!X54*VLOOKUP('Données projet'!$B$9,Paramètres!$A$1:$I$89,3,0)*0.475*44/12</f>
        <v>105.38947293148607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160.22495126300714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147.21567065005729</v>
      </c>
      <c r="AO54" s="59">
        <f t="shared" si="36"/>
        <v>332.2871246077637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41.522584640176468</v>
      </c>
      <c r="AV54" s="21">
        <f>EXP(-LN(2)/25)*AV53+(1-EXP(-LN(2)/25))/(LN(2)/25)*Calculateur!AQ54*Calculateur!AS54*VLOOKUP('Données projet'!$B$10,Paramètres!$A$1:$I$89,3,0)*0.475*44/12</f>
        <v>9.0475539816861357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50.570138621862604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287.52077437571728</v>
      </c>
      <c r="T55" s="59">
        <f t="shared" si="34"/>
        <v>420.95891230839874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53.76018804777916</v>
      </c>
      <c r="AA55" s="21">
        <f>EXP(-LN(2)/25)*AA54+(1-EXP(-LN(2)/25))/(LN(2)/25)*Calculateur!V55*Calculateur!X55*VLOOKUP('Données projet'!$B$9,Paramètres!$A$1:$I$89,3,0)*0.475*44/12</f>
        <v>102.50759225198307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156.26778029976222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147.21567065005729</v>
      </c>
      <c r="AO55" s="59">
        <f t="shared" si="36"/>
        <v>332.2871246077637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40.708352081658475</v>
      </c>
      <c r="AV55" s="21">
        <f>EXP(-LN(2)/25)*AV54+(1-EXP(-LN(2)/25))/(LN(2)/25)*Calculateur!AQ55*Calculateur!AS55*VLOOKUP('Données projet'!$B$10,Paramètres!$A$1:$I$89,3,0)*0.475*44/12</f>
        <v>8.8001481422667425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49.508500223925218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287.52077437571728</v>
      </c>
      <c r="T56" s="59">
        <f t="shared" si="34"/>
        <v>420.95891230839874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52.705983550639125</v>
      </c>
      <c r="AA56" s="21">
        <f>EXP(-LN(2)/25)*AA55+(1-EXP(-LN(2)/25))/(LN(2)/25)*Calculateur!V56*Calculateur!X56*VLOOKUP('Données projet'!$B$9,Paramètres!$A$1:$I$89,3,0)*0.475*44/12</f>
        <v>99.704516751212594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152.41050030185173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147.21567065005729</v>
      </c>
      <c r="AO56" s="59">
        <f t="shared" si="36"/>
        <v>332.2871246077637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39.910086126980197</v>
      </c>
      <c r="AV56" s="21">
        <f>EXP(-LN(2)/25)*AV55+(1-EXP(-LN(2)/25))/(LN(2)/25)*Calculateur!AQ56*Calculateur!AS56*VLOOKUP('Données projet'!$B$10,Paramètres!$A$1:$I$89,3,0)*0.475*44/12</f>
        <v>8.5595076285367799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48.469593755516975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287.52077437571728</v>
      </c>
      <c r="T57" s="59">
        <f t="shared" si="34"/>
        <v>420.95891230839874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51.672451360686757</v>
      </c>
      <c r="AA57" s="21">
        <f>EXP(-LN(2)/25)*AA56+(1-EXP(-LN(2)/25))/(LN(2)/25)*Calculateur!V57*Calculateur!X57*VLOOKUP('Données projet'!$B$9,Paramètres!$A$1:$I$89,3,0)*0.475*44/12</f>
        <v>96.978091497418035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148.65054285810479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147.21567065005729</v>
      </c>
      <c r="AO57" s="59">
        <f t="shared" si="36"/>
        <v>332.2871246077637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39.127473680779005</v>
      </c>
      <c r="AV57" s="21">
        <f>EXP(-LN(2)/25)*AV56+(1-EXP(-LN(2)/25))/(LN(2)/25)*Calculateur!AQ57*Calculateur!AS57*VLOOKUP('Données projet'!$B$10,Paramètres!$A$1:$I$89,3,0)*0.475*44/12</f>
        <v>8.325447442309498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47.452921123088501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287.52077437571728</v>
      </c>
      <c r="T58" s="59">
        <f t="shared" si="34"/>
        <v>420.95891230839874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50.659186106586965</v>
      </c>
      <c r="AA58" s="21">
        <f>EXP(-LN(2)/25)*AA57+(1-EXP(-LN(2)/25))/(LN(2)/25)*Calculateur!V58*Calculateur!X58*VLOOKUP('Données projet'!$B$9,Paramètres!$A$1:$I$89,3,0)*0.475*44/12</f>
        <v>94.32622048556496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144.98540659215192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147.21567065005729</v>
      </c>
      <c r="AO58" s="59">
        <f t="shared" si="36"/>
        <v>332.2871246077637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38.360207787301363</v>
      </c>
      <c r="AV58" s="21">
        <f>EXP(-LN(2)/25)*AV57+(1-EXP(-LN(2)/25))/(LN(2)/25)*Calculateur!AQ58*Calculateur!AS58*VLOOKUP('Données projet'!$B$10,Paramètres!$A$1:$I$89,3,0)*0.475*44/12</f>
        <v>8.0977876441832919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46.457995431484655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287.52077437571728</v>
      </c>
      <c r="T59" s="59">
        <f t="shared" si="34"/>
        <v>420.95891230839874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49.66579036608929</v>
      </c>
      <c r="AA59" s="21">
        <f>EXP(-LN(2)/25)*AA58+(1-EXP(-LN(2)/25))/(LN(2)/25)*Calculateur!V59*Calculateur!X59*VLOOKUP('Données projet'!$B$9,Paramètres!$A$1:$I$89,3,0)*0.475*44/12</f>
        <v>91.746865025986835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141.41265539207612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147.21567065005729</v>
      </c>
      <c r="AO59" s="59">
        <f t="shared" si="36"/>
        <v>332.2871246077637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37.607987510008833</v>
      </c>
      <c r="AV59" s="21">
        <f>EXP(-LN(2)/25)*AV58+(1-EXP(-LN(2)/25))/(LN(2)/25)*Calculateur!AQ59*Calculateur!AS59*VLOOKUP('Données projet'!$B$10,Paramètres!$A$1:$I$89,3,0)*0.475*44/12</f>
        <v>7.8763532152089555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45.484340725217791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287.52077437571728</v>
      </c>
      <c r="T60" s="59">
        <f t="shared" si="34"/>
        <v>420.95891230839874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48.691874510151202</v>
      </c>
      <c r="AA60" s="21">
        <f>EXP(-LN(2)/25)*AA59+(1-EXP(-LN(2)/25))/(LN(2)/25)*Calculateur!V60*Calculateur!X60*VLOOKUP('Données projet'!$B$9,Paramètres!$A$1:$I$89,3,0)*0.475*44/12</f>
        <v>89.238042177093277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137.92991668724449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147.21567065005729</v>
      </c>
      <c r="AO60" s="59">
        <f t="shared" si="36"/>
        <v>332.2871246077637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36.870517813544943</v>
      </c>
      <c r="AV60" s="21">
        <f>EXP(-LN(2)/25)*AV59+(1-EXP(-LN(2)/25))/(LN(2)/25)*Calculateur!AQ60*Calculateur!AS60*VLOOKUP('Données projet'!$B$10,Paramètres!$A$1:$I$89,3,0)*0.475*44/12</f>
        <v>7.6609739223396529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44.531491735884593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287.52077437571728</v>
      </c>
      <c r="T61" s="59">
        <f t="shared" si="34"/>
        <v>420.95891230839874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47.737056550118041</v>
      </c>
      <c r="AA61" s="21">
        <f>EXP(-LN(2)/25)*AA60+(1-EXP(-LN(2)/25))/(LN(2)/25)*Calculateur!V61*Calculateur!X61*VLOOKUP('Données projet'!$B$9,Paramètres!$A$1:$I$89,3,0)*0.475*44/12</f>
        <v>86.797823220935982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134.53487977105402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147.21567065005729</v>
      </c>
      <c r="AO61" s="59">
        <f t="shared" si="36"/>
        <v>332.2871246077637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36.147509448016606</v>
      </c>
      <c r="AV61" s="21">
        <f>EXP(-LN(2)/25)*AV60+(1-EXP(-LN(2)/25))/(LN(2)/25)*Calculateur!AQ61*Calculateur!AS61*VLOOKUP('Données projet'!$B$10,Paramètres!$A$1:$I$89,3,0)*0.475*44/12</f>
        <v>7.4514841875601663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43.598993635576775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287.52077437571728</v>
      </c>
      <c r="T62" s="59">
        <f t="shared" si="34"/>
        <v>420.95891230839874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46.800961987899683</v>
      </c>
      <c r="AA62" s="21">
        <f>EXP(-LN(2)/25)*AA61+(1-EXP(-LN(2)/25))/(LN(2)/25)*Calculateur!V62*Calculateur!X62*VLOOKUP('Données projet'!$B$9,Paramètres!$A$1:$I$89,3,0)*0.475*44/12</f>
        <v>84.42433218046034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131.22529416836002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147.21567065005729</v>
      </c>
      <c r="AO62" s="59">
        <f t="shared" si="36"/>
        <v>332.2871246077637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35.438678835544721</v>
      </c>
      <c r="AV62" s="21">
        <f>EXP(-LN(2)/25)*AV61+(1-EXP(-LN(2)/25))/(LN(2)/25)*Calculateur!AQ62*Calculateur!AS62*VLOOKUP('Données projet'!$B$10,Paramètres!$A$1:$I$89,3,0)*0.475*44/12</f>
        <v>7.2477229605948104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42.686401796139535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287.52077437571728</v>
      </c>
      <c r="T63" s="59">
        <f t="shared" si="34"/>
        <v>420.95891230839874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45.883223669085119</v>
      </c>
      <c r="AA63" s="21">
        <f>EXP(-LN(2)/25)*AA62+(1-EXP(-LN(2)/25))/(LN(2)/25)*Calculateur!V63*Calculateur!X63*VLOOKUP('Données projet'!$B$9,Paramètres!$A$1:$I$89,3,0)*0.475*44/12</f>
        <v>82.115744377302974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127.99896804638809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147.21567065005729</v>
      </c>
      <c r="AO63" s="59">
        <f t="shared" si="36"/>
        <v>332.2871246077637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34.743747959039432</v>
      </c>
      <c r="AV63" s="21">
        <f>EXP(-LN(2)/25)*AV62+(1-EXP(-LN(2)/25))/(LN(2)/25)*Calculateur!AQ63*Calculateur!AS63*VLOOKUP('Données projet'!$B$10,Paramètres!$A$1:$I$89,3,0)*0.475*44/12</f>
        <v>7.0495335950961593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41.793281554135589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287.52077437571728</v>
      </c>
      <c r="T64" s="59">
        <f t="shared" si="34"/>
        <v>420.95891230839874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44.983481638937413</v>
      </c>
      <c r="AA64" s="21">
        <f>EXP(-LN(2)/25)*AA63+(1-EXP(-LN(2)/25))/(LN(2)/25)*Calculateur!V64*Calculateur!X64*VLOOKUP('Données projet'!$B$9,Paramètres!$A$1:$I$89,3,0)*0.475*44/12</f>
        <v>79.870285029026306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124.85376666796373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147.21567065005729</v>
      </c>
      <c r="AO64" s="59">
        <f t="shared" si="36"/>
        <v>332.2871246077637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34.062444253156428</v>
      </c>
      <c r="AV64" s="21">
        <f>EXP(-LN(2)/25)*AV63+(1-EXP(-LN(2)/25))/(LN(2)/25)*Calculateur!AQ64*Calculateur!AS64*VLOOKUP('Données projet'!$B$10,Paramètres!$A$1:$I$89,3,0)*0.475*44/12</f>
        <v>6.8567637282193949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40.91920798137582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287.52077437571728</v>
      </c>
      <c r="T65" s="59">
        <f t="shared" si="34"/>
        <v>420.95891230839874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44.101383001212447</v>
      </c>
      <c r="AA65" s="21">
        <f>EXP(-LN(2)/25)*AA64+(1-EXP(-LN(2)/25))/(LN(2)/25)*Calculateur!V65*Calculateur!X65*VLOOKUP('Données projet'!$B$9,Paramètres!$A$1:$I$89,3,0)*0.475*44/12</f>
        <v>77.68622788471184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121.78761088592429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147.21567065005729</v>
      </c>
      <c r="AO65" s="59">
        <f t="shared" si="36"/>
        <v>332.2871246077637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33.394500497391562</v>
      </c>
      <c r="AV65" s="21">
        <f>EXP(-LN(2)/25)*AV64+(1-EXP(-LN(2)/25))/(LN(2)/25)*Calculateur!AQ65*Calculateur!AS65*VLOOKUP('Données projet'!$B$10,Paramètres!$A$1:$I$89,3,0)*0.475*44/12</f>
        <v>6.6692651634897029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40.063765660881266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287.52077437571728</v>
      </c>
      <c r="T66" s="59">
        <f t="shared" si="34"/>
        <v>420.95891230839874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43.236581779746231</v>
      </c>
      <c r="AA66" s="21">
        <f>EXP(-LN(2)/25)*AA65+(1-EXP(-LN(2)/25))/(LN(2)/25)*Calculateur!V66*Calculateur!X66*VLOOKUP('Données projet'!$B$9,Paramètres!$A$1:$I$89,3,0)*0.475*44/12</f>
        <v>75.561893897863229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118.79847567760946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147.21567065005729</v>
      </c>
      <c r="AO66" s="59">
        <f t="shared" si="36"/>
        <v>332.2871246077637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32.739654711271783</v>
      </c>
      <c r="AV66" s="21">
        <f>EXP(-LN(2)/25)*AV65+(1-EXP(-LN(2)/25))/(LN(2)/25)*Calculateur!AQ66*Calculateur!AS66*VLOOKUP('Données projet'!$B$10,Paramètres!$A$1:$I$89,3,0)*0.475*44/12</f>
        <v>6.4868937568726652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39.226548468144451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287.52077437571728</v>
      </c>
      <c r="T67" s="59">
        <f t="shared" si="34"/>
        <v>420.95891230839874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42.388738782756306</v>
      </c>
      <c r="AA67" s="21">
        <f>EXP(-LN(2)/25)*AA66+(1-EXP(-LN(2)/25))/(LN(2)/25)*Calculateur!V67*Calculateur!X67*VLOOKUP('Données projet'!$B$9,Paramètres!$A$1:$I$89,3,0)*0.475*44/12</f>
        <v>73.495649935598863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115.88438871835517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147.21567065005729</v>
      </c>
      <c r="AO67" s="59">
        <f t="shared" si="36"/>
        <v>332.2871246077637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32.09765005160132</v>
      </c>
      <c r="AV67" s="21">
        <f>EXP(-LN(2)/25)*AV66+(1-EXP(-LN(2)/25))/(LN(2)/25)*Calculateur!AQ67*Calculateur!AS67*VLOOKUP('Données projet'!$B$10,Paramètres!$A$1:$I$89,3,0)*0.475*44/12</f>
        <v>6.3095093059600655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38.407159357561383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287.52077437571728</v>
      </c>
      <c r="T68" s="59">
        <f t="shared" si="34"/>
        <v>420.95891230839874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41.557521469804186</v>
      </c>
      <c r="AA68" s="21">
        <f>EXP(-LN(2)/25)*AA67+(1-EXP(-LN(2)/25))/(LN(2)/25)*Calculateur!V68*Calculateur!X68*VLOOKUP('Données projet'!$B$9,Paramètres!$A$1:$I$89,3,0)*0.475*44/12</f>
        <v>71.485907523141663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113.04342899294585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147.21567065005729</v>
      </c>
      <c r="AO68" s="59">
        <f t="shared" si="36"/>
        <v>332.2871246077637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31.468234711722818</v>
      </c>
      <c r="AV68" s="21">
        <f>EXP(-LN(2)/25)*AV67+(1-EXP(-LN(2)/25))/(LN(2)/25)*Calculateur!AQ68*Calculateur!AS68*VLOOKUP('Données projet'!$B$10,Paramètres!$A$1:$I$89,3,0)*0.475*44/12</f>
        <v>6.1369754421859133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37.605210153908729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287.52077437571728</v>
      </c>
      <c r="T69" s="59">
        <f t="shared" ref="T69:T132" si="88">$T$3</f>
        <v>420.95891230839874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40.742603821366558</v>
      </c>
      <c r="AA69" s="21">
        <f>EXP(-LN(2)/25)*AA68+(1-EXP(-LN(2)/25))/(LN(2)/25)*Calculateur!V69*Calculateur!X69*VLOOKUP('Données projet'!$B$9,Paramètres!$A$1:$I$89,3,0)*0.475*44/12</f>
        <v>69.531121622640853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110.27372544400741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147.21567065005729</v>
      </c>
      <c r="AO69" s="59">
        <f t="shared" ref="AO69:AO132" si="90">$AO$3</f>
        <v>332.2871246077637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30.851161822753884</v>
      </c>
      <c r="AV69" s="21">
        <f>EXP(-LN(2)/25)*AV68+(1-EXP(-LN(2)/25))/(LN(2)/25)*Calculateur!AQ69*Calculateur!AS69*VLOOKUP('Données projet'!$B$10,Paramètres!$A$1:$I$89,3,0)*0.475*44/12</f>
        <v>5.9691595259898271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36.820321348743711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287.52077437571728</v>
      </c>
      <c r="T70" s="59">
        <f t="shared" si="88"/>
        <v>420.95891230839874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39.943666210964103</v>
      </c>
      <c r="AA70" s="21">
        <f>EXP(-LN(2)/25)*AA69+(1-EXP(-LN(2)/25))/(LN(2)/25)*Calculateur!V70*Calculateur!X70*VLOOKUP('Données projet'!$B$9,Paramètres!$A$1:$I$89,3,0)*0.475*44/12</f>
        <v>67.629789445386962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107.57345565635106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147.21567065005729</v>
      </c>
      <c r="AO70" s="59">
        <f t="shared" si="90"/>
        <v>332.2871246077637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30.246189356760333</v>
      </c>
      <c r="AV70" s="21">
        <f>EXP(-LN(2)/25)*AV69+(1-EXP(-LN(2)/25))/(LN(2)/25)*Calculateur!AQ70*Calculateur!AS70*VLOOKUP('Données projet'!$B$10,Paramètres!$A$1:$I$89,3,0)*0.475*44/12</f>
        <v>5.8059325448471784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36.052121901607514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287.52077437571728</v>
      </c>
      <c r="T71" s="59">
        <f t="shared" si="88"/>
        <v>420.95891230839874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39.160395279797818</v>
      </c>
      <c r="AA71" s="21">
        <f>EXP(-LN(2)/25)*AA70+(1-EXP(-LN(2)/25))/(LN(2)/25)*Calculateur!V71*Calculateur!X71*VLOOKUP('Données projet'!$B$9,Paramètres!$A$1:$I$89,3,0)*0.475*44/12</f>
        <v>65.780449296506802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104.94084457630461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147.21567065005729</v>
      </c>
      <c r="AO71" s="59">
        <f t="shared" si="90"/>
        <v>332.2871246077637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29.653080031828146</v>
      </c>
      <c r="AV71" s="21">
        <f>EXP(-LN(2)/25)*AV70+(1-EXP(-LN(2)/25))/(LN(2)/25)*Calculateur!AQ71*Calculateur!AS71*VLOOKUP('Données projet'!$B$10,Paramètres!$A$1:$I$89,3,0)*0.475*44/12</f>
        <v>5.6471690140876092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35.300249045915756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287.52077437571728</v>
      </c>
      <c r="T72" s="59">
        <f t="shared" si="88"/>
        <v>420.95891230839874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38.392483813843612</v>
      </c>
      <c r="AA72" s="21">
        <f>EXP(-LN(2)/25)*AA71+(1-EXP(-LN(2)/25))/(LN(2)/25)*Calculateur!V72*Calculateur!X72*VLOOKUP('Données projet'!$B$9,Paramètres!$A$1:$I$89,3,0)*0.475*44/12</f>
        <v>63.981679451250336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102.37416326509396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147.21567065005729</v>
      </c>
      <c r="AO72" s="59">
        <f t="shared" si="90"/>
        <v>332.2871246077637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29.071601218996914</v>
      </c>
      <c r="AV72" s="21">
        <f>EXP(-LN(2)/25)*AV71+(1-EXP(-LN(2)/25))/(LN(2)/25)*Calculateur!AQ72*Calculateur!AS72*VLOOKUP('Données projet'!$B$10,Paramètres!$A$1:$I$89,3,0)*0.475*44/12</f>
        <v>5.4927468804256723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34.564348099422588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287.52077437571728</v>
      </c>
      <c r="T73" s="59">
        <f t="shared" si="88"/>
        <v>420.95891230839874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37.639630623357014</v>
      </c>
      <c r="AA73" s="21">
        <f>EXP(-LN(2)/25)*AA72+(1-EXP(-LN(2)/25))/(LN(2)/25)*Calculateur!V73*Calculateur!X73*VLOOKUP('Données projet'!$B$9,Paramètres!$A$1:$I$89,3,0)*0.475*44/12</f>
        <v>62.232097062005607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99.871727685362629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147.21567065005729</v>
      </c>
      <c r="AO73" s="59">
        <f t="shared" si="90"/>
        <v>332.2871246077637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28.501524851018246</v>
      </c>
      <c r="AV73" s="21">
        <f>EXP(-LN(2)/25)*AV72+(1-EXP(-LN(2)/25))/(LN(2)/25)*Calculateur!AQ73*Calculateur!AS73*VLOOKUP('Données projet'!$B$10,Paramètres!$A$1:$I$89,3,0)*0.475*44/12</f>
        <v>5.3425474281294276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33.844072279147674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287.52077437571728</v>
      </c>
      <c r="T74" s="59">
        <f t="shared" si="88"/>
        <v>420.95891230839874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36.901540424740759</v>
      </c>
      <c r="AA74" s="21">
        <f>EXP(-LN(2)/25)*AA73+(1-EXP(-LN(2)/25))/(LN(2)/25)*Calculateur!V74*Calculateur!X74*VLOOKUP('Données projet'!$B$9,Paramètres!$A$1:$I$89,3,0)*0.475*44/12</f>
        <v>60.53035709520131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97.431897519942069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147.21567065005729</v>
      </c>
      <c r="AO74" s="59">
        <f t="shared" si="90"/>
        <v>332.2871246077637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27.942627332903388</v>
      </c>
      <c r="AV74" s="21">
        <f>EXP(-LN(2)/25)*AV73+(1-EXP(-LN(2)/25))/(LN(2)/25)*Calculateur!AQ74*Calculateur!AS74*VLOOKUP('Données projet'!$B$10,Paramètres!$A$1:$I$89,3,0)*0.475*44/12</f>
        <v>5.1964551877548697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33.139082520658256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287.52077437571728</v>
      </c>
      <c r="T75" s="59">
        <f t="shared" si="88"/>
        <v>420.95891230839874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36.177923724728799</v>
      </c>
      <c r="AA75" s="21">
        <f>EXP(-LN(2)/25)*AA74+(1-EXP(-LN(2)/25))/(LN(2)/25)*Calculateur!V75*Calculateur!X75*VLOOKUP('Données projet'!$B$9,Paramètres!$A$1:$I$89,3,0)*0.475*44/12</f>
        <v>58.875151297279892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95.053075022008699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147.21567065005729</v>
      </c>
      <c r="AO75" s="59">
        <f t="shared" si="90"/>
        <v>332.2871246077637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27.394689454224938</v>
      </c>
      <c r="AV75" s="21">
        <f>EXP(-LN(2)/25)*AV74+(1-EXP(-LN(2)/25))/(LN(2)/25)*Calculateur!AQ75*Calculateur!AS75*VLOOKUP('Données projet'!$B$10,Paramètres!$A$1:$I$89,3,0)*0.475*44/12</f>
        <v>5.0543578473760107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32.449047301600949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287.52077437571728</v>
      </c>
      <c r="T76" s="59">
        <f t="shared" si="88"/>
        <v>420.95891230839874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35.468496706841471</v>
      </c>
      <c r="AA76" s="21">
        <f>EXP(-LN(2)/25)*AA75+(1-EXP(-LN(2)/25))/(LN(2)/25)*Calculateur!V76*Calculateur!X76*VLOOKUP('Données projet'!$B$9,Paramètres!$A$1:$I$89,3,0)*0.475*44/12</f>
        <v>57.265207188946128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92.733703895787599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147.21567065005729</v>
      </c>
      <c r="AO76" s="59">
        <f t="shared" si="90"/>
        <v>332.2871246077637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26.857496303138266</v>
      </c>
      <c r="AV76" s="21">
        <f>EXP(-LN(2)/25)*AV75+(1-EXP(-LN(2)/25))/(LN(2)/25)*Calculateur!AQ76*Calculateur!AS76*VLOOKUP('Données projet'!$B$10,Paramètres!$A$1:$I$89,3,0)*0.475*44/12</f>
        <v>4.9161461662423864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31.773642469380654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287.52077437571728</v>
      </c>
      <c r="T77" s="59">
        <f t="shared" si="88"/>
        <v>420.95891230839874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34.772981120067158</v>
      </c>
      <c r="AA77" s="21">
        <f>EXP(-LN(2)/25)*AA76+(1-EXP(-LN(2)/25))/(LN(2)/25)*Calculateur!V77*Calculateur!X77*VLOOKUP('Données projet'!$B$9,Paramètres!$A$1:$I$89,3,0)*0.475*44/12</f>
        <v>55.699287086918034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90.472268206985191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147.21567065005729</v>
      </c>
      <c r="AO77" s="59">
        <f t="shared" si="90"/>
        <v>332.2871246077637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26.330837182088935</v>
      </c>
      <c r="AV77" s="21">
        <f>EXP(-LN(2)/25)*AV76+(1-EXP(-LN(2)/25))/(LN(2)/25)*Calculateur!AQ77*Calculateur!AS77*VLOOKUP('Données projet'!$B$10,Paramètres!$A$1:$I$89,3,0)*0.475*44/12</f>
        <v>4.7817138907975973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31.112551072886532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287.52077437571728</v>
      </c>
      <c r="T78" s="59">
        <f t="shared" si="88"/>
        <v>420.95891230839874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34.091104169726869</v>
      </c>
      <c r="AA78" s="21">
        <f>EXP(-LN(2)/25)*AA77+(1-EXP(-LN(2)/25))/(LN(2)/25)*Calculateur!V78*Calculateur!X78*VLOOKUP('Données projet'!$B$9,Paramètres!$A$1:$I$89,3,0)*0.475*44/12</f>
        <v>54.176187152428056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88.267291322154932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147.21567065005729</v>
      </c>
      <c r="AO78" s="59">
        <f t="shared" si="90"/>
        <v>332.2871246077637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25.814505525173036</v>
      </c>
      <c r="AV78" s="21">
        <f>EXP(-LN(2)/25)*AV77+(1-EXP(-LN(2)/25))/(LN(2)/25)*Calculateur!AQ78*Calculateur!AS78*VLOOKUP('Données projet'!$B$10,Paramètres!$A$1:$I$89,3,0)*0.475*44/12</f>
        <v>4.6509576729943323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30.46546319816737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287.52077437571728</v>
      </c>
      <c r="T79" s="59">
        <f t="shared" si="88"/>
        <v>420.95891230839874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33.422598410478876</v>
      </c>
      <c r="AA79" s="21">
        <f>EXP(-LN(2)/25)*AA78+(1-EXP(-LN(2)/25))/(LN(2)/25)*Calculateur!V79*Calculateur!X79*VLOOKUP('Données projet'!$B$9,Paramètres!$A$1:$I$89,3,0)*0.475*44/12</f>
        <v>52.694736465743048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86.117334876221918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147.21567065005729</v>
      </c>
      <c r="AO79" s="59">
        <f t="shared" si="90"/>
        <v>332.2871246077637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25.308298817118043</v>
      </c>
      <c r="AV79" s="21">
        <f>EXP(-LN(2)/25)*AV78+(1-EXP(-LN(2)/25))/(LN(2)/25)*Calculateur!AQ79*Calculateur!AS79*VLOOKUP('Données projet'!$B$10,Paramètres!$A$1:$I$89,3,0)*0.475*44/12</f>
        <v>4.5237769908430678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29.832075807961111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287.52077437571728</v>
      </c>
      <c r="T80" s="59">
        <f t="shared" si="88"/>
        <v>420.95891230839874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32.767201641421487</v>
      </c>
      <c r="AA80" s="21">
        <f>EXP(-LN(2)/25)*AA79+(1-EXP(-LN(2)/25))/(LN(2)/25)*Calculateur!V80*Calculateur!X80*VLOOKUP('Données projet'!$B$9,Paramètres!$A$1:$I$89,3,0)*0.475*44/12</f>
        <v>51.253796125991549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84.020997767413036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147.21567065005729</v>
      </c>
      <c r="AO80" s="59">
        <f t="shared" si="90"/>
        <v>332.2871246077637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24.812018513852404</v>
      </c>
      <c r="AV80" s="21">
        <f>EXP(-LN(2)/25)*AV79+(1-EXP(-LN(2)/25))/(LN(2)/25)*Calculateur!AQ80*Calculateur!AS80*VLOOKUP('Données projet'!$B$10,Paramètres!$A$1:$I$89,3,0)*0.475*44/12</f>
        <v>4.4000740711333712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29.212092584985776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287.52077437571728</v>
      </c>
      <c r="T81" s="59">
        <f t="shared" si="88"/>
        <v>420.95891230839874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32.124656803252755</v>
      </c>
      <c r="AA81" s="21">
        <f>EXP(-LN(2)/25)*AA80+(1-EXP(-LN(2)/25))/(LN(2)/25)*Calculateur!V81*Calculateur!X81*VLOOKUP('Données projet'!$B$9,Paramètres!$A$1:$I$89,3,0)*0.475*44/12</f>
        <v>49.852258375606311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81.976915178859059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147.21567065005729</v>
      </c>
      <c r="AO81" s="59">
        <f t="shared" si="90"/>
        <v>332.2871246077637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24.32546996463271</v>
      </c>
      <c r="AV81" s="21">
        <f>EXP(-LN(2)/25)*AV80+(1-EXP(-LN(2)/25))/(LN(2)/25)*Calculateur!AQ81*Calculateur!AS81*VLOOKUP('Données projet'!$B$10,Paramètres!$A$1:$I$89,3,0)*0.475*44/12</f>
        <v>4.27975381426839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28.605223778901099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287.52077437571728</v>
      </c>
      <c r="T82" s="59">
        <f t="shared" si="88"/>
        <v>420.95891230839874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31.494711877446861</v>
      </c>
      <c r="AA82" s="21">
        <f>EXP(-LN(2)/25)*AA81+(1-EXP(-LN(2)/25))/(LN(2)/25)*Calculateur!V82*Calculateur!X82*VLOOKUP('Données projet'!$B$9,Paramètres!$A$1:$I$89,3,0)*0.475*44/12</f>
        <v>48.489045748709025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79.983757626155892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147.21567065005729</v>
      </c>
      <c r="AO82" s="59">
        <f t="shared" si="90"/>
        <v>332.2871246077637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23.848462335697903</v>
      </c>
      <c r="AV82" s="21">
        <f>EXP(-LN(2)/25)*AV81+(1-EXP(-LN(2)/25))/(LN(2)/25)*Calculateur!AQ82*Calculateur!AS82*VLOOKUP('Données projet'!$B$10,Paramètres!$A$1:$I$89,3,0)*0.475*44/12</f>
        <v>4.162723721154749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28.011186056852651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287.52077437571728</v>
      </c>
      <c r="T83" s="59">
        <f t="shared" si="88"/>
        <v>420.95891230839874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30.877119787407555</v>
      </c>
      <c r="AA83" s="21">
        <f>EXP(-LN(2)/25)*AA82+(1-EXP(-LN(2)/25))/(LN(2)/25)*Calculateur!V83*Calculateur!X83*VLOOKUP('Données projet'!$B$9,Paramètres!$A$1:$I$89,3,0)*0.475*44/12</f>
        <v>47.16311024278248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78.040230030190031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147.21567065005729</v>
      </c>
      <c r="AO83" s="59">
        <f t="shared" si="90"/>
        <v>332.2871246077637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23.380808535420581</v>
      </c>
      <c r="AV83" s="21">
        <f>EXP(-LN(2)/25)*AV82+(1-EXP(-LN(2)/25))/(LN(2)/25)*Calculateur!AQ83*Calculateur!AS83*VLOOKUP('Données projet'!$B$10,Paramètres!$A$1:$I$89,3,0)*0.475*44/12</f>
        <v>4.0488938220916459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27.429702357512227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287.52077437571728</v>
      </c>
      <c r="T84" s="59">
        <f t="shared" si="88"/>
        <v>420.95891230839874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30.271638301559939</v>
      </c>
      <c r="AA84" s="21">
        <f>EXP(-LN(2)/25)*AA83+(1-EXP(-LN(2)/25))/(LN(2)/25)*Calculateur!V84*Calculateur!X84*VLOOKUP('Données projet'!$B$9,Paramètres!$A$1:$I$89,3,0)*0.475*44/12</f>
        <v>45.873432512993418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76.14507081455335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147.21567065005729</v>
      </c>
      <c r="AO84" s="59">
        <f t="shared" si="90"/>
        <v>332.2871246077637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22.922325140926045</v>
      </c>
      <c r="AV84" s="21">
        <f>EXP(-LN(2)/25)*AV83+(1-EXP(-LN(2)/25))/(LN(2)/25)*Calculateur!AQ84*Calculateur!AS84*VLOOKUP('Données projet'!$B$10,Paramètres!$A$1:$I$89,3,0)*0.475*44/12</f>
        <v>3.9381766076044777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26.860501748530524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287.52077437571728</v>
      </c>
      <c r="T85" s="59">
        <f t="shared" si="88"/>
        <v>420.95891230839874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29.678029938342558</v>
      </c>
      <c r="AA85" s="21">
        <f>EXP(-LN(2)/25)*AA84+(1-EXP(-LN(2)/25))/(LN(2)/25)*Calculateur!V85*Calculateur!X85*VLOOKUP('Données projet'!$B$9,Paramètres!$A$1:$I$89,3,0)*0.475*44/12</f>
        <v>44.619021088546639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74.297051026889193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147.21567065005729</v>
      </c>
      <c r="AO85" s="59">
        <f t="shared" si="90"/>
        <v>332.2871246077637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22.472832326150289</v>
      </c>
      <c r="AV85" s="21">
        <f>EXP(-LN(2)/25)*AV84+(1-EXP(-LN(2)/25))/(LN(2)/25)*Calculateur!AQ85*Calculateur!AS85*VLOOKUP('Données projet'!$B$10,Paramètres!$A$1:$I$89,3,0)*0.475*44/12</f>
        <v>3.8304869611698265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26.303319287320114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287.52077437571728</v>
      </c>
      <c r="T86" s="59">
        <f t="shared" si="88"/>
        <v>420.95891230839874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29.096061873062517</v>
      </c>
      <c r="AA86" s="21">
        <f>EXP(-LN(2)/25)*AA85+(1-EXP(-LN(2)/25))/(LN(2)/25)*Calculateur!V86*Calculateur!X86*VLOOKUP('Données projet'!$B$9,Paramètres!$A$1:$I$89,3,0)*0.475*44/12</f>
        <v>43.398911610467991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72.494973483530515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147.21567065005729</v>
      </c>
      <c r="AO86" s="59">
        <f t="shared" si="90"/>
        <v>332.2871246077637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22.03215379130874</v>
      </c>
      <c r="AV86" s="21">
        <f>EXP(-LN(2)/25)*AV85+(1-EXP(-LN(2)/25))/(LN(2)/25)*Calculateur!AQ86*Calculateur!AS86*VLOOKUP('Données projet'!$B$10,Paramètres!$A$1:$I$89,3,0)*0.475*44/12</f>
        <v>3.7257420937800831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25.757895885088825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287.52077437571728</v>
      </c>
      <c r="T87" s="59">
        <f t="shared" si="88"/>
        <v>420.95891230839874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28.525505846577147</v>
      </c>
      <c r="AA87" s="21">
        <f>EXP(-LN(2)/25)*AA86+(1-EXP(-LN(2)/25))/(LN(2)/25)*Calculateur!V87*Calculateur!X87*VLOOKUP('Données projet'!$B$9,Paramètres!$A$1:$I$89,3,0)*0.475*44/12</f>
        <v>42.21216609023017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70.737671936807317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147.21567065005729</v>
      </c>
      <c r="AO87" s="59">
        <f t="shared" si="90"/>
        <v>332.2871246077637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21.600116693748067</v>
      </c>
      <c r="AV87" s="21">
        <f>EXP(-LN(2)/25)*AV86+(1-EXP(-LN(2)/25))/(LN(2)/25)*Calculateur!AQ87*Calculateur!AS87*VLOOKUP('Données projet'!$B$10,Paramètres!$A$1:$I$89,3,0)*0.475*44/12</f>
        <v>3.6238614802974052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25.22397817404547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287.52077437571728</v>
      </c>
      <c r="T88" s="59">
        <f t="shared" si="88"/>
        <v>420.95891230839874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27.966138075766342</v>
      </c>
      <c r="AA88" s="21">
        <f>EXP(-LN(2)/25)*AA87+(1-EXP(-LN(2)/25))/(LN(2)/25)*Calculateur!V88*Calculateur!X88*VLOOKUP('Données projet'!$B$9,Paramètres!$A$1:$I$89,3,0)*0.475*44/12</f>
        <v>41.057872188651487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69.024010264417825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147.21567065005729</v>
      </c>
      <c r="AO88" s="59">
        <f t="shared" si="90"/>
        <v>332.2871246077637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21.176551580153951</v>
      </c>
      <c r="AV88" s="21">
        <f>EXP(-LN(2)/25)*AV87+(1-EXP(-LN(2)/25))/(LN(2)/25)*Calculateur!AQ88*Calculateur!AS88*VLOOKUP('Données projet'!$B$10,Paramètres!$A$1:$I$89,3,0)*0.475*44/12</f>
        <v>3.5247667975480796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24.70131837770203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287.52077437571728</v>
      </c>
      <c r="T89" s="59">
        <f t="shared" si="88"/>
        <v>420.95891230839874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27.417739165760487</v>
      </c>
      <c r="AA89" s="21">
        <f>EXP(-LN(2)/25)*AA88+(1-EXP(-LN(2)/25))/(LN(2)/25)*Calculateur!V89*Calculateur!X89*VLOOKUP('Données projet'!$B$9,Paramètres!$A$1:$I$89,3,0)*0.475*44/12</f>
        <v>39.935142514513153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67.35288168027364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147.21567065005729</v>
      </c>
      <c r="AO89" s="59">
        <f t="shared" si="90"/>
        <v>332.2871246077637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20.761292320088206</v>
      </c>
      <c r="AV89" s="21">
        <f>EXP(-LN(2)/25)*AV88+(1-EXP(-LN(2)/25))/(LN(2)/25)*Calculateur!AQ89*Calculateur!AS89*VLOOKUP('Données projet'!$B$10,Paramètres!$A$1:$I$89,3,0)*0.475*44/12</f>
        <v>3.4283818641096975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24.189674184197905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287.52077437571728</v>
      </c>
      <c r="T90" s="59">
        <f t="shared" si="88"/>
        <v>420.95891230839874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26.880094023889541</v>
      </c>
      <c r="AA90" s="21">
        <f>EXP(-LN(2)/25)*AA89+(1-EXP(-LN(2)/25))/(LN(2)/25)*Calculateur!V90*Calculateur!X90*VLOOKUP('Données projet'!$B$9,Paramètres!$A$1:$I$89,3,0)*0.475*44/12</f>
        <v>38.84311394235592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65.723207966245468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147.21567065005729</v>
      </c>
      <c r="AO90" s="59">
        <f t="shared" si="90"/>
        <v>332.2871246077637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20.354176040829209</v>
      </c>
      <c r="AV90" s="21">
        <f>EXP(-LN(2)/25)*AV89+(1-EXP(-LN(2)/25))/(LN(2)/25)*Calculateur!AQ90*Calculateur!AS90*VLOOKUP('Données projet'!$B$10,Paramètres!$A$1:$I$89,3,0)*0.475*44/12</f>
        <v>3.3346325817448514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23.688808622574062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287.52077437571728</v>
      </c>
      <c r="T91" s="59">
        <f t="shared" si="88"/>
        <v>420.95891230839874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26.352991775319527</v>
      </c>
      <c r="AA91" s="21">
        <f>EXP(-LN(2)/25)*AA90+(1-EXP(-LN(2)/25))/(LN(2)/25)*Calculateur!V91*Calculateur!X91*VLOOKUP('Données projet'!$B$9,Paramètres!$A$1:$I$89,3,0)*0.475*44/12</f>
        <v>37.780946948931614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64.133938724251138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147.21567065005729</v>
      </c>
      <c r="AO91" s="59">
        <f t="shared" si="90"/>
        <v>332.2871246077637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19.95504306349007</v>
      </c>
      <c r="AV91" s="21">
        <f>EXP(-LN(2)/25)*AV90+(1-EXP(-LN(2)/25))/(LN(2)/25)*Calculateur!AQ91*Calculateur!AS91*VLOOKUP('Données projet'!$B$10,Paramètres!$A$1:$I$89,3,0)*0.475*44/12</f>
        <v>3.2434468784363326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23.198489941926404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287.52077437571728</v>
      </c>
      <c r="T92" s="59">
        <f t="shared" si="88"/>
        <v>420.95891230839874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25.836225680343343</v>
      </c>
      <c r="AA92" s="21">
        <f>EXP(-LN(2)/25)*AA91+(1-EXP(-LN(2)/25))/(LN(2)/25)*Calculateur!V92*Calculateur!X92*VLOOKUP('Données projet'!$B$9,Paramètres!$A$1:$I$89,3,0)*0.475*44/12</f>
        <v>36.747824967799431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62.584050648142778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147.21567065005729</v>
      </c>
      <c r="AO92" s="59">
        <f t="shared" si="90"/>
        <v>332.2871246077637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19.563736840389474</v>
      </c>
      <c r="AV92" s="21">
        <f>EXP(-LN(2)/25)*AV91+(1-EXP(-LN(2)/25))/(LN(2)/25)*Calculateur!AQ92*Calculateur!AS92*VLOOKUP('Données projet'!$B$10,Paramètres!$A$1:$I$89,3,0)*0.475*44/12</f>
        <v>3.1547546529800328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22.718491493369505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287.52077437571728</v>
      </c>
      <c r="T93" s="59">
        <f t="shared" si="88"/>
        <v>420.95891230839874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25.329593053293447</v>
      </c>
      <c r="AA93" s="21">
        <f>EXP(-LN(2)/25)*AA92+(1-EXP(-LN(2)/25))/(LN(2)/25)*Calculateur!V93*Calculateur!X93*VLOOKUP('Données projet'!$B$9,Paramètres!$A$1:$I$89,3,0)*0.475*44/12</f>
        <v>35.742953761570831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61.072546814864282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147.21567065005729</v>
      </c>
      <c r="AO93" s="59">
        <f t="shared" si="90"/>
        <v>332.2871246077637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19.180103893650653</v>
      </c>
      <c r="AV93" s="21">
        <f>EXP(-LN(2)/25)*AV92+(1-EXP(-LN(2)/25))/(LN(2)/25)*Calculateur!AQ93*Calculateur!AS93*VLOOKUP('Données projet'!$B$10,Paramètres!$A$1:$I$89,3,0)*0.475*44/12</f>
        <v>3.0684877210929566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22.24859161474361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287.52077437571728</v>
      </c>
      <c r="T94" s="59">
        <f t="shared" si="88"/>
        <v>420.95891230839874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24.832895183044609</v>
      </c>
      <c r="AA94" s="21">
        <f>EXP(-LN(2)/25)*AA93+(1-EXP(-LN(2)/25))/(LN(2)/25)*Calculateur!V94*Calculateur!X94*VLOOKUP('Données projet'!$B$9,Paramètres!$A$1:$I$89,3,0)*0.475*44/12</f>
        <v>34.765560811320427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59.59845599436504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147.21567065005729</v>
      </c>
      <c r="AO94" s="59">
        <f t="shared" si="90"/>
        <v>332.2871246077637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18.803993755004388</v>
      </c>
      <c r="AV94" s="21">
        <f>EXP(-LN(2)/25)*AV93+(1-EXP(-LN(2)/25))/(LN(2)/25)*Calculateur!AQ94*Calculateur!AS94*VLOOKUP('Données projet'!$B$10,Paramètres!$A$1:$I$89,3,0)*0.475*44/12</f>
        <v>2.9845797629949136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21.788573517999303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287.52077437571728</v>
      </c>
      <c r="T95" s="59">
        <f t="shared" si="88"/>
        <v>420.95891230839874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24.345937255075565</v>
      </c>
      <c r="AA95" s="21">
        <f>EXP(-LN(2)/25)*AA94+(1-EXP(-LN(2)/25))/(LN(2)/25)*Calculateur!V95*Calculateur!X95*VLOOKUP('Données projet'!$B$9,Paramètres!$A$1:$I$89,3,0)*0.475*44/12</f>
        <v>33.814894722693481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58.16083197776905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147.21567065005729</v>
      </c>
      <c r="AO95" s="59">
        <f t="shared" si="90"/>
        <v>332.2871246077637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18.435258906772443</v>
      </c>
      <c r="AV95" s="21">
        <f>EXP(-LN(2)/25)*AV94+(1-EXP(-LN(2)/25))/(LN(2)/25)*Calculateur!AQ95*Calculateur!AS95*VLOOKUP('Données projet'!$B$10,Paramètres!$A$1:$I$89,3,0)*0.475*44/12</f>
        <v>2.9029662724235892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21.338225179196034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287.52077437571728</v>
      </c>
      <c r="T96" s="59">
        <f t="shared" si="88"/>
        <v>420.95891230839874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23.868528275058988</v>
      </c>
      <c r="AA96" s="21">
        <f>EXP(-LN(2)/25)*AA95+(1-EXP(-LN(2)/25))/(LN(2)/25)*Calculateur!V96*Calculateur!X96*VLOOKUP('Données projet'!$B$9,Paramètres!$A$1:$I$89,3,0)*0.475*44/12</f>
        <v>32.890224648253401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56.758752923312386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147.21567065005729</v>
      </c>
      <c r="AO96" s="59">
        <f t="shared" si="90"/>
        <v>332.2871246077637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18.073754724008275</v>
      </c>
      <c r="AV96" s="21">
        <f>EXP(-LN(2)/25)*AV95+(1-EXP(-LN(2)/25))/(LN(2)/25)*Calculateur!AQ96*Calculateur!AS96*VLOOKUP('Données projet'!$B$10,Paramètres!$A$1:$I$89,3,0)*0.475*44/12</f>
        <v>2.8235845070438046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20.897339231052079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287.52077437571728</v>
      </c>
      <c r="T97" s="59">
        <f t="shared" si="88"/>
        <v>420.95891230839874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23.40048099394981</v>
      </c>
      <c r="AA97" s="21">
        <f>EXP(-LN(2)/25)*AA96+(1-EXP(-LN(2)/25))/(LN(2)/25)*Calculateur!V97*Calculateur!X97*VLOOKUP('Données projet'!$B$9,Paramètres!$A$1:$I$89,3,0)*0.475*44/12</f>
        <v>31.990839725625168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55.391320719574978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147.21567065005729</v>
      </c>
      <c r="AO97" s="59">
        <f t="shared" si="90"/>
        <v>332.2871246077637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17.719339417772336</v>
      </c>
      <c r="AV97" s="21">
        <f>EXP(-LN(2)/25)*AV96+(1-EXP(-LN(2)/25))/(LN(2)/25)*Calculateur!AQ97*Calculateur!AS97*VLOOKUP('Données projet'!$B$10,Paramètres!$A$1:$I$89,3,0)*0.475*44/12</f>
        <v>2.7463734402128361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20.465712857985171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287.52077437571728</v>
      </c>
      <c r="T98" s="59">
        <f t="shared" si="88"/>
        <v>420.95891230839874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22.941611834542531</v>
      </c>
      <c r="AA98" s="21">
        <f>EXP(-LN(2)/25)*AA97+(1-EXP(-LN(2)/25))/(LN(2)/25)*Calculateur!V98*Calculateur!X98*VLOOKUP('Données projet'!$B$9,Paramètres!$A$1:$I$89,3,0)*0.475*44/12</f>
        <v>31.116048531002804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54.057660365545331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147.21567065005729</v>
      </c>
      <c r="AO98" s="59">
        <f t="shared" si="90"/>
        <v>332.2871246077637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17.371873979519691</v>
      </c>
      <c r="AV98" s="21">
        <f>EXP(-LN(2)/25)*AV97+(1-EXP(-LN(2)/25))/(LN(2)/25)*Calculateur!AQ98*Calculateur!AS98*VLOOKUP('Données projet'!$B$10,Paramètres!$A$1:$I$89,3,0)*0.475*44/12</f>
        <v>2.6712737140647138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20.043147693584405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287.52077437571728</v>
      </c>
      <c r="T99" s="59">
        <f t="shared" si="88"/>
        <v>420.95891230839874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22.491740819468678</v>
      </c>
      <c r="AA99" s="21">
        <f>EXP(-LN(2)/25)*AA98+(1-EXP(-LN(2)/25))/(LN(2)/25)*Calculateur!V99*Calculateur!X99*VLOOKUP('Données projet'!$B$9,Paramètres!$A$1:$I$89,3,0)*0.475*44/12</f>
        <v>30.265178547600655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52.756919367069329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147.21567065005729</v>
      </c>
      <c r="AO99" s="59">
        <f t="shared" si="90"/>
        <v>332.2871246077637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17.031222126578189</v>
      </c>
      <c r="AV99" s="21">
        <f>EXP(-LN(2)/25)*AV98+(1-EXP(-LN(2)/25))/(LN(2)/25)*Calculateur!AQ99*Calculateur!AS99*VLOOKUP('Données projet'!$B$10,Paramètres!$A$1:$I$89,3,0)*0.475*44/12</f>
        <v>2.5982275938774348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19.629449720455625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287.52077437571728</v>
      </c>
      <c r="T100" s="59">
        <f t="shared" si="88"/>
        <v>420.95891230839874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22.050691500606199</v>
      </c>
      <c r="AA100" s="21">
        <f>EXP(-LN(2)/25)*AA99+(1-EXP(-LN(2)/25))/(LN(2)/25)*Calculateur!V100*Calculateur!X100*VLOOKUP('Données projet'!$B$9,Paramètres!$A$1:$I$89,3,0)*0.475*44/12</f>
        <v>29.437575648639946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51.488267149246141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147.21567065005729</v>
      </c>
      <c r="AO100" s="59">
        <f t="shared" si="90"/>
        <v>332.2871246077637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16.697250248695756</v>
      </c>
      <c r="AV100" s="21">
        <f>EXP(-LN(2)/25)*AV99+(1-EXP(-LN(2)/25))/(LN(2)/25)*Calculateur!AQ100*Calculateur!AS100*VLOOKUP('Données projet'!$B$10,Paramètres!$A$1:$I$89,3,0)*0.475*44/12</f>
        <v>2.5271789236880053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19.224429172383761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287.52077437571728</v>
      </c>
      <c r="T101" s="59">
        <f t="shared" si="88"/>
        <v>420.95891230839874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21.618290889873091</v>
      </c>
      <c r="AA101" s="21">
        <f>EXP(-LN(2)/25)*AA100+(1-EXP(-LN(2)/25))/(LN(2)/25)*Calculateur!V101*Calculateur!X101*VLOOKUP('Données projet'!$B$9,Paramètres!$A$1:$I$89,3,0)*0.475*44/12</f>
        <v>28.632603594473064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50.250894484346155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147.21567065005729</v>
      </c>
      <c r="AO101" s="59">
        <f t="shared" si="90"/>
        <v>332.2871246077637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16.369827355635866</v>
      </c>
      <c r="AV101" s="21">
        <f>EXP(-LN(2)/25)*AV100+(1-EXP(-LN(2)/25))/(LN(2)/25)*Calculateur!AQ101*Calculateur!AS101*VLOOKUP('Données projet'!$B$10,Paramètres!$A$1:$I$89,3,0)*0.475*44/12</f>
        <v>2.4580730831211932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18.827900438757059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287.52077437571728</v>
      </c>
      <c r="T102" s="59">
        <f t="shared" si="88"/>
        <v>420.95891230839874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21.194369391378128</v>
      </c>
      <c r="AA102" s="21">
        <f>EXP(-LN(2)/25)*AA101+(1-EXP(-LN(2)/25))/(LN(2)/25)*Calculateur!V102*Calculateur!X102*VLOOKUP('Données projet'!$B$9,Paramètres!$A$1:$I$89,3,0)*0.475*44/12</f>
        <v>27.849643543459017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49.044012934837141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147.21567065005729</v>
      </c>
      <c r="AO102" s="59">
        <f t="shared" si="90"/>
        <v>332.2871246077637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16.048825025800635</v>
      </c>
      <c r="AV102" s="21">
        <f>EXP(-LN(2)/25)*AV101+(1-EXP(-LN(2)/25))/(LN(2)/25)*Calculateur!AQ102*Calculateur!AS102*VLOOKUP('Données projet'!$B$10,Paramètres!$A$1:$I$89,3,0)*0.475*44/12</f>
        <v>2.3908569453987987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18.439681971199434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287.52077437571728</v>
      </c>
      <c r="T103" s="59">
        <f t="shared" si="88"/>
        <v>420.95891230839874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20.778760734902068</v>
      </c>
      <c r="AA103" s="21">
        <f>EXP(-LN(2)/25)*AA102+(1-EXP(-LN(2)/25))/(LN(2)/25)*Calculateur!V103*Calculateur!X103*VLOOKUP('Données projet'!$B$9,Paramètres!$A$1:$I$89,3,0)*0.475*44/12</f>
        <v>27.088093576214028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47.8668543111161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147.21567065005729</v>
      </c>
      <c r="AO103" s="59">
        <f t="shared" si="90"/>
        <v>332.2871246077637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15.734117355861386</v>
      </c>
      <c r="AV103" s="21">
        <f>EXP(-LN(2)/25)*AV102+(1-EXP(-LN(2)/25))/(LN(2)/25)*Calculateur!AQ103*Calculateur!AS103*VLOOKUP('Données projet'!$B$10,Paramètres!$A$1:$I$89,3,0)*0.475*44/12</f>
        <v>2.3254788364971661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18.059596192358551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287.52077437571728</v>
      </c>
      <c r="T104" s="59">
        <f t="shared" si="88"/>
        <v>420.95891230839874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20.371301910683254</v>
      </c>
      <c r="AA104" s="21">
        <f>EXP(-LN(2)/25)*AA103+(1-EXP(-LN(2)/25))/(LN(2)/25)*Calculateur!V104*Calculateur!X104*VLOOKUP('Données projet'!$B$9,Paramètres!$A$1:$I$89,3,0)*0.475*44/12</f>
        <v>26.347368232871524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46.718670143554775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147.21567065005729</v>
      </c>
      <c r="AO104" s="59">
        <f t="shared" si="90"/>
        <v>332.2871246077637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15.425580911376919</v>
      </c>
      <c r="AV104" s="21">
        <f>EXP(-LN(2)/25)*AV103+(1-EXP(-LN(2)/25))/(LN(2)/25)*Calculateur!AQ104*Calculateur!AS104*VLOOKUP('Données projet'!$B$10,Paramètres!$A$1:$I$89,3,0)*0.475*44/12</f>
        <v>2.2618884954215339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17.687469406798453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287.52077437571728</v>
      </c>
      <c r="T105" s="59">
        <f t="shared" si="88"/>
        <v>420.95891230839874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19.971833105482027</v>
      </c>
      <c r="AA105" s="21">
        <f>EXP(-LN(2)/25)*AA104+(1-EXP(-LN(2)/25))/(LN(2)/25)*Calculateur!V105*Calculateur!X105*VLOOKUP('Données projet'!$B$9,Paramètres!$A$1:$I$89,3,0)*0.475*44/12</f>
        <v>25.626898062995775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45.598731168477798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147.21567065005729</v>
      </c>
      <c r="AO105" s="59">
        <f t="shared" si="90"/>
        <v>332.2871246077637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15.123094678380143</v>
      </c>
      <c r="AV105" s="21">
        <f>EXP(-LN(2)/25)*AV104+(1-EXP(-LN(2)/25))/(LN(2)/25)*Calculateur!AQ105*Calculateur!AS105*VLOOKUP('Données projet'!$B$10,Paramètres!$A$1:$I$89,3,0)*0.475*44/12</f>
        <v>2.2000370355666856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17.323131713946829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287.52077437571728</v>
      </c>
      <c r="T106" s="59">
        <f t="shared" si="88"/>
        <v>420.95891230839874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19.580197639898884</v>
      </c>
      <c r="AA106" s="21">
        <f>EXP(-LN(2)/25)*AA105+(1-EXP(-LN(2)/25))/(LN(2)/25)*Calculateur!V106*Calculateur!X106*VLOOKUP('Données projet'!$B$9,Paramètres!$A$1:$I$89,3,0)*0.475*44/12</f>
        <v>24.926129187803156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44.50632682770204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147.21567065005729</v>
      </c>
      <c r="AO106" s="59">
        <f t="shared" si="90"/>
        <v>332.2871246077637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14.82654001591405</v>
      </c>
      <c r="AV106" s="21">
        <f>EXP(-LN(2)/25)*AV105+(1-EXP(-LN(2)/25))/(LN(2)/25)*Calculateur!AQ106*Calculateur!AS106*VLOOKUP('Données projet'!$B$10,Paramètres!$A$1:$I$89,3,0)*0.475*44/12</f>
        <v>2.139876907134195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16.966416923048246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287.52077437571728</v>
      </c>
      <c r="T107" s="59">
        <f t="shared" si="88"/>
        <v>420.95891230839874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19.196241906921781</v>
      </c>
      <c r="AA107" s="21">
        <f>EXP(-LN(2)/25)*AA106+(1-EXP(-LN(2)/25))/(LN(2)/25)*Calculateur!V107*Calculateur!X107*VLOOKUP('Données projet'!$B$9,Paramètres!$A$1:$I$89,3,0)*0.475*44/12</f>
        <v>24.244522874354512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43.440764781276293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147.21567065005729</v>
      </c>
      <c r="AO107" s="59">
        <f t="shared" si="90"/>
        <v>332.2871246077637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14.535800609498434</v>
      </c>
      <c r="AV107" s="21">
        <f>EXP(-LN(2)/25)*AV106+(1-EXP(-LN(2)/25))/(LN(2)/25)*Calculateur!AQ107*Calculateur!AS107*VLOOKUP('Données projet'!$B$10,Paramètres!$A$1:$I$89,3,0)*0.475*44/12</f>
        <v>2.0813618605773745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16.617162470075808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287.52077437571728</v>
      </c>
      <c r="T108" s="59">
        <f t="shared" si="88"/>
        <v>420.95891230839874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18.819815311678486</v>
      </c>
      <c r="AA108" s="21">
        <f>EXP(-LN(2)/25)*AA107+(1-EXP(-LN(2)/25))/(LN(2)/25)*Calculateur!V108*Calculateur!X108*VLOOKUP('Données projet'!$B$9,Paramètres!$A$1:$I$89,3,0)*0.475*44/12</f>
        <v>23.58155512139124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42.401370433069729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147.21567065005729</v>
      </c>
      <c r="AO108" s="59">
        <f t="shared" si="90"/>
        <v>332.2871246077637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14.2507624255091</v>
      </c>
      <c r="AV108" s="21">
        <f>EXP(-LN(2)/25)*AV107+(1-EXP(-LN(2)/25))/(LN(2)/25)*Calculateur!AQ108*Calculateur!AS108*VLOOKUP('Données projet'!$B$10,Paramètres!$A$1:$I$89,3,0)*0.475*44/12</f>
        <v>2.024446911045823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16.275209336554923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287.52077437571728</v>
      </c>
      <c r="T109" s="59">
        <f t="shared" si="88"/>
        <v>420.95891230839874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18.450770212370358</v>
      </c>
      <c r="AA109" s="21">
        <f>EXP(-LN(2)/25)*AA108+(1-EXP(-LN(2)/25))/(LN(2)/25)*Calculateur!V109*Calculateur!X109*VLOOKUP('Données projet'!$B$9,Paramètres!$A$1:$I$89,3,0)*0.475*44/12</f>
        <v>22.936716256496709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41.387486468867067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147.21567065005729</v>
      </c>
      <c r="AO109" s="59">
        <f t="shared" si="90"/>
        <v>332.2871246077637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13.971313666451671</v>
      </c>
      <c r="AV109" s="21">
        <f>EXP(-LN(2)/25)*AV108+(1-EXP(-LN(2)/25))/(LN(2)/25)*Calculateur!AQ109*Calculateur!AS109*VLOOKUP('Données projet'!$B$10,Paramètres!$A$1:$I$89,3,0)*0.475*44/12</f>
        <v>1.9690883038022389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15.940401970253911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287.52077437571728</v>
      </c>
      <c r="T110" s="59">
        <f t="shared" si="88"/>
        <v>420.95891230839874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18.088961862364378</v>
      </c>
      <c r="AA110" s="21">
        <f>EXP(-LN(2)/25)*AA109+(1-EXP(-LN(2)/25))/(LN(2)/25)*Calculateur!V110*Calculateur!X110*VLOOKUP('Données projet'!$B$9,Paramètres!$A$1:$I$89,3,0)*0.475*44/12</f>
        <v>22.309510544273319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40.398472406637694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147.21567065005729</v>
      </c>
      <c r="AO110" s="59">
        <f t="shared" si="90"/>
        <v>332.2871246077637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13.697344727112446</v>
      </c>
      <c r="AV110" s="21">
        <f>EXP(-LN(2)/25)*AV109+(1-EXP(-LN(2)/25))/(LN(2)/25)*Calculateur!AQ110*Calculateur!AS110*VLOOKUP('Données projet'!$B$10,Paramètres!$A$1:$I$89,3,0)*0.475*44/12</f>
        <v>1.9152434805849132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15.612588207697359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287.52077437571728</v>
      </c>
      <c r="T111" s="59">
        <f t="shared" si="88"/>
        <v>420.95891230839874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17.734248353420714</v>
      </c>
      <c r="AA111" s="21">
        <f>EXP(-LN(2)/25)*AA110+(1-EXP(-LN(2)/25))/(LN(2)/25)*Calculateur!V111*Calculateur!X111*VLOOKUP('Données projet'!$B$9,Paramètres!$A$1:$I$89,3,0)*0.475*44/12</f>
        <v>21.699455805233995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39.433704158654706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147.21567065005729</v>
      </c>
      <c r="AO111" s="59">
        <f t="shared" si="90"/>
        <v>332.2871246077637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13.42874815156911</v>
      </c>
      <c r="AV111" s="21">
        <f>EXP(-LN(2)/25)*AV110+(1-EXP(-LN(2)/25))/(LN(2)/25)*Calculateur!AQ111*Calculateur!AS111*VLOOKUP('Données projet'!$B$10,Paramètres!$A$1:$I$89,3,0)*0.475*44/12</f>
        <v>1.8628710468900416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15.291619198459152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287.52077437571728</v>
      </c>
      <c r="T112" s="59">
        <f t="shared" si="88"/>
        <v>420.95891230839874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17.386490560033558</v>
      </c>
      <c r="AA112" s="21">
        <f>EXP(-LN(2)/25)*AA111+(1-EXP(-LN(2)/25))/(LN(2)/25)*Calculateur!V112*Calculateur!X112*VLOOKUP('Données projet'!$B$9,Paramètres!$A$1:$I$89,3,0)*0.475*44/12</f>
        <v>21.106083045115085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38.492573605148642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147.21567065005729</v>
      </c>
      <c r="AO112" s="59">
        <f t="shared" si="90"/>
        <v>332.2871246077637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13.165418591044444</v>
      </c>
      <c r="AV112" s="21">
        <f>EXP(-LN(2)/25)*AV111+(1-EXP(-LN(2)/25))/(LN(2)/25)*Calculateur!AQ112*Calculateur!AS112*VLOOKUP('Données projet'!$B$10,Paramètres!$A$1:$I$89,3,0)*0.475*44/12</f>
        <v>1.8119307401487026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14.977349331193146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287.52077437571728</v>
      </c>
      <c r="T113" s="59">
        <f t="shared" si="88"/>
        <v>420.95891230839874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17.045552084863413</v>
      </c>
      <c r="AA113" s="21">
        <f>EXP(-LN(2)/25)*AA112+(1-EXP(-LN(2)/25))/(LN(2)/25)*Calculateur!V113*Calculateur!X113*VLOOKUP('Données projet'!$B$9,Paramètres!$A$1:$I$89,3,0)*0.475*44/12</f>
        <v>20.528936094325744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37.57448817918916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147.21567065005729</v>
      </c>
      <c r="AO113" s="59">
        <f t="shared" si="90"/>
        <v>332.2871246077637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12.907252762586495</v>
      </c>
      <c r="AV113" s="21">
        <f>EXP(-LN(2)/25)*AV112+(1-EXP(-LN(2)/25))/(LN(2)/25)*Calculateur!AQ113*Calculateur!AS113*VLOOKUP('Données projet'!$B$10,Paramètres!$A$1:$I$89,3,0)*0.475*44/12</f>
        <v>1.7623833987740398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14.669636161360534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287.52077437571728</v>
      </c>
      <c r="T114" s="59">
        <f t="shared" si="88"/>
        <v>420.95891230839874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16.711299205239417</v>
      </c>
      <c r="AA114" s="21">
        <f>EXP(-LN(2)/25)*AA113+(1-EXP(-LN(2)/25))/(LN(2)/25)*Calculateur!V114*Calculateur!X114*VLOOKUP('Données projet'!$B$9,Paramètres!$A$1:$I$89,3,0)*0.475*44/12</f>
        <v>19.967571257256576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36.678870462495993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147.21567065005729</v>
      </c>
      <c r="AO114" s="59">
        <f t="shared" si="90"/>
        <v>332.2871246077637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12.654149408559</v>
      </c>
      <c r="AV114" s="21">
        <f>EXP(-LN(2)/25)*AV113+(1-EXP(-LN(2)/25))/(LN(2)/25)*Calculateur!AQ114*Calculateur!AS114*VLOOKUP('Données projet'!$B$10,Paramètres!$A$1:$I$89,3,0)*0.475*44/12</f>
        <v>1.7141909320548487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14.368340340613848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287.52077437571728</v>
      </c>
      <c r="T115" s="59">
        <f t="shared" si="88"/>
        <v>420.95891230839874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16.383600820710722</v>
      </c>
      <c r="AA115" s="21">
        <f>EXP(-LN(2)/25)*AA114+(1-EXP(-LN(2)/25))/(LN(2)/25)*Calculateur!V115*Calculateur!X115*VLOOKUP('Données projet'!$B$9,Paramètres!$A$1:$I$89,3,0)*0.475*44/12</f>
        <v>19.42155697117796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35.805157791888682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147.21567065005729</v>
      </c>
      <c r="AO115" s="59">
        <f t="shared" si="90"/>
        <v>332.2871246077637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12.406009256926183</v>
      </c>
      <c r="AV115" s="21">
        <f>EXP(-LN(2)/25)*AV114+(1-EXP(-LN(2)/25))/(LN(2)/25)*Calculateur!AQ115*Calculateur!AS115*VLOOKUP('Données projet'!$B$10,Paramètres!$A$1:$I$89,3,0)*0.475*44/12</f>
        <v>1.6673162908724257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14.073325547798609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287.52077437571728</v>
      </c>
      <c r="T116" s="59">
        <f t="shared" si="88"/>
        <v>420.95891230839874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16.062328401626356</v>
      </c>
      <c r="AA116" s="21">
        <f>EXP(-LN(2)/25)*AA115+(1-EXP(-LN(2)/25))/(LN(2)/25)*Calculateur!V116*Calculateur!X116*VLOOKUP('Données projet'!$B$9,Paramètres!$A$1:$I$89,3,0)*0.475*44/12</f>
        <v>18.890473474465807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34.952801876092167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147.21567065005729</v>
      </c>
      <c r="AO116" s="59">
        <f t="shared" si="90"/>
        <v>332.2871246077637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12.162734982316335</v>
      </c>
      <c r="AV116" s="21">
        <f>EXP(-LN(2)/25)*AV115+(1-EXP(-LN(2)/25))/(LN(2)/25)*Calculateur!AQ116*Calculateur!AS116*VLOOKUP('Données projet'!$B$10,Paramètres!$A$1:$I$89,3,0)*0.475*44/12</f>
        <v>1.6217234392181663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13.784458421534502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287.52077437571728</v>
      </c>
      <c r="T117" s="59">
        <f t="shared" si="88"/>
        <v>420.95891230839874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15.747355938723409</v>
      </c>
      <c r="AA117" s="21">
        <f>EXP(-LN(2)/25)*AA116+(1-EXP(-LN(2)/25))/(LN(2)/25)*Calculateur!V117*Calculateur!X117*VLOOKUP('Données projet'!$B$9,Paramètres!$A$1:$I$89,3,0)*0.475*44/12</f>
        <v>18.373912483899716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34.121268422623125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147.21567065005729</v>
      </c>
      <c r="AO117" s="59">
        <f t="shared" si="90"/>
        <v>332.2871246077637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11.924231167848932</v>
      </c>
      <c r="AV117" s="21">
        <f>EXP(-LN(2)/25)*AV116+(1-EXP(-LN(2)/25))/(LN(2)/25)*Calculateur!AQ117*Calculateur!AS117*VLOOKUP('Données projet'!$B$10,Paramètres!$A$1:$I$89,3,0)*0.475*44/12</f>
        <v>1.5773773264900164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13.501608494338948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287.52077437571728</v>
      </c>
      <c r="T118" s="59">
        <f t="shared" si="88"/>
        <v>420.95891230839874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15.438559893703756</v>
      </c>
      <c r="AA118" s="21">
        <f>EXP(-LN(2)/25)*AA117+(1-EXP(-LN(2)/25))/(LN(2)/25)*Calculateur!V118*Calculateur!X118*VLOOKUP('Données projet'!$B$9,Paramètres!$A$1:$I$89,3,0)*0.475*44/12</f>
        <v>17.871476880785416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33.31003677448917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147.21567065005729</v>
      </c>
      <c r="AO118" s="59">
        <f t="shared" si="90"/>
        <v>332.2871246077637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11.690404267710271</v>
      </c>
      <c r="AV118" s="21">
        <f>EXP(-LN(2)/25)*AV117+(1-EXP(-LN(2)/25))/(LN(2)/25)*Calculateur!AQ118*Calculateur!AS118*VLOOKUP('Données projet'!$B$10,Paramètres!$A$1:$I$89,3,0)*0.475*44/12</f>
        <v>1.5342438605464783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13.224648128256749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287.52077437571728</v>
      </c>
      <c r="T119" s="59">
        <f t="shared" si="88"/>
        <v>420.95891230839874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15.13581915077995</v>
      </c>
      <c r="AA119" s="21">
        <f>EXP(-LN(2)/25)*AA118+(1-EXP(-LN(2)/25))/(LN(2)/25)*Calculateur!V119*Calculateur!X119*VLOOKUP('Données projet'!$B$9,Paramètres!$A$1:$I$89,3,0)*0.475*44/12</f>
        <v>17.382780405660213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32.518599556440165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147.21567065005729</v>
      </c>
      <c r="AO119" s="59">
        <f t="shared" si="90"/>
        <v>332.2871246077637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11.461162570463003</v>
      </c>
      <c r="AV119" s="21">
        <f>EXP(-LN(2)/25)*AV118+(1-EXP(-LN(2)/25))/(LN(2)/25)*Calculateur!AQ119*Calculateur!AS119*VLOOKUP('Données projet'!$B$10,Paramètres!$A$1:$I$89,3,0)*0.475*44/12</f>
        <v>1.4922898814974568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12.953452451960459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287.52077437571728</v>
      </c>
      <c r="T120" s="59">
        <f t="shared" si="88"/>
        <v>420.95891230839874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14.839014969171259</v>
      </c>
      <c r="AA120" s="21">
        <f>EXP(-LN(2)/25)*AA119+(1-EXP(-LN(2)/25))/(LN(2)/25)*Calculateur!V120*Calculateur!X120*VLOOKUP('Données projet'!$B$9,Paramètres!$A$1:$I$89,3,0)*0.475*44/12</f>
        <v>16.90744736134674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31.746462330518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147.21567065005729</v>
      </c>
      <c r="AO120" s="59">
        <f t="shared" si="90"/>
        <v>332.2871246077637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11.236416163075125</v>
      </c>
      <c r="AV120" s="21">
        <f>EXP(-LN(2)/25)*AV119+(1-EXP(-LN(2)/25))/(LN(2)/25)*Calculateur!AQ120*Calculateur!AS120*VLOOKUP('Données projet'!$B$10,Paramètres!$A$1:$I$89,3,0)*0.475*44/12</f>
        <v>1.4514831362117946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12.68789929928692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287.52077437571728</v>
      </c>
      <c r="T121" s="59">
        <f t="shared" si="88"/>
        <v>420.95891230839874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14.548030936531239</v>
      </c>
      <c r="AA121" s="21">
        <f>EXP(-LN(2)/25)*AA120+(1-EXP(-LN(2)/25))/(LN(2)/25)*Calculateur!V121*Calculateur!X121*VLOOKUP('Données projet'!$B$9,Paramètres!$A$1:$I$89,3,0)*0.475*44/12</f>
        <v>16.445112324126701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30.993143260657938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147.21567065005729</v>
      </c>
      <c r="AO121" s="59">
        <f t="shared" si="90"/>
        <v>332.2871246077637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11.016076895654351</v>
      </c>
      <c r="AV121" s="21">
        <f>EXP(-LN(2)/25)*AV120+(1-EXP(-LN(2)/25))/(LN(2)/25)*Calculateur!AQ121*Calculateur!AS121*VLOOKUP('Données projet'!$B$10,Paramètres!$A$1:$I$89,3,0)*0.475*44/12</f>
        <v>1.4117922535219023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12.427869149176253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287.52077437571728</v>
      </c>
      <c r="T122" s="59">
        <f t="shared" si="88"/>
        <v>420.95891230839874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14.262752923288556</v>
      </c>
      <c r="AA122" s="21">
        <f>EXP(-LN(2)/25)*AA121+(1-EXP(-LN(2)/25))/(LN(2)/25)*Calculateur!V122*Calculateur!X122*VLOOKUP('Données projet'!$B$9,Paramètres!$A$1:$I$89,3,0)*0.475*44/12</f>
        <v>15.995419862812584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30.258172786101142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147.21567065005729</v>
      </c>
      <c r="AO122" s="59">
        <f t="shared" si="90"/>
        <v>332.2871246077637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10.800058346874016</v>
      </c>
      <c r="AV122" s="21">
        <f>EXP(-LN(2)/25)*AV121+(1-EXP(-LN(2)/25))/(LN(2)/25)*Calculateur!AQ122*Calculateur!AS122*VLOOKUP('Données projet'!$B$10,Paramètres!$A$1:$I$89,3,0)*0.475*44/12</f>
        <v>1.3731867201064181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12.173245066980433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287.52077437571728</v>
      </c>
      <c r="T123" s="59">
        <f t="shared" si="88"/>
        <v>420.95891230839874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13.983069037883155</v>
      </c>
      <c r="AA123" s="21">
        <f>EXP(-LN(2)/25)*AA122+(1-EXP(-LN(2)/25))/(LN(2)/25)*Calculateur!V123*Calculateur!X123*VLOOKUP('Données projet'!$B$9,Paramètres!$A$1:$I$89,3,0)*0.475*44/12</f>
        <v>15.558024265501402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29.541093303384557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147.21567065005729</v>
      </c>
      <c r="AO123" s="59">
        <f t="shared" si="90"/>
        <v>332.2871246077637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10.588275790076958</v>
      </c>
      <c r="AV123" s="21">
        <f>EXP(-LN(2)/25)*AV122+(1-EXP(-LN(2)/25))/(LN(2)/25)*Calculateur!AQ123*Calculateur!AS123*VLOOKUP('Données projet'!$B$10,Paramètres!$A$1:$I$89,3,0)*0.475*44/12</f>
        <v>1.3356368570323569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11.923912647109315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287.52077437571728</v>
      </c>
      <c r="T124" s="59">
        <f t="shared" si="88"/>
        <v>420.95891230839874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13.708869582880228</v>
      </c>
      <c r="AA124" s="21">
        <f>EXP(-LN(2)/25)*AA123+(1-EXP(-LN(2)/25))/(LN(2)/25)*Calculateur!V124*Calculateur!X124*VLOOKUP('Données projet'!$B$9,Paramètres!$A$1:$I$89,3,0)*0.475*44/12</f>
        <v>15.132589273800328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28.841458856680553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147.21567065005729</v>
      </c>
      <c r="AO124" s="59">
        <f t="shared" si="90"/>
        <v>332.2871246077637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10.380646160044085</v>
      </c>
      <c r="AV124" s="21">
        <f>EXP(-LN(2)/25)*AV123+(1-EXP(-LN(2)/25))/(LN(2)/25)*Calculateur!AQ124*Calculateur!AS124*VLOOKUP('Données projet'!$B$10,Paramètres!$A$1:$I$89,3,0)*0.475*44/12</f>
        <v>1.2991137969387174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11.679759956982803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287.52077437571728</v>
      </c>
      <c r="T125" s="59">
        <f t="shared" si="88"/>
        <v>420.95891230839874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13.440047011944754</v>
      </c>
      <c r="AA125" s="21">
        <f>EXP(-LN(2)/25)*AA124+(1-EXP(-LN(2)/25))/(LN(2)/25)*Calculateur!V125*Calculateur!X125*VLOOKUP('Données projet'!$B$9,Paramètres!$A$1:$I$89,3,0)*0.475*44/12</f>
        <v>14.718787824319973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28.158834836264727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147.21567065005729</v>
      </c>
      <c r="AO125" s="59">
        <f t="shared" si="90"/>
        <v>332.2871246077637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10.177088020414589</v>
      </c>
      <c r="AV125" s="21">
        <f>EXP(-LN(2)/25)*AV124+(1-EXP(-LN(2)/25))/(LN(2)/25)*Calculateur!AQ125*Calculateur!AS125*VLOOKUP('Données projet'!$B$10,Paramètres!$A$1:$I$89,3,0)*0.475*44/12</f>
        <v>1.2635894618440027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11.440677482258591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287.52077437571728</v>
      </c>
      <c r="T126" s="59">
        <f t="shared" si="88"/>
        <v>420.95891230839874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13.176495887659748</v>
      </c>
      <c r="AA126" s="21">
        <f>EXP(-LN(2)/25)*AA125+(1-EXP(-LN(2)/25))/(LN(2)/25)*Calculateur!V126*Calculateur!X126*VLOOKUP('Données projet'!$B$9,Paramètres!$A$1:$I$89,3,0)*0.475*44/12</f>
        <v>14.316301797236532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27.492797684896281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147.21567065005729</v>
      </c>
      <c r="AO126" s="59">
        <f t="shared" si="90"/>
        <v>332.2871246077637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9.9775215317450208</v>
      </c>
      <c r="AV126" s="21">
        <f>EXP(-LN(2)/25)*AV125+(1-EXP(-LN(2)/25))/(LN(2)/25)*Calculateur!AQ126*Calculateur!AS126*VLOOKUP('Données projet'!$B$10,Paramètres!$A$1:$I$89,3,0)*0.475*44/12</f>
        <v>1.2290365415605966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11.206558073305617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287.52077437571728</v>
      </c>
      <c r="T127" s="59">
        <f t="shared" si="88"/>
        <v>420.95891230839874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12.918112840171656</v>
      </c>
      <c r="AA127" s="21">
        <f>EXP(-LN(2)/25)*AA126+(1-EXP(-LN(2)/25))/(LN(2)/25)*Calculateur!V127*Calculateur!X127*VLOOKUP('Données projet'!$B$9,Paramètres!$A$1:$I$89,3,0)*0.475*44/12</f>
        <v>13.924821771729508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26.842934611901164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147.21567065005729</v>
      </c>
      <c r="AO127" s="59">
        <f t="shared" si="90"/>
        <v>332.2871246077637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9.7818684201947228</v>
      </c>
      <c r="AV127" s="21">
        <f>EXP(-LN(2)/25)*AV126+(1-EXP(-LN(2)/25))/(LN(2)/25)*Calculateur!AQ127*Calculateur!AS127*VLOOKUP('Données projet'!$B$10,Paramètres!$A$1:$I$89,3,0)*0.475*44/12</f>
        <v>1.1954284726993993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10.977296892894122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287.52077437571728</v>
      </c>
      <c r="T128" s="59">
        <f t="shared" si="88"/>
        <v>420.95891230839874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12.664796526646709</v>
      </c>
      <c r="AA128" s="21">
        <f>EXP(-LN(2)/25)*AA127+(1-EXP(-LN(2)/25))/(LN(2)/25)*Calculateur!V128*Calculateur!X128*VLOOKUP('Données projet'!$B$9,Paramètres!$A$1:$I$89,3,0)*0.475*44/12</f>
        <v>13.544046788107014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26.208843314753722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147.21567065005729</v>
      </c>
      <c r="AO128" s="59">
        <f t="shared" si="90"/>
        <v>332.2871246077637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9.5900519468253123</v>
      </c>
      <c r="AV128" s="21">
        <f>EXP(-LN(2)/25)*AV127+(1-EXP(-LN(2)/25))/(LN(2)/25)*Calculateur!AQ128*Calculateur!AS128*VLOOKUP('Données projet'!$B$10,Paramètres!$A$1:$I$89,3,0)*0.475*44/12</f>
        <v>1.1627394182485831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10.752791365073895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287.52077437571728</v>
      </c>
      <c r="T129" s="59">
        <f t="shared" si="88"/>
        <v>420.95891230839874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12.416447591522292</v>
      </c>
      <c r="AA129" s="21">
        <f>EXP(-LN(2)/25)*AA128+(1-EXP(-LN(2)/25))/(LN(2)/25)*Calculateur!V129*Calculateur!X129*VLOOKUP('Données projet'!$B$9,Paramètres!$A$1:$I$89,3,0)*0.475*44/12</f>
        <v>13.173684116435762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25.590131707958054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147.21567065005729</v>
      </c>
      <c r="AO129" s="59">
        <f t="shared" si="90"/>
        <v>332.2871246077637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9.4019968775021798</v>
      </c>
      <c r="AV129" s="21">
        <f>EXP(-LN(2)/25)*AV128+(1-EXP(-LN(2)/25))/(LN(2)/25)*Calculateur!AQ129*Calculateur!AS129*VLOOKUP('Données projet'!$B$10,Paramètres!$A$1:$I$89,3,0)*0.475*44/12</f>
        <v>1.130944247710767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10.532941125212947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287.52077437571728</v>
      </c>
      <c r="T130" s="59">
        <f t="shared" si="88"/>
        <v>420.95891230839874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12.172968627537772</v>
      </c>
      <c r="AA130" s="21">
        <f>EXP(-LN(2)/25)*AA129+(1-EXP(-LN(2)/25))/(LN(2)/25)*Calculateur!V130*Calculateur!X130*VLOOKUP('Données projet'!$B$9,Paramètres!$A$1:$I$89,3,0)*0.475*44/12</f>
        <v>12.813449031497887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24.986417659035659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147.21567065005729</v>
      </c>
      <c r="AO130" s="59">
        <f t="shared" si="90"/>
        <v>332.2871246077637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9.2176294533862073</v>
      </c>
      <c r="AV130" s="21">
        <f>EXP(-LN(2)/25)*AV129+(1-EXP(-LN(2)/25))/(LN(2)/25)*Calculateur!AQ130*Calculateur!AS130*VLOOKUP('Données projet'!$B$10,Paramètres!$A$1:$I$89,3,0)*0.475*44/12</f>
        <v>1.1000185177833428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10.317647971169549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287.52077437571728</v>
      </c>
      <c r="T131" s="59">
        <f t="shared" si="88"/>
        <v>420.95891230839874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11.934264137529484</v>
      </c>
      <c r="AA131" s="21">
        <f>EXP(-LN(2)/25)*AA130+(1-EXP(-LN(2)/25))/(LN(2)/25)*Calculateur!V131*Calculateur!X131*VLOOKUP('Données projet'!$B$9,Paramètres!$A$1:$I$89,3,0)*0.475*44/12</f>
        <v>12.463064593901578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24.39732873143106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147.21567065005729</v>
      </c>
      <c r="AO131" s="59">
        <f t="shared" si="90"/>
        <v>332.2871246077637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9.0368773620041249</v>
      </c>
      <c r="AV131" s="21">
        <f>EXP(-LN(2)/25)*AV130+(1-EXP(-LN(2)/25))/(LN(2)/25)*Calculateur!AQ131*Calculateur!AS131*VLOOKUP('Données projet'!$B$10,Paramètres!$A$1:$I$89,3,0)*0.475*44/12</f>
        <v>1.0699384535670975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10.106815815571222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287.52077437571728</v>
      </c>
      <c r="T132" s="59">
        <f t="shared" si="88"/>
        <v>420.95891230839874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11.700240496974894</v>
      </c>
      <c r="AA132" s="21">
        <f>EXP(-LN(2)/25)*AA131+(1-EXP(-LN(2)/25))/(LN(2)/25)*Calculateur!V132*Calculateur!X132*VLOOKUP('Données projet'!$B$9,Paramètres!$A$1:$I$89,3,0)*0.475*44/12</f>
        <v>12.122261437177256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23.82250193415215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147.21567065005729</v>
      </c>
      <c r="AO132" s="59">
        <f t="shared" si="90"/>
        <v>332.2871246077637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8.8596697088861553</v>
      </c>
      <c r="AV132" s="21">
        <f>EXP(-LN(2)/25)*AV131+(1-EXP(-LN(2)/25))/(LN(2)/25)*Calculateur!AQ132*Calculateur!AS132*VLOOKUP('Données projet'!$B$10,Paramètres!$A$1:$I$89,3,0)*0.475*44/12</f>
        <v>1.0406809302886872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9.9003506391748424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287.52077437571728</v>
      </c>
      <c r="T133" s="59">
        <f t="shared" ref="T133:T196" si="142">$T$3</f>
        <v>420.95891230839874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11.470805917271255</v>
      </c>
      <c r="AA133" s="21">
        <f>EXP(-LN(2)/25)*AA132+(1-EXP(-LN(2)/25))/(LN(2)/25)*Calculateur!V133*Calculateur!X133*VLOOKUP('Données projet'!$B$9,Paramètres!$A$1:$I$89,3,0)*0.475*44/12</f>
        <v>11.79077756069562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23.261583477966873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147.21567065005729</v>
      </c>
      <c r="AO133" s="59">
        <f t="shared" ref="AO133:AO196" si="144">$AO$3</f>
        <v>332.2871246077637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8.6859369897598331</v>
      </c>
      <c r="AV133" s="21">
        <f>EXP(-LN(2)/25)*AV132+(1-EXP(-LN(2)/25))/(LN(2)/25)*Calculateur!AQ133*Calculateur!AS133*VLOOKUP('Données projet'!$B$10,Paramètres!$A$1:$I$89,3,0)*0.475*44/12</f>
        <v>1.0122234555229115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9.6981604452827455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287.52077437571728</v>
      </c>
      <c r="T134" s="59">
        <f t="shared" si="142"/>
        <v>420.95891230839874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11.245870409734328</v>
      </c>
      <c r="AA134" s="21">
        <f>EXP(-LN(2)/25)*AA133+(1-EXP(-LN(2)/25))/(LN(2)/25)*Calculateur!V134*Calculateur!X134*VLOOKUP('Données projet'!$B$9,Paramètres!$A$1:$I$89,3,0)*0.475*44/12</f>
        <v>11.468358128248354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22.714228537982684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147.21567065005729</v>
      </c>
      <c r="AO134" s="59">
        <f t="shared" si="144"/>
        <v>332.2871246077637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8.5156110632890822</v>
      </c>
      <c r="AV134" s="21">
        <f>EXP(-LN(2)/25)*AV133+(1-EXP(-LN(2)/25))/(LN(2)/25)*Calculateur!AQ134*Calculateur!AS134*VLOOKUP('Données projet'!$B$10,Paramètres!$A$1:$I$89,3,0)*0.475*44/12</f>
        <v>0.98454415190111944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9.5001552151902011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287.52077437571728</v>
      </c>
      <c r="T135" s="59">
        <f t="shared" si="142"/>
        <v>420.95891230839874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11.025345750303089</v>
      </c>
      <c r="AA135" s="21">
        <f>EXP(-LN(2)/25)*AA134+(1-EXP(-LN(2)/25))/(LN(2)/25)*Calculateur!V135*Calculateur!X135*VLOOKUP('Données projet'!$B$9,Paramètres!$A$1:$I$89,3,0)*0.475*44/12</f>
        <v>11.15475527213666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22.18010102243975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147.21567065005729</v>
      </c>
      <c r="AO135" s="59">
        <f t="shared" si="144"/>
        <v>332.2871246077637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8.3486251243478655</v>
      </c>
      <c r="AV135" s="21">
        <f>EXP(-LN(2)/25)*AV134+(1-EXP(-LN(2)/25))/(LN(2)/25)*Calculateur!AQ135*Calculateur!AS135*VLOOKUP('Données projet'!$B$10,Paramètres!$A$1:$I$89,3,0)*0.475*44/12</f>
        <v>0.95762174029245661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9.3062468646403218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287.52077437571728</v>
      </c>
      <c r="T136" s="59">
        <f t="shared" si="142"/>
        <v>420.95891230839874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10.809145444936535</v>
      </c>
      <c r="AA136" s="21">
        <f>EXP(-LN(2)/25)*AA135+(1-EXP(-LN(2)/25))/(LN(2)/25)*Calculateur!V136*Calculateur!X136*VLOOKUP('Données projet'!$B$9,Paramètres!$A$1:$I$89,3,0)*0.475*44/12</f>
        <v>10.849727902616998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21.658873347553531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147.21567065005729</v>
      </c>
      <c r="AO136" s="59">
        <f t="shared" si="144"/>
        <v>332.2871246077637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8.1849136778179208</v>
      </c>
      <c r="AV136" s="21">
        <f>EXP(-LN(2)/25)*AV135+(1-EXP(-LN(2)/25))/(LN(2)/25)*Calculateur!AQ136*Calculateur!AS136*VLOOKUP('Données projet'!$B$10,Paramètres!$A$1:$I$89,3,0)*0.475*44/12</f>
        <v>0.93143552344502079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9.1163492012629419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287.52077437571728</v>
      </c>
      <c r="T137" s="59">
        <f t="shared" si="142"/>
        <v>420.95891230839874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10.597184695689053</v>
      </c>
      <c r="AA137" s="21">
        <f>EXP(-LN(2)/25)*AA136+(1-EXP(-LN(2)/25))/(LN(2)/25)*Calculateur!V137*Calculateur!X137*VLOOKUP('Données projet'!$B$9,Paramètres!$A$1:$I$89,3,0)*0.475*44/12</f>
        <v>10.553041522557542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21.150226218246594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147.21567065005729</v>
      </c>
      <c r="AO137" s="59">
        <f t="shared" si="144"/>
        <v>332.2871246077637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8.0244125129003052</v>
      </c>
      <c r="AV137" s="21">
        <f>EXP(-LN(2)/25)*AV136+(1-EXP(-LN(2)/25))/(LN(2)/25)*Calculateur!AQ137*Calculateur!AS137*VLOOKUP('Données projet'!$B$10,Paramètres!$A$1:$I$89,3,0)*0.475*44/12</f>
        <v>0.90596537007435129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8.930377882974657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287.52077437571728</v>
      </c>
      <c r="T138" s="59">
        <f t="shared" si="142"/>
        <v>420.95891230839874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10.389380367451023</v>
      </c>
      <c r="AA138" s="21">
        <f>EXP(-LN(2)/25)*AA137+(1-EXP(-LN(2)/25))/(LN(2)/25)*Calculateur!V138*Calculateur!X138*VLOOKUP('Données projet'!$B$9,Paramètres!$A$1:$I$89,3,0)*0.475*44/12</f>
        <v>10.264468047162872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20.653848414613897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147.21567065005729</v>
      </c>
      <c r="AO138" s="59">
        <f t="shared" si="144"/>
        <v>332.2871246077637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7.8670586779306806</v>
      </c>
      <c r="AV138" s="21">
        <f>EXP(-LN(2)/25)*AV137+(1-EXP(-LN(2)/25))/(LN(2)/25)*Calculateur!AQ138*Calculateur!AS138*VLOOKUP('Données projet'!$B$10,Paramètres!$A$1:$I$89,3,0)*0.475*44/12</f>
        <v>0.88119169938701991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8.7482503773177012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287.52077437571728</v>
      </c>
      <c r="T139" s="59">
        <f t="shared" si="142"/>
        <v>420.95891230839874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10.185650955341616</v>
      </c>
      <c r="AA139" s="21">
        <f>EXP(-LN(2)/25)*AA138+(1-EXP(-LN(2)/25))/(LN(2)/25)*Calculateur!V139*Calculateur!X139*VLOOKUP('Données projet'!$B$9,Paramètres!$A$1:$I$89,3,0)*0.475*44/12</f>
        <v>9.9837856286282882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20.169436583969905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147.21567065005729</v>
      </c>
      <c r="AO139" s="59">
        <f t="shared" si="144"/>
        <v>332.2871246077637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7.7127904556884479</v>
      </c>
      <c r="AV139" s="21">
        <f>EXP(-LN(2)/25)*AV138+(1-EXP(-LN(2)/25))/(LN(2)/25)*Calculateur!AQ139*Calculateur!AS139*VLOOKUP('Données projet'!$B$10,Paramètres!$A$1:$I$89,3,0)*0.475*44/12</f>
        <v>0.85709546602742437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8.5698859217158727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287.52077437571728</v>
      </c>
      <c r="T140" s="59">
        <f t="shared" si="142"/>
        <v>420.95891230839874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9.9859165527410028</v>
      </c>
      <c r="AA140" s="21">
        <f>EXP(-LN(2)/25)*AA139+(1-EXP(-LN(2)/25))/(LN(2)/25)*Calculateur!V140*Calculateur!X140*VLOOKUP('Données projet'!$B$9,Paramètres!$A$1:$I$89,3,0)*0.475*44/12</f>
        <v>9.71077848558898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19.696695038329985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147.21567065005729</v>
      </c>
      <c r="AO140" s="59">
        <f t="shared" si="144"/>
        <v>332.2871246077637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7.5615473391900609</v>
      </c>
      <c r="AV140" s="21">
        <f>EXP(-LN(2)/25)*AV139+(1-EXP(-LN(2)/25))/(LN(2)/25)*Calculateur!AQ140*Calculateur!AS140*VLOOKUP('Données projet'!$B$10,Paramètres!$A$1:$I$89,3,0)*0.475*44/12</f>
        <v>0.83365814543621286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8.395205484626274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287.52077437571728</v>
      </c>
      <c r="T141" s="59">
        <f t="shared" si="142"/>
        <v>420.95891230839874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9.7900988199494314</v>
      </c>
      <c r="AA141" s="21">
        <f>EXP(-LN(2)/25)*AA140+(1-EXP(-LN(2)/25))/(LN(2)/25)*Calculateur!V141*Calculateur!X141*VLOOKUP('Données projet'!$B$9,Paramètres!$A$1:$I$89,3,0)*0.475*44/12</f>
        <v>9.4452367372329036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19.235335557182335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147.21567065005729</v>
      </c>
      <c r="AO141" s="59">
        <f t="shared" si="144"/>
        <v>332.2871246077637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7.4132700079570144</v>
      </c>
      <c r="AV141" s="21">
        <f>EXP(-LN(2)/25)*AV140+(1-EXP(-LN(2)/25))/(LN(2)/25)*Calculateur!AQ141*Calculateur!AS141*VLOOKUP('Données projet'!$B$10,Paramètres!$A$1:$I$89,3,0)*0.475*44/12</f>
        <v>0.81086171960908315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8.2241317275660979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287.52077437571728</v>
      </c>
      <c r="T142" s="59">
        <f t="shared" si="142"/>
        <v>420.95891230839874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9.5981209534608798</v>
      </c>
      <c r="AA142" s="21">
        <f>EXP(-LN(2)/25)*AA141+(1-EXP(-LN(2)/25))/(LN(2)/25)*Calculateur!V142*Calculateur!X142*VLOOKUP('Données projet'!$B$9,Paramètres!$A$1:$I$89,3,0)*0.475*44/12</f>
        <v>9.1869562419498578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18.785077195410736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147.21567065005729</v>
      </c>
      <c r="AO142" s="59">
        <f t="shared" si="144"/>
        <v>332.2871246077637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7.2679003047492063</v>
      </c>
      <c r="AV142" s="21">
        <f>EXP(-LN(2)/25)*AV141+(1-EXP(-LN(2)/25))/(LN(2)/25)*Calculateur!AQ142*Calculateur!AS142*VLOOKUP('Données projet'!$B$10,Paramètres!$A$1:$I$89,3,0)*0.475*44/12</f>
        <v>0.78868866324500819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8.0565889679942142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287.52077437571728</v>
      </c>
      <c r="T143" s="59">
        <f t="shared" si="142"/>
        <v>420.95891230839874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9.4099076558392323</v>
      </c>
      <c r="AA143" s="21">
        <f>EXP(-LN(2)/25)*AA142+(1-EXP(-LN(2)/25))/(LN(2)/25)*Calculateur!V143*Calculateur!X143*VLOOKUP('Données projet'!$B$9,Paramètres!$A$1:$I$89,3,0)*0.475*44/12</f>
        <v>8.9357384403927078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18.345646096231938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147.21567065005729</v>
      </c>
      <c r="AO143" s="59">
        <f t="shared" si="144"/>
        <v>332.2871246077637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7.1253812127545402</v>
      </c>
      <c r="AV143" s="21">
        <f>EXP(-LN(2)/25)*AV142+(1-EXP(-LN(2)/25))/(LN(2)/25)*Calculateur!AQ143*Calculateur!AS143*VLOOKUP('Données projet'!$B$10,Paramètres!$A$1:$I$89,3,0)*0.475*44/12</f>
        <v>0.76712193027323916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7.8925031430277794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287.52077437571728</v>
      </c>
      <c r="T144" s="59">
        <f t="shared" si="142"/>
        <v>420.95891230839874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9.2253851061851684</v>
      </c>
      <c r="AA144" s="21">
        <f>EXP(-LN(2)/25)*AA143+(1-EXP(-LN(2)/25))/(LN(2)/25)*Calculateur!V144*Calculateur!X144*VLOOKUP('Données projet'!$B$9,Paramètres!$A$1:$I$89,3,0)*0.475*44/12</f>
        <v>8.6913902028301067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17.916775309015275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147.21567065005729</v>
      </c>
      <c r="AO144" s="59">
        <f t="shared" si="144"/>
        <v>332.2871246077637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6.9856568332258266</v>
      </c>
      <c r="AV144" s="21">
        <f>EXP(-LN(2)/25)*AV143+(1-EXP(-LN(2)/25))/(LN(2)/25)*Calculateur!AQ144*Calculateur!AS144*VLOOKUP('Données projet'!$B$10,Paramètres!$A$1:$I$89,3,0)*0.475*44/12</f>
        <v>0.74614494074872839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7.7318017739745546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287.52077437571728</v>
      </c>
      <c r="T145" s="59">
        <f t="shared" si="142"/>
        <v>420.95891230839874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9.0444809311821786</v>
      </c>
      <c r="AA145" s="21">
        <f>EXP(-LN(2)/25)*AA144+(1-EXP(-LN(2)/25))/(LN(2)/25)*Calculateur!V145*Calculateur!X145*VLOOKUP('Données projet'!$B$9,Paramètres!$A$1:$I$89,3,0)*0.475*44/12</f>
        <v>8.4537236806733702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17.498204611855549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147.21567065005729</v>
      </c>
      <c r="AO145" s="59">
        <f t="shared" si="144"/>
        <v>332.2871246077637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6.8486723635562141</v>
      </c>
      <c r="AV145" s="21">
        <f>EXP(-LN(2)/25)*AV144+(1-EXP(-LN(2)/25))/(LN(2)/25)*Calculateur!AQ145*Calculateur!AS145*VLOOKUP('Données projet'!$B$10,Paramètres!$A$1:$I$89,3,0)*0.475*44/12</f>
        <v>0.72574156810589729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7.5744139316621117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287.52077437571728</v>
      </c>
      <c r="T146" s="59">
        <f t="shared" si="142"/>
        <v>420.95891230839874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8.8671241767103464</v>
      </c>
      <c r="AA146" s="21">
        <f>EXP(-LN(2)/25)*AA145+(1-EXP(-LN(2)/25))/(LN(2)/25)*Calculateur!V146*Calculateur!X146*VLOOKUP('Données projet'!$B$9,Paramètres!$A$1:$I$89,3,0)*0.475*44/12</f>
        <v>8.2225561620633503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17.089680338773697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147.21567065005729</v>
      </c>
      <c r="AO146" s="59">
        <f t="shared" si="144"/>
        <v>332.2871246077637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6.7143740757845469</v>
      </c>
      <c r="AV146" s="21">
        <f>EXP(-LN(2)/25)*AV145+(1-EXP(-LN(2)/25))/(LN(2)/25)*Calculateur!AQ146*Calculateur!AS146*VLOOKUP('Données projet'!$B$10,Paramètres!$A$1:$I$89,3,0)*0.475*44/12</f>
        <v>0.70589612676095115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7.4202702025454981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287.52077437571728</v>
      </c>
      <c r="T147" s="59">
        <f t="shared" si="142"/>
        <v>420.95891230839874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8.6932452800167681</v>
      </c>
      <c r="AA147" s="21">
        <f>EXP(-LN(2)/25)*AA146+(1-EXP(-LN(2)/25))/(LN(2)/25)*Calculateur!V147*Calculateur!X147*VLOOKUP('Données projet'!$B$9,Paramètres!$A$1:$I$89,3,0)*0.475*44/12</f>
        <v>7.997709931406292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16.690955211423059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147.21567065005729</v>
      </c>
      <c r="AO147" s="59">
        <f t="shared" si="144"/>
        <v>332.2871246077637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6.5827092955222142</v>
      </c>
      <c r="AV147" s="21">
        <f>EXP(-LN(2)/25)*AV146+(1-EXP(-LN(2)/25))/(LN(2)/25)*Calculateur!AQ147*Calculateur!AS147*VLOOKUP('Données projet'!$B$10,Paramètres!$A$1:$I$89,3,0)*0.475*44/12</f>
        <v>0.68659336005320903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7.269302655575423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287.52077437571728</v>
      </c>
      <c r="T148" s="59">
        <f t="shared" si="142"/>
        <v>420.95891230839874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8.5227760424316958</v>
      </c>
      <c r="AA148" s="21">
        <f>EXP(-LN(2)/25)*AA147+(1-EXP(-LN(2)/25))/(LN(2)/25)*Calculateur!V148*Calculateur!X148*VLOOKUP('Données projet'!$B$9,Paramètres!$A$1:$I$89,3,0)*0.475*44/12</f>
        <v>7.7790121327507009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16.301788175182395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147.21567065005729</v>
      </c>
      <c r="AO148" s="59">
        <f t="shared" si="144"/>
        <v>332.2871246077637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6.4536263812932395</v>
      </c>
      <c r="AV148" s="21">
        <f>EXP(-LN(2)/25)*AV147+(1-EXP(-LN(2)/25))/(LN(2)/25)*Calculateur!AQ148*Calculateur!AS148*VLOOKUP('Données projet'!$B$10,Paramètres!$A$1:$I$89,3,0)*0.475*44/12</f>
        <v>0.66781842851617845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7.1214448098094181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287.52077437571728</v>
      </c>
      <c r="T149" s="59">
        <f t="shared" si="142"/>
        <v>420.95891230839874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8.3556496026196996</v>
      </c>
      <c r="AA149" s="21">
        <f>EXP(-LN(2)/25)*AA148+(1-EXP(-LN(2)/25))/(LN(2)/25)*Calculateur!V149*Calculateur!X149*VLOOKUP('Données projet'!$B$9,Paramètres!$A$1:$I$89,3,0)*0.475*44/12</f>
        <v>7.5662946369001638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15.921944239519863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147.21567065005729</v>
      </c>
      <c r="AO149" s="59">
        <f t="shared" si="144"/>
        <v>332.2871246077637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6.3270747042794921</v>
      </c>
      <c r="AV149" s="21">
        <f>EXP(-LN(2)/25)*AV148+(1-EXP(-LN(2)/25))/(LN(2)/25)*Calculateur!AQ149*Calculateur!AS149*VLOOKUP('Données projet'!$B$10,Paramètres!$A$1:$I$89,3,0)*0.475*44/12</f>
        <v>0.64955689846935871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6.9766316027488511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287.52077437571728</v>
      </c>
      <c r="T150" s="59">
        <f t="shared" si="142"/>
        <v>420.95891230839874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8.1918004103553521</v>
      </c>
      <c r="AA150" s="21">
        <f>EXP(-LN(2)/25)*AA149+(1-EXP(-LN(2)/25))/(LN(2)/25)*Calculateur!V150*Calculateur!X150*VLOOKUP('Données projet'!$B$9,Paramètres!$A$1:$I$89,3,0)*0.475*44/12</f>
        <v>7.3593939121599865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15.55119432251534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147.21567065005729</v>
      </c>
      <c r="AO150" s="59">
        <f t="shared" si="144"/>
        <v>332.2871246077637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6.2030046284630833</v>
      </c>
      <c r="AV150" s="21">
        <f>EXP(-LN(2)/25)*AV149+(1-EXP(-LN(2)/25))/(LN(2)/25)*Calculateur!AQ150*Calculateur!AS150*VLOOKUP('Données projet'!$B$10,Paramètres!$A$1:$I$89,3,0)*0.475*44/12</f>
        <v>0.63179473092200134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6.8347993593850846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287.52077437571728</v>
      </c>
      <c r="T151" s="59">
        <f t="shared" si="142"/>
        <v>420.95891230839874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8.031164200813171</v>
      </c>
      <c r="AA151" s="21">
        <f>EXP(-LN(2)/25)*AA150+(1-EXP(-LN(2)/25))/(LN(2)/25)*Calculateur!V151*Calculateur!X151*VLOOKUP('Données projet'!$B$9,Paramètres!$A$1:$I$89,3,0)*0.475*44/12</f>
        <v>7.158150898618266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15.189315099431436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147.21567065005729</v>
      </c>
      <c r="AO151" s="59">
        <f t="shared" si="144"/>
        <v>332.2871246077637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6.0813674911581597</v>
      </c>
      <c r="AV151" s="21">
        <f>EXP(-LN(2)/25)*AV150+(1-EXP(-LN(2)/25))/(LN(2)/25)*Calculateur!AQ151*Calculateur!AS151*VLOOKUP('Données projet'!$B$10,Paramètres!$A$1:$I$89,3,0)*0.475*44/12</f>
        <v>0.6145182707802983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6.6958857619384577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287.52077437571728</v>
      </c>
      <c r="T152" s="59">
        <f t="shared" si="142"/>
        <v>420.95891230839874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7.8736779693616983</v>
      </c>
      <c r="AA152" s="21">
        <f>EXP(-LN(2)/25)*AA151+(1-EXP(-LN(2)/25))/(LN(2)/25)*Calculateur!V152*Calculateur!X152*VLOOKUP('Données projet'!$B$9,Paramètres!$A$1:$I$89,3,0)*0.475*44/12</f>
        <v>6.9624108858647542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14.836088855226453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147.21567065005729</v>
      </c>
      <c r="AO152" s="59">
        <f t="shared" si="144"/>
        <v>332.2871246077637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5.962115583924458</v>
      </c>
      <c r="AV152" s="21">
        <f>EXP(-LN(2)/25)*AV151+(1-EXP(-LN(2)/25))/(LN(2)/25)*Calculateur!AQ152*Calculateur!AS152*VLOOKUP('Données projet'!$B$10,Paramètres!$A$1:$I$89,3,0)*0.475*44/12</f>
        <v>0.59771423634969967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6.5598298202741576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287.52077437571728</v>
      </c>
      <c r="T153" s="59">
        <f t="shared" si="142"/>
        <v>420.95891230839874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7.7192799468518718</v>
      </c>
      <c r="AA153" s="21">
        <f>EXP(-LN(2)/25)*AA152+(1-EXP(-LN(2)/25))/(LN(2)/25)*Calculateur!V153*Calculateur!X153*VLOOKUP('Données projet'!$B$9,Paramètres!$A$1:$I$89,3,0)*0.475*44/12</f>
        <v>6.7720233940535071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14.491303340905379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147.21567065005729</v>
      </c>
      <c r="AO153" s="59">
        <f t="shared" si="144"/>
        <v>332.2871246077637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5.8452021338551274</v>
      </c>
      <c r="AV153" s="21">
        <f>EXP(-LN(2)/25)*AV152+(1-EXP(-LN(2)/25))/(LN(2)/25)*Calculateur!AQ153*Calculateur!AS153*VLOOKUP('Données projet'!$B$10,Paramètres!$A$1:$I$89,3,0)*0.475*44/12</f>
        <v>0.58136970912429153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6.4265718429794187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287.52077437571728</v>
      </c>
      <c r="T154" s="59">
        <f t="shared" si="142"/>
        <v>420.95891230839874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7.5679095753899688</v>
      </c>
      <c r="AA154" s="21">
        <f>EXP(-LN(2)/25)*AA153+(1-EXP(-LN(2)/25))/(LN(2)/25)*Calculateur!V154*Calculateur!X154*VLOOKUP('Données projet'!$B$9,Paramètres!$A$1:$I$89,3,0)*0.475*44/12</f>
        <v>6.586842058217881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14.15475163360785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147.21567065005729</v>
      </c>
      <c r="AO154" s="59">
        <f t="shared" si="144"/>
        <v>332.2871246077637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5.7305812852314935</v>
      </c>
      <c r="AV154" s="21">
        <f>EXP(-LN(2)/25)*AV153+(1-EXP(-LN(2)/25))/(LN(2)/25)*Calculateur!AQ154*Calculateur!AS154*VLOOKUP('Données projet'!$B$10,Paramètres!$A$1:$I$89,3,0)*0.475*44/12</f>
        <v>0.56547212385538348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6.2960534090868769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287.52077437571728</v>
      </c>
      <c r="T155" s="59">
        <f t="shared" si="142"/>
        <v>420.95891230839874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7.4195074845856235</v>
      </c>
      <c r="AA155" s="21">
        <f>EXP(-LN(2)/25)*AA154+(1-EXP(-LN(2)/25))/(LN(2)/25)*Calculateur!V155*Calculateur!X155*VLOOKUP('Données projet'!$B$9,Paramètres!$A$1:$I$89,3,0)*0.475*44/12</f>
        <v>6.4067245157489436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13.826232000334567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147.21567065005729</v>
      </c>
      <c r="AO155" s="59">
        <f t="shared" si="144"/>
        <v>332.2871246077637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5.6182080815375546</v>
      </c>
      <c r="AV155" s="21">
        <f>EXP(-LN(2)/25)*AV154+(1-EXP(-LN(2)/25))/(LN(2)/25)*Calculateur!AQ155*Calculateur!AS155*VLOOKUP('Données projet'!$B$10,Paramètres!$A$1:$I$89,3,0)*0.475*44/12</f>
        <v>0.5500092588916714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6.1682173404292264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287.52077437571728</v>
      </c>
      <c r="T156" s="59">
        <f t="shared" si="142"/>
        <v>420.95891230839874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7.2740154682656133</v>
      </c>
      <c r="AA156" s="21">
        <f>EXP(-LN(2)/25)*AA155+(1-EXP(-LN(2)/25))/(LN(2)/25)*Calculateur!V156*Calculateur!X156*VLOOKUP('Données projet'!$B$9,Paramètres!$A$1:$I$89,3,0)*0.475*44/12</f>
        <v>6.2315322969507889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13.505547765216402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147.21567065005729</v>
      </c>
      <c r="AO156" s="59">
        <f t="shared" si="144"/>
        <v>332.2871246077637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5.5080384478271673</v>
      </c>
      <c r="AV156" s="21">
        <f>EXP(-LN(2)/25)*AV155+(1-EXP(-LN(2)/25))/(LN(2)/25)*Calculateur!AQ156*Calculateur!AS156*VLOOKUP('Données projet'!$B$10,Paramètres!$A$1:$I$89,3,0)*0.475*44/12</f>
        <v>0.53496922678354875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6.043007674610716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287.52077437571728</v>
      </c>
      <c r="T157" s="59">
        <f t="shared" si="142"/>
        <v>420.95891230839874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7.1313764616442716</v>
      </c>
      <c r="AA157" s="21">
        <f>EXP(-LN(2)/25)*AA156+(1-EXP(-LN(2)/25))/(LN(2)/25)*Calculateur!V157*Calculateur!X157*VLOOKUP('Données projet'!$B$9,Paramètres!$A$1:$I$89,3,0)*0.475*44/12</f>
        <v>6.0611307185886281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13.1925071802329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147.21567065005729</v>
      </c>
      <c r="AO157" s="59">
        <f t="shared" si="144"/>
        <v>332.2871246077637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5.4000291734369998</v>
      </c>
      <c r="AV157" s="21">
        <f>EXP(-LN(2)/25)*AV156+(1-EXP(-LN(2)/25))/(LN(2)/25)*Calculateur!AQ157*Calculateur!AS157*VLOOKUP('Données projet'!$B$10,Paramètres!$A$1:$I$89,3,0)*0.475*44/12</f>
        <v>0.52034046514434362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5.9203696385813434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287.52077437571728</v>
      </c>
      <c r="T158" s="59">
        <f t="shared" si="142"/>
        <v>420.95891230839874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6.9915345189415712</v>
      </c>
      <c r="AA158" s="21">
        <f>EXP(-LN(2)/25)*AA157+(1-EXP(-LN(2)/25))/(LN(2)/25)*Calculateur!V158*Calculateur!X158*VLOOKUP('Données projet'!$B$9,Paramètres!$A$1:$I$89,3,0)*0.475*44/12</f>
        <v>5.89538878034781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12.886923299289382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147.21567065005729</v>
      </c>
      <c r="AO158" s="59">
        <f t="shared" si="144"/>
        <v>332.2871246077637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5.294137895038471</v>
      </c>
      <c r="AV158" s="21">
        <f>EXP(-LN(2)/25)*AV157+(1-EXP(-LN(2)/25))/(LN(2)/25)*Calculateur!AQ158*Calculateur!AS158*VLOOKUP('Données projet'!$B$10,Paramètres!$A$1:$I$89,3,0)*0.475*44/12</f>
        <v>0.50611172776145574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5.8002496227999263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287.52077437571728</v>
      </c>
      <c r="T159" s="59">
        <f t="shared" si="142"/>
        <v>420.95891230839874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6.8544347914401076</v>
      </c>
      <c r="AA159" s="21">
        <f>EXP(-LN(2)/25)*AA158+(1-EXP(-LN(2)/25))/(LN(2)/25)*Calculateur!V159*Calculateur!X159*VLOOKUP('Données projet'!$B$9,Paramètres!$A$1:$I$89,3,0)*0.475*44/12</f>
        <v>5.7341790641241772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12.588613855564285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147.21567065005729</v>
      </c>
      <c r="AO159" s="59">
        <f t="shared" si="144"/>
        <v>332.2871246077637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5.1903230800220346</v>
      </c>
      <c r="AV159" s="21">
        <f>EXP(-LN(2)/25)*AV158+(1-EXP(-LN(2)/25))/(LN(2)/25)*Calculateur!AQ159*Calculateur!AS159*VLOOKUP('Données projet'!$B$10,Paramètres!$A$1:$I$89,3,0)*0.475*44/12</f>
        <v>0.49227207595055972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5.682595155972594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287.52077437571728</v>
      </c>
      <c r="T160" s="59">
        <f t="shared" si="142"/>
        <v>420.95891230839874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6.720023505972371</v>
      </c>
      <c r="AA160" s="21">
        <f>EXP(-LN(2)/25)*AA159+(1-EXP(-LN(2)/25))/(LN(2)/25)*Calculateur!V160*Calculateur!X160*VLOOKUP('Données projet'!$B$9,Paramètres!$A$1:$I$89,3,0)*0.475*44/12</f>
        <v>5.5773776360683298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12.297401142040702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147.21567065005729</v>
      </c>
      <c r="AO160" s="59">
        <f t="shared" si="144"/>
        <v>332.2871246077637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5.0885440102072863</v>
      </c>
      <c r="AV160" s="21">
        <f>EXP(-LN(2)/25)*AV159+(1-EXP(-LN(2)/25))/(LN(2)/25)*Calculateur!AQ160*Calculateur!AS160*VLOOKUP('Données projet'!$B$10,Paramètres!$A$1:$I$89,3,0)*0.475*44/12</f>
        <v>0.47881087014622831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5.5673548803535144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287.52077437571728</v>
      </c>
      <c r="T161" s="59">
        <f t="shared" si="142"/>
        <v>420.95891230839874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6.5882479438298676</v>
      </c>
      <c r="AA161" s="21">
        <f>EXP(-LN(2)/25)*AA160+(1-EXP(-LN(2)/25))/(LN(2)/25)*Calculateur!V161*Calculateur!X161*VLOOKUP('Données projet'!$B$9,Paramètres!$A$1:$I$89,3,0)*0.475*44/12</f>
        <v>5.4248639513084989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12.013111895138366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147.21567065005729</v>
      </c>
      <c r="AO161" s="59">
        <f t="shared" si="144"/>
        <v>332.2871246077637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4.9887607658725024</v>
      </c>
      <c r="AV161" s="21">
        <f>EXP(-LN(2)/25)*AV160+(1-EXP(-LN(2)/25))/(LN(2)/25)*Calculateur!AQ161*Calculateur!AS161*VLOOKUP('Données projet'!$B$10,Paramètres!$A$1:$I$89,3,0)*0.475*44/12</f>
        <v>0.46571776172251039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5.4544785275950129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287.52077437571728</v>
      </c>
      <c r="T162" s="59">
        <f t="shared" si="142"/>
        <v>420.95891230839874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6.4590564200858225</v>
      </c>
      <c r="AA162" s="21">
        <f>EXP(-LN(2)/25)*AA161+(1-EXP(-LN(2)/25))/(LN(2)/25)*Calculateur!V162*Calculateur!X162*VLOOKUP('Données projet'!$B$9,Paramètres!$A$1:$I$89,3,0)*0.475*44/12</f>
        <v>5.2765207612787712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11.735577181364594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147.21567065005729</v>
      </c>
      <c r="AO162" s="59">
        <f t="shared" si="144"/>
        <v>332.2871246077637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4.8909342100973543</v>
      </c>
      <c r="AV162" s="21">
        <f>EXP(-LN(2)/25)*AV161+(1-EXP(-LN(2)/25))/(LN(2)/25)*Calculateur!AQ162*Calculateur!AS162*VLOOKUP('Données projet'!$B$10,Paramètres!$A$1:$I$89,3,0)*0.475*44/12</f>
        <v>0.45298268503717565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5.3439168951345302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287.52077437571728</v>
      </c>
      <c r="T163" s="59">
        <f t="shared" si="142"/>
        <v>420.95891230839874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6.3323982633233493</v>
      </c>
      <c r="AA163" s="21">
        <f>EXP(-LN(2)/25)*AA162+(1-EXP(-LN(2)/25))/(LN(2)/25)*Calculateur!V163*Calculateur!X163*VLOOKUP('Données projet'!$B$9,Paramètres!$A$1:$I$89,3,0)*0.475*44/12</f>
        <v>5.1322340235814359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11.464632286904784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147.21567065005729</v>
      </c>
      <c r="AO163" s="59">
        <f t="shared" si="144"/>
        <v>332.2871246077637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4.795025973412649</v>
      </c>
      <c r="AV163" s="21">
        <f>EXP(-LN(2)/25)*AV162+(1-EXP(-LN(2)/25))/(LN(2)/25)*Calculateur!AQ163*Calculateur!AS163*VLOOKUP('Données projet'!$B$10,Paramètres!$A$1:$I$89,3,0)*0.475*44/12</f>
        <v>0.44059584969350996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5.2356218231061593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287.52077437571728</v>
      </c>
      <c r="T164" s="59">
        <f t="shared" si="142"/>
        <v>420.95891230839874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6.2082237957611408</v>
      </c>
      <c r="AA164" s="21">
        <f>EXP(-LN(2)/25)*AA163+(1-EXP(-LN(2)/25))/(LN(2)/25)*Calculateur!V164*Calculateur!X164*VLOOKUP('Données projet'!$B$9,Paramètres!$A$1:$I$89,3,0)*0.475*44/12</f>
        <v>4.9918928143141441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11.200116610075284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147.21567065005729</v>
      </c>
      <c r="AO164" s="59">
        <f t="shared" si="144"/>
        <v>332.2871246077637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4.7009984387510828</v>
      </c>
      <c r="AV164" s="21">
        <f>EXP(-LN(2)/25)*AV163+(1-EXP(-LN(2)/25))/(LN(2)/25)*Calculateur!AQ164*Calculateur!AS164*VLOOKUP('Données projet'!$B$10,Paramètres!$A$1:$I$89,3,0)*0.475*44/12</f>
        <v>0.42854773301371218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5.1295461717647948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287.52077437571728</v>
      </c>
      <c r="T165" s="59">
        <f t="shared" si="142"/>
        <v>420.95891230839874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6.0864843137688807</v>
      </c>
      <c r="AA165" s="21">
        <f>EXP(-LN(2)/25)*AA164+(1-EXP(-LN(2)/25))/(LN(2)/25)*Calculateur!V165*Calculateur!X165*VLOOKUP('Données projet'!$B$9,Paramètres!$A$1:$I$89,3,0)*0.475*44/12</f>
        <v>4.85538924279449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10.941873556563371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147.21567065005729</v>
      </c>
      <c r="AO165" s="59">
        <f t="shared" si="144"/>
        <v>332.2871246077637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4.6088147266930966</v>
      </c>
      <c r="AV165" s="21">
        <f>EXP(-LN(2)/25)*AV164+(1-EXP(-LN(2)/25))/(LN(2)/25)*Calculateur!AQ165*Calculateur!AS165*VLOOKUP('Données projet'!$B$10,Paramètres!$A$1:$I$89,3,0)*0.475*44/12</f>
        <v>0.41682907271810643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5.0256437994112027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287.52077437571728</v>
      </c>
      <c r="T166" s="59">
        <f t="shared" si="142"/>
        <v>420.95891230839874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5.9671320687647365</v>
      </c>
      <c r="AA166" s="21">
        <f>EXP(-LN(2)/25)*AA165+(1-EXP(-LN(2)/25))/(LN(2)/25)*Calculateur!V166*Calculateur!X166*VLOOKUP('Données projet'!$B$9,Paramètres!$A$1:$I$89,3,0)*0.475*44/12</f>
        <v>4.7226183686164518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10.689750437381189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147.21567065005729</v>
      </c>
      <c r="AO166" s="59">
        <f t="shared" si="144"/>
        <v>332.2871246077637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4.5184386810020554</v>
      </c>
      <c r="AV166" s="21">
        <f>EXP(-LN(2)/25)*AV165+(1-EXP(-LN(2)/25))/(LN(2)/25)*Calculateur!AQ166*Calculateur!AS166*VLOOKUP('Données projet'!$B$10,Paramètres!$A$1:$I$89,3,0)*0.475*44/12</f>
        <v>0.40543085980454158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4.9238695408065967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287.52077437571728</v>
      </c>
      <c r="T167" s="59">
        <f t="shared" si="142"/>
        <v>420.95891230839874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5.8501202484874417</v>
      </c>
      <c r="AA167" s="21">
        <f>EXP(-LN(2)/25)*AA166+(1-EXP(-LN(2)/25))/(LN(2)/25)*Calculateur!V167*Calculateur!X167*VLOOKUP('Données projet'!$B$9,Paramètres!$A$1:$I$89,3,0)*0.475*44/12</f>
        <v>4.5934781209749289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10.443598369462372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147.21567065005729</v>
      </c>
      <c r="AO167" s="59">
        <f t="shared" si="144"/>
        <v>332.2871246077637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4.4298348544430706</v>
      </c>
      <c r="AV167" s="21">
        <f>EXP(-LN(2)/25)*AV166+(1-EXP(-LN(2)/25))/(LN(2)/25)*Calculateur!AQ167*Calculateur!AS167*VLOOKUP('Données projet'!$B$10,Paramètres!$A$1:$I$89,3,0)*0.475*44/12</f>
        <v>0.3943443316225041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4.8241791860655745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287.52077437571728</v>
      </c>
      <c r="T168" s="59">
        <f t="shared" si="142"/>
        <v>420.95891230839874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5.7354029586356221</v>
      </c>
      <c r="AA168" s="21">
        <f>EXP(-LN(2)/25)*AA167+(1-EXP(-LN(2)/25))/(LN(2)/25)*Calculateur!V168*Calculateur!X168*VLOOKUP('Données projet'!$B$9,Paramètres!$A$1:$I$89,3,0)*0.475*44/12</f>
        <v>4.4678692201963539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10.203272178831977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147.21567065005729</v>
      </c>
      <c r="AO168" s="59">
        <f t="shared" si="144"/>
        <v>332.2871246077637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4.3429684948799094</v>
      </c>
      <c r="AV168" s="21">
        <f>EXP(-LN(2)/25)*AV167+(1-EXP(-LN(2)/25))/(LN(2)/25)*Calculateur!AQ168*Calculateur!AS168*VLOOKUP('Données projet'!$B$10,Paramètres!$A$1:$I$89,3,0)*0.475*44/12</f>
        <v>0.38356096513661958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4.7265294600165291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287.52077437571728</v>
      </c>
      <c r="T169" s="59">
        <f t="shared" si="142"/>
        <v>420.95891230839874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5.6229352048671588</v>
      </c>
      <c r="AA169" s="21">
        <f>EXP(-LN(2)/25)*AA168+(1-EXP(-LN(2)/25))/(LN(2)/25)*Calculateur!V169*Calculateur!X169*VLOOKUP('Données projet'!$B$9,Paramètres!$A$1:$I$89,3,0)*0.475*44/12</f>
        <v>4.3456951014150533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9.9686303062822113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147.21567065005729</v>
      </c>
      <c r="AO169" s="59">
        <f t="shared" si="144"/>
        <v>332.2871246077637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4.257805531644534</v>
      </c>
      <c r="AV169" s="21">
        <f>EXP(-LN(2)/25)*AV168+(1-EXP(-LN(2)/25))/(LN(2)/25)*Calculateur!AQ169*Calculateur!AS169*VLOOKUP('Données projet'!$B$10,Paramètres!$A$1:$I$89,3,0)*0.475*44/12</f>
        <v>0.3730724703743642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4.630878002018898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287.52077437571728</v>
      </c>
      <c r="T170" s="59">
        <f t="shared" si="142"/>
        <v>420.95891230839874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5.512672875151539</v>
      </c>
      <c r="AA170" s="21">
        <f>EXP(-LN(2)/25)*AA169+(1-EXP(-LN(2)/25))/(LN(2)/25)*Calculateur!V170*Calculateur!X170*VLOOKUP('Données projet'!$B$9,Paramètres!$A$1:$I$89,3,0)*0.475*44/12</f>
        <v>4.2268618403366851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9.7395347154882241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147.21567065005729</v>
      </c>
      <c r="AO170" s="59">
        <f t="shared" si="144"/>
        <v>332.2871246077637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4.1743125621739257</v>
      </c>
      <c r="AV170" s="21">
        <f>EXP(-LN(2)/25)*AV169+(1-EXP(-LN(2)/25))/(LN(2)/25)*Calculateur!AQ170*Calculateur!AS170*VLOOKUP('Données projet'!$B$10,Paramètres!$A$1:$I$89,3,0)*0.475*44/12</f>
        <v>0.36287078405294865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4.5371833462268745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287.52077437571728</v>
      </c>
      <c r="T171" s="59">
        <f t="shared" si="142"/>
        <v>420.95891230839874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5.404572722468262</v>
      </c>
      <c r="AA171" s="21">
        <f>EXP(-LN(2)/25)*AA170+(1-EXP(-LN(2)/25))/(LN(2)/25)*Calculateur!V171*Calculateur!X171*VLOOKUP('Données projet'!$B$9,Paramètres!$A$1:$I$89,3,0)*0.475*44/12</f>
        <v>4.1112780810316751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9.5158508034999372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147.21567065005729</v>
      </c>
      <c r="AO171" s="59">
        <f t="shared" si="144"/>
        <v>332.2871246077637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4.0924568389089533</v>
      </c>
      <c r="AV171" s="21">
        <f>EXP(-LN(2)/25)*AV170+(1-EXP(-LN(2)/25))/(LN(2)/25)*Calculateur!AQ171*Calculateur!AS171*VLOOKUP('Données projet'!$B$10,Paramètres!$A$1:$I$89,3,0)*0.475*44/12</f>
        <v>0.35294806338047557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4.4454049022894289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287.52077437571728</v>
      </c>
      <c r="T172" s="59">
        <f t="shared" si="142"/>
        <v>420.95891230839874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5.2985923478445214</v>
      </c>
      <c r="AA172" s="21">
        <f>EXP(-LN(2)/25)*AA171+(1-EXP(-LN(2)/25))/(LN(2)/25)*Calculateur!V172*Calculateur!X172*VLOOKUP('Données projet'!$B$9,Paramètres!$A$1:$I$89,3,0)*0.475*44/12</f>
        <v>3.998854965703146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9.2974473135476678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147.21567065005729</v>
      </c>
      <c r="AO172" s="59">
        <f t="shared" si="144"/>
        <v>332.2871246077637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4.0122062564501455</v>
      </c>
      <c r="AV172" s="21">
        <f>EXP(-LN(2)/25)*AV171+(1-EXP(-LN(2)/25))/(LN(2)/25)*Calculateur!AQ172*Calculateur!AS172*VLOOKUP('Données projet'!$B$10,Paramètres!$A$1:$I$89,3,0)*0.475*44/12</f>
        <v>0.34329668002660452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4.3555029364767499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287.52077437571728</v>
      </c>
      <c r="T173" s="59">
        <f t="shared" si="142"/>
        <v>420.95891230839874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5.1946901837255064</v>
      </c>
      <c r="AA173" s="21">
        <f>EXP(-LN(2)/25)*AA172+(1-EXP(-LN(2)/25))/(LN(2)/25)*Calculateur!V173*Calculateur!X173*VLOOKUP('Données projet'!$B$9,Paramètres!$A$1:$I$89,3,0)*0.475*44/12</f>
        <v>3.8895060663753505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9.084196250100856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147.21567065005729</v>
      </c>
      <c r="AO173" s="59">
        <f t="shared" si="144"/>
        <v>332.2871246077637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3.9335293389653332</v>
      </c>
      <c r="AV173" s="21">
        <f>EXP(-LN(2)/25)*AV172+(1-EXP(-LN(2)/25))/(LN(2)/25)*Calculateur!AQ173*Calculateur!AS173*VLOOKUP('Données projet'!$B$10,Paramètres!$A$1:$I$89,3,0)*0.475*44/12</f>
        <v>0.33390921425808923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4.267438553223422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287.52077437571728</v>
      </c>
      <c r="T174" s="59">
        <f t="shared" si="142"/>
        <v>420.95891230839874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5.0928254776708028</v>
      </c>
      <c r="AA174" s="21">
        <f>EXP(-LN(2)/25)*AA173+(1-EXP(-LN(2)/25))/(LN(2)/25)*Calculateur!V174*Calculateur!X174*VLOOKUP('Données projet'!$B$9,Paramètres!$A$1:$I$89,3,0)*0.475*44/12</f>
        <v>3.7831473184500819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8.8759727961208839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147.21567065005729</v>
      </c>
      <c r="AO174" s="59">
        <f t="shared" si="144"/>
        <v>332.2871246077637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3.8563952278442168</v>
      </c>
      <c r="AV174" s="21">
        <f>EXP(-LN(2)/25)*AV173+(1-EXP(-LN(2)/25))/(LN(2)/25)*Calculateur!AQ174*Calculateur!AS174*VLOOKUP('Données projet'!$B$10,Paramètres!$A$1:$I$89,3,0)*0.475*44/12</f>
        <v>0.32477844923467936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4.1811736770788963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287.52077437571728</v>
      </c>
      <c r="T175" s="59">
        <f t="shared" si="142"/>
        <v>420.95891230839874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4.9929582763704961</v>
      </c>
      <c r="AA175" s="21">
        <f>EXP(-LN(2)/25)*AA174+(1-EXP(-LN(2)/25))/(LN(2)/25)*Calculateur!V175*Calculateur!X175*VLOOKUP('Données projet'!$B$9,Paramètres!$A$1:$I$89,3,0)*0.475*44/12</f>
        <v>3.6796969560799933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8.6726552324504897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147.21567065005729</v>
      </c>
      <c r="AO175" s="59">
        <f t="shared" si="144"/>
        <v>332.2871246077637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3.7807736695950234</v>
      </c>
      <c r="AV175" s="21">
        <f>EXP(-LN(2)/25)*AV174+(1-EXP(-LN(2)/25))/(LN(2)/25)*Calculateur!AQ175*Calculateur!AS175*VLOOKUP('Données projet'!$B$10,Paramètres!$A$1:$I$89,3,0)*0.475*44/12</f>
        <v>0.31589736546100067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4.0966710350560245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287.52077437571728</v>
      </c>
      <c r="T176" s="59">
        <f t="shared" si="142"/>
        <v>420.95891230839874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4.8950494099747104</v>
      </c>
      <c r="AA176" s="21">
        <f>EXP(-LN(2)/25)*AA175+(1-EXP(-LN(2)/25))/(LN(2)/25)*Calculateur!V176*Calculateur!X176*VLOOKUP('Données projet'!$B$9,Paramètres!$A$1:$I$89,3,0)*0.475*44/12</f>
        <v>3.579075449309133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8.4741248592838438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147.21567065005729</v>
      </c>
      <c r="AO176" s="59">
        <f t="shared" si="144"/>
        <v>332.2871246077637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3.7066350039785005</v>
      </c>
      <c r="AV176" s="21">
        <f>EXP(-LN(2)/25)*AV175+(1-EXP(-LN(2)/25))/(LN(2)/25)*Calculateur!AQ176*Calculateur!AS176*VLOOKUP('Données projet'!$B$10,Paramètres!$A$1:$I$89,3,0)*0.475*44/12</f>
        <v>0.30725913539014915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4.0138941393686496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287.52077437571728</v>
      </c>
      <c r="T177" s="59">
        <f t="shared" si="142"/>
        <v>420.95891230839874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4.7990604767304346</v>
      </c>
      <c r="AA177" s="21">
        <f>EXP(-LN(2)/25)*AA176+(1-EXP(-LN(2)/25))/(LN(2)/25)*Calculateur!V177*Calculateur!X177*VLOOKUP('Données projet'!$B$9,Paramètres!$A$1:$I$89,3,0)*0.475*44/12</f>
        <v>3.4812054429323771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8.2802659196628117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147.21567065005729</v>
      </c>
      <c r="AO177" s="59">
        <f t="shared" si="144"/>
        <v>332.2871246077637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3.633950152374597</v>
      </c>
      <c r="AV177" s="21">
        <f>EXP(-LN(2)/25)*AV176+(1-EXP(-LN(2)/25))/(LN(2)/25)*Calculateur!AQ177*Calculateur!AS177*VLOOKUP('Données projet'!$B$10,Paramètres!$A$1:$I$89,3,0)*0.475*44/12</f>
        <v>0.29885711817484983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3.9328072705494468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287.52077437571728</v>
      </c>
      <c r="T178" s="59">
        <f t="shared" si="142"/>
        <v>420.95891230839874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4.7049538279196108</v>
      </c>
      <c r="AA178" s="21">
        <f>EXP(-LN(2)/25)*AA177+(1-EXP(-LN(2)/25))/(LN(2)/25)*Calculateur!V178*Calculateur!X178*VLOOKUP('Données projet'!$B$9,Paramètres!$A$1:$I$89,3,0)*0.475*44/12</f>
        <v>3.3860116970267535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8.0909655249463643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147.21567065005729</v>
      </c>
      <c r="AO178" s="59">
        <f t="shared" si="144"/>
        <v>332.2871246077637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3.5626906063772639</v>
      </c>
      <c r="AV178" s="21">
        <f>EXP(-LN(2)/25)*AV177+(1-EXP(-LN(2)/25))/(LN(2)/25)*Calculateur!AQ178*Calculateur!AS178*VLOOKUP('Données projet'!$B$10,Paramètres!$A$1:$I$89,3,0)*0.475*44/12</f>
        <v>0.29068485456214577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3.8533754609394095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287.52077437571728</v>
      </c>
      <c r="T179" s="59">
        <f t="shared" si="142"/>
        <v>420.95891230839874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4.6126925530925789</v>
      </c>
      <c r="AA179" s="21">
        <f>EXP(-LN(2)/25)*AA178+(1-EXP(-LN(2)/25))/(LN(2)/25)*Calculateur!V179*Calculateur!X179*VLOOKUP('Données projet'!$B$9,Paramètres!$A$1:$I$89,3,0)*0.475*44/12</f>
        <v>3.2934210291089405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7.9061135822015194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147.21567065005729</v>
      </c>
      <c r="AO179" s="59">
        <f t="shared" si="144"/>
        <v>332.2871246077637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3.4928284166129071</v>
      </c>
      <c r="AV179" s="21">
        <f>EXP(-LN(2)/25)*AV178+(1-EXP(-LN(2)/25))/(LN(2)/25)*Calculateur!AQ179*Calculateur!AS179*VLOOKUP('Données projet'!$B$10,Paramètres!$A$1:$I$89,3,0)*0.475*44/12</f>
        <v>0.28273606192769174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3.7755644785405988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287.52077437571728</v>
      </c>
      <c r="T180" s="59">
        <f t="shared" si="142"/>
        <v>420.95891230839874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4.5222404655910839</v>
      </c>
      <c r="AA180" s="21">
        <f>EXP(-LN(2)/25)*AA179+(1-EXP(-LN(2)/25))/(LN(2)/25)*Calculateur!V180*Calculateur!X180*VLOOKUP('Données projet'!$B$9,Paramètres!$A$1:$I$89,3,0)*0.475*44/12</f>
        <v>3.2033622578744718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7.7256027234655562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147.21567065005729</v>
      </c>
      <c r="AO180" s="59">
        <f t="shared" si="144"/>
        <v>332.2871246077637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3.4243361817781013</v>
      </c>
      <c r="AV180" s="21">
        <f>EXP(-LN(2)/25)*AV179+(1-EXP(-LN(2)/25))/(LN(2)/25)*Calculateur!AQ180*Calculateur!AS180*VLOOKUP('Données projet'!$B$10,Paramètres!$A$1:$I$89,3,0)*0.475*44/12</f>
        <v>0.2750046294458357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3.6993408112239372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287.52077437571728</v>
      </c>
      <c r="T181" s="59">
        <f t="shared" si="142"/>
        <v>420.95891230839874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4.4335620883551679</v>
      </c>
      <c r="AA181" s="21">
        <f>EXP(-LN(2)/25)*AA180+(1-EXP(-LN(2)/25))/(LN(2)/25)*Calculateur!V181*Calculateur!X181*VLOOKUP('Données projet'!$B$9,Paramètres!$A$1:$I$89,3,0)*0.475*44/12</f>
        <v>3.1157661484753945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7.5493282368305623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147.21567065005729</v>
      </c>
      <c r="AO181" s="59">
        <f t="shared" si="144"/>
        <v>332.2871246077637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3.3571870378922677</v>
      </c>
      <c r="AV181" s="21">
        <f>EXP(-LN(2)/25)*AV180+(1-EXP(-LN(2)/25))/(LN(2)/25)*Calculateur!AQ181*Calculateur!AS181*VLOOKUP('Données projet'!$B$10,Paramètres!$A$1:$I$89,3,0)*0.475*44/12</f>
        <v>0.26748461339177437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3.624671651284042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287.52077437571728</v>
      </c>
      <c r="T182" s="59">
        <f t="shared" si="142"/>
        <v>420.95891230839874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4.3466226400083787</v>
      </c>
      <c r="AA182" s="21">
        <f>EXP(-LN(2)/25)*AA181+(1-EXP(-LN(2)/25))/(LN(2)/25)*Calculateur!V182*Calculateur!X182*VLOOKUP('Données projet'!$B$9,Paramètres!$A$1:$I$89,3,0)*0.475*44/12</f>
        <v>3.030565359294314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7.3771879993026932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147.21567065005729</v>
      </c>
      <c r="AO182" s="59">
        <f t="shared" si="144"/>
        <v>332.2871246077637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3.2913546477611018</v>
      </c>
      <c r="AV182" s="21">
        <f>EXP(-LN(2)/25)*AV181+(1-EXP(-LN(2)/25))/(LN(2)/25)*Calculateur!AQ182*Calculateur!AS182*VLOOKUP('Données projet'!$B$10,Paramètres!$A$1:$I$89,3,0)*0.475*44/12</f>
        <v>0.26017023257217181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3.5515248803332735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287.52077437571728</v>
      </c>
      <c r="T183" s="59">
        <f t="shared" si="142"/>
        <v>420.95891230839874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4.2613880212158426</v>
      </c>
      <c r="AA183" s="21">
        <f>EXP(-LN(2)/25)*AA182+(1-EXP(-LN(2)/25))/(LN(2)/25)*Calculateur!V183*Calculateur!X183*VLOOKUP('Données projet'!$B$9,Paramètres!$A$1:$I$89,3,0)*0.475*44/12</f>
        <v>2.947694390173905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7.2090824113897476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147.21567065005729</v>
      </c>
      <c r="AO183" s="59">
        <f t="shared" si="144"/>
        <v>332.2871246077637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3.2268131906466149</v>
      </c>
      <c r="AV183" s="21">
        <f>EXP(-LN(2)/25)*AV182+(1-EXP(-LN(2)/25))/(LN(2)/25)*Calculateur!AQ183*Calculateur!AS183*VLOOKUP('Données projet'!$B$10,Paramètres!$A$1:$I$89,3,0)*0.475*44/12</f>
        <v>0.25305586388072787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3.4798690545273425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287.52077437571728</v>
      </c>
      <c r="T184" s="59">
        <f t="shared" si="142"/>
        <v>420.95891230839874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4.1778248013098445</v>
      </c>
      <c r="AA184" s="21">
        <f>EXP(-LN(2)/25)*AA183+(1-EXP(-LN(2)/25))/(LN(2)/25)*Calculateur!V184*Calculateur!X184*VLOOKUP('Données projet'!$B$9,Paramètres!$A$1:$I$89,3,0)*0.475*44/12</f>
        <v>2.8670895320620886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7.0449143333719331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147.21567065005729</v>
      </c>
      <c r="AO184" s="59">
        <f t="shared" si="144"/>
        <v>332.2871246077637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3.1635373521397412</v>
      </c>
      <c r="AV184" s="21">
        <f>EXP(-LN(2)/25)*AV183+(1-EXP(-LN(2)/25))/(LN(2)/25)*Calculateur!AQ184*Calculateur!AS184*VLOOKUP('Données projet'!$B$10,Paramètres!$A$1:$I$89,3,0)*0.475*44/12</f>
        <v>0.24613603797527986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3.4096733901150209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287.52077437571728</v>
      </c>
      <c r="T185" s="59">
        <f t="shared" si="142"/>
        <v>420.95891230839874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4.0959002051776716</v>
      </c>
      <c r="AA185" s="21">
        <f>EXP(-LN(2)/25)*AA184+(1-EXP(-LN(2)/25))/(LN(2)/25)*Calculateur!V185*Calculateur!X185*VLOOKUP('Données projet'!$B$9,Paramètres!$A$1:$I$89,3,0)*0.475*44/12</f>
        <v>2.7886888180341649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6.8845890232118361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147.21567065005729</v>
      </c>
      <c r="AO185" s="59">
        <f t="shared" si="144"/>
        <v>332.2871246077637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3.1015023142315368</v>
      </c>
      <c r="AV185" s="21">
        <f>EXP(-LN(2)/25)*AV184+(1-EXP(-LN(2)/25))/(LN(2)/25)*Calculateur!AQ185*Calculateur!AS185*VLOOKUP('Données projet'!$B$10,Paramètres!$A$1:$I$89,3,0)*0.475*44/12</f>
        <v>0.23940543507311415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3.3409077493046508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287.52077437571728</v>
      </c>
      <c r="T186" s="59">
        <f t="shared" si="142"/>
        <v>420.95891230839874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4.015582100406581</v>
      </c>
      <c r="AA186" s="21">
        <f>EXP(-LN(2)/25)*AA185+(1-EXP(-LN(2)/25))/(LN(2)/25)*Calculateur!V186*Calculateur!X186*VLOOKUP('Données projet'!$B$9,Paramètres!$A$1:$I$89,3,0)*0.475*44/12</f>
        <v>2.7124319756542494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6.7280140760608305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147.21567065005729</v>
      </c>
      <c r="AO186" s="59">
        <f t="shared" si="144"/>
        <v>332.2871246077637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3.0406837455790754</v>
      </c>
      <c r="AV186" s="21">
        <f>EXP(-LN(2)/25)*AV185+(1-EXP(-LN(2)/25))/(LN(2)/25)*Calculateur!AQ186*Calculateur!AS186*VLOOKUP('Données projet'!$B$10,Paramètres!$A$1:$I$89,3,0)*0.475*44/12</f>
        <v>0.2328588808612552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3.2735426264403307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287.52077437571728</v>
      </c>
      <c r="T187" s="59">
        <f t="shared" si="142"/>
        <v>420.95891230839874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3.9368389846808447</v>
      </c>
      <c r="AA187" s="21">
        <f>EXP(-LN(2)/25)*AA186+(1-EXP(-LN(2)/25))/(LN(2)/25)*Calculateur!V187*Calculateur!X187*VLOOKUP('Données projet'!$B$9,Paramètres!$A$1:$I$89,3,0)*0.475*44/12</f>
        <v>2.6382603806393856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6.5750993653202308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147.21567065005729</v>
      </c>
      <c r="AO187" s="59">
        <f t="shared" si="144"/>
        <v>332.2871246077637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2.9810577919622245</v>
      </c>
      <c r="AV187" s="21">
        <f>EXP(-LN(2)/25)*AV186+(1-EXP(-LN(2)/25))/(LN(2)/25)*Calculateur!AQ187*Calculateur!AS187*VLOOKUP('Données projet'!$B$10,Paramètres!$A$1:$I$89,3,0)*0.475*44/12</f>
        <v>0.22649134251858782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3.2075491344808125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287.52077437571728</v>
      </c>
      <c r="T188" s="59">
        <f t="shared" si="142"/>
        <v>420.95891230839874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3.8596399734259319</v>
      </c>
      <c r="AA188" s="21">
        <f>EXP(-LN(2)/25)*AA187+(1-EXP(-LN(2)/25))/(LN(2)/25)*Calculateur!V188*Calculateur!X188*VLOOKUP('Données projet'!$B$9,Paramètres!$A$1:$I$89,3,0)*0.475*44/12</f>
        <v>2.5661170117907179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6.4257569852166494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147.21567065005729</v>
      </c>
      <c r="AO188" s="59">
        <f t="shared" si="144"/>
        <v>332.2871246077637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2.9226010669275597</v>
      </c>
      <c r="AV188" s="21">
        <f>EXP(-LN(2)/25)*AV187+(1-EXP(-LN(2)/25))/(LN(2)/25)*Calculateur!AQ188*Calculateur!AS188*VLOOKUP('Données projet'!$B$10,Paramètres!$A$1:$I$89,3,0)*0.475*44/12</f>
        <v>0.22029792484675498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3.1428989917743149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287.52077437571728</v>
      </c>
      <c r="T189" s="59">
        <f t="shared" si="142"/>
        <v>420.95891230839874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3.7839547876949804</v>
      </c>
      <c r="AA189" s="21">
        <f>EXP(-LN(2)/25)*AA188+(1-EXP(-LN(2)/25))/(LN(2)/25)*Calculateur!V189*Calculateur!X189*VLOOKUP('Données projet'!$B$9,Paramètres!$A$1:$I$89,3,0)*0.475*44/12</f>
        <v>2.4959464071570721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6.2799011948520524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147.21567065005729</v>
      </c>
      <c r="AO189" s="59">
        <f t="shared" si="144"/>
        <v>332.2871246077637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2.8652906426157427</v>
      </c>
      <c r="AV189" s="21">
        <f>EXP(-LN(2)/25)*AV188+(1-EXP(-LN(2)/25))/(LN(2)/25)*Calculateur!AQ189*Calculateur!AS189*VLOOKUP('Données projet'!$B$10,Paramètres!$A$1:$I$89,3,0)*0.475*44/12</f>
        <v>0.21427386650685609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3.0795645091225987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287.52077437571728</v>
      </c>
      <c r="T190" s="59">
        <f t="shared" si="142"/>
        <v>420.95891230839874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3.7097537422928077</v>
      </c>
      <c r="AA190" s="21">
        <f>EXP(-LN(2)/25)*AA189+(1-EXP(-LN(2)/25))/(LN(2)/25)*Calculateur!V190*Calculateur!X190*VLOOKUP('Données projet'!$B$9,Paramètres!$A$1:$I$89,3,0)*0.475*44/12</f>
        <v>2.427694621397245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6.1374483636900532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147.21567065005729</v>
      </c>
      <c r="AO190" s="59">
        <f t="shared" si="144"/>
        <v>332.2871246077637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2.8091040407687733</v>
      </c>
      <c r="AV190" s="21">
        <f>EXP(-LN(2)/25)*AV189+(1-EXP(-LN(2)/25))/(LN(2)/25)*Calculateur!AQ190*Calculateur!AS190*VLOOKUP('Données projet'!$B$10,Paramètres!$A$1:$I$89,3,0)*0.475*44/12</f>
        <v>0.20841453635905322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3.0175185771278263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287.52077437571728</v>
      </c>
      <c r="T191" s="59">
        <f t="shared" si="142"/>
        <v>420.95891230839874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3.6370077341328031</v>
      </c>
      <c r="AA191" s="21">
        <f>EXP(-LN(2)/25)*AA190+(1-EXP(-LN(2)/25))/(LN(2)/25)*Calculateur!V191*Calculateur!X191*VLOOKUP('Données projet'!$B$9,Paramètres!$A$1:$I$89,3,0)*0.475*44/12</f>
        <v>2.3613091843082259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5.998316918441029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147.21567065005729</v>
      </c>
      <c r="AO191" s="59">
        <f t="shared" si="144"/>
        <v>332.2871246077637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2.7540192239135797</v>
      </c>
      <c r="AV191" s="21">
        <f>EXP(-LN(2)/25)*AV190+(1-EXP(-LN(2)/25))/(LN(2)/25)*Calculateur!AQ191*Calculateur!AS191*VLOOKUP('Données projet'!$B$10,Paramètres!$A$1:$I$89,3,0)*0.475*44/12</f>
        <v>0.20271542990227079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2.9567346538158503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287.52077437571728</v>
      </c>
      <c r="T192" s="59">
        <f t="shared" si="142"/>
        <v>420.95891230839874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3.5656882308221323</v>
      </c>
      <c r="AA192" s="21">
        <f>EXP(-LN(2)/25)*AA191+(1-EXP(-LN(2)/25))/(LN(2)/25)*Calculateur!V192*Calculateur!X192*VLOOKUP('Données projet'!$B$9,Paramètres!$A$1:$I$89,3,0)*0.475*44/12</f>
        <v>2.2967390604874645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5.8624272913095972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147.21567065005729</v>
      </c>
      <c r="AO192" s="59">
        <f t="shared" si="144"/>
        <v>332.2871246077637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2.7000145867184959</v>
      </c>
      <c r="AV192" s="21">
        <f>EXP(-LN(2)/25)*AV191+(1-EXP(-LN(2)/25))/(LN(2)/25)*Calculateur!AQ192*Calculateur!AS192*VLOOKUP('Données projet'!$B$10,Paramètres!$A$1:$I$89,3,0)*0.475*44/12</f>
        <v>0.19717216581125205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2.8971867525297479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287.52077437571728</v>
      </c>
      <c r="T193" s="59">
        <f t="shared" si="142"/>
        <v>420.95891230839874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3.495767259470782</v>
      </c>
      <c r="AA193" s="21">
        <f>EXP(-LN(2)/25)*AA192+(1-EXP(-LN(2)/25))/(LN(2)/25)*Calculateur!V193*Calculateur!X193*VLOOKUP('Données projet'!$B$9,Paramètres!$A$1:$I$89,3,0)*0.475*44/12</f>
        <v>2.233934610098177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5.7297018695689594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147.21567065005729</v>
      </c>
      <c r="AO193" s="59">
        <f t="shared" si="144"/>
        <v>332.2871246077637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2.6470689475192315</v>
      </c>
      <c r="AV193" s="21">
        <f>EXP(-LN(2)/25)*AV192+(1-EXP(-LN(2)/25))/(LN(2)/25)*Calculateur!AQ193*Calculateur!AS193*VLOOKUP('Données projet'!$B$10,Paramètres!$A$1:$I$89,3,0)*0.475*44/12</f>
        <v>0.19178048256830979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2.8388494300875413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287.52077437571728</v>
      </c>
      <c r="T194" s="59">
        <f t="shared" si="142"/>
        <v>420.95891230839874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3.4272173957200502</v>
      </c>
      <c r="AA194" s="21">
        <f>EXP(-LN(2)/25)*AA193+(1-EXP(-LN(2)/25))/(LN(2)/25)*Calculateur!V194*Calculateur!X194*VLOOKUP('Données projet'!$B$9,Paramètres!$A$1:$I$89,3,0)*0.475*44/12</f>
        <v>2.1728475507075267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5.6000649464275769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147.21567065005729</v>
      </c>
      <c r="AO194" s="59">
        <f t="shared" si="144"/>
        <v>332.2871246077637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2.5951615400110137</v>
      </c>
      <c r="AV194" s="21">
        <f>EXP(-LN(2)/25)*AV193+(1-EXP(-LN(2)/25))/(LN(2)/25)*Calculateur!AQ194*Calculateur!AS194*VLOOKUP('Données projet'!$B$10,Paramètres!$A$1:$I$89,3,0)*0.475*44/12</f>
        <v>0.1865362351871821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2.7816977751981957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287.52077437571728</v>
      </c>
      <c r="T195" s="59">
        <f t="shared" si="142"/>
        <v>420.95891230839874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3.3600117529861819</v>
      </c>
      <c r="AA195" s="21">
        <f>EXP(-LN(2)/25)*AA194+(1-EXP(-LN(2)/25))/(LN(2)/25)*Calculateur!V195*Calculateur!X195*VLOOKUP('Données projet'!$B$9,Paramètres!$A$1:$I$89,3,0)*0.475*44/12</f>
        <v>2.1134309201683426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5.4734426731545245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147.21567065005729</v>
      </c>
      <c r="AO195" s="59">
        <f t="shared" si="144"/>
        <v>332.2871246077637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2.5442720051036396</v>
      </c>
      <c r="AV195" s="21">
        <f>EXP(-LN(2)/25)*AV194+(1-EXP(-LN(2)/25))/(LN(2)/25)*Calculateur!AQ195*Calculateur!AS195*VLOOKUP('Données projet'!$B$10,Paramètres!$A$1:$I$89,3,0)*0.475*44/12</f>
        <v>0.18143539202647432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2.725707397130114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287.52077437571728</v>
      </c>
      <c r="T196" s="59">
        <f t="shared" si="142"/>
        <v>420.95891230839874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3.2941239719149302</v>
      </c>
      <c r="AA196" s="21">
        <f>EXP(-LN(2)/25)*AA195+(1-EXP(-LN(2)/25))/(LN(2)/25)*Calculateur!V196*Calculateur!X196*VLOOKUP('Données projet'!$B$9,Paramètres!$A$1:$I$89,3,0)*0.475*44/12</f>
        <v>2.0556390405158376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5.3497630124307678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147.21567065005729</v>
      </c>
      <c r="AO196" s="59">
        <f t="shared" si="144"/>
        <v>332.2871246077637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2.4943803829362476</v>
      </c>
      <c r="AV196" s="21">
        <f>EXP(-LN(2)/25)*AV195+(1-EXP(-LN(2)/25))/(LN(2)/25)*Calculateur!AQ196*Calculateur!AS196*VLOOKUP('Données projet'!$B$10,Paramètres!$A$1:$I$89,3,0)*0.475*44/12</f>
        <v>0.17647403169023779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2.6708544146264854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287.52077437571728</v>
      </c>
      <c r="T197" s="59">
        <f t="shared" ref="T197:T203" si="204">$T$3</f>
        <v>420.95891230839874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3.2295282100429077</v>
      </c>
      <c r="AA197" s="21">
        <f>EXP(-LN(2)/25)*AA196+(1-EXP(-LN(2)/25))/(LN(2)/25)*Calculateur!V197*Calculateur!X197*VLOOKUP('Données projet'!$B$9,Paramètres!$A$1:$I$89,3,0)*0.475*44/12</f>
        <v>1.999427482851573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5.2289556928944805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147.21567065005729</v>
      </c>
      <c r="AO197" s="59">
        <f t="shared" ref="AO197:AO203" si="205">$AO$3</f>
        <v>332.2871246077637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2.4454671050486736</v>
      </c>
      <c r="AV197" s="21">
        <f>EXP(-LN(2)/25)*AV196+(1-EXP(-LN(2)/25))/(LN(2)/25)*Calculateur!AQ197*Calculateur!AS197*VLOOKUP('Données projet'!$B$10,Paramètres!$A$1:$I$89,3,0)*0.475*44/12</f>
        <v>0.17164834001330226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2.6171154450619758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287.52077437571728</v>
      </c>
      <c r="T198" s="59">
        <f t="shared" si="204"/>
        <v>420.95891230839874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3.1661991316616711</v>
      </c>
      <c r="AA198" s="21">
        <f>EXP(-LN(2)/25)*AA197+(1-EXP(-LN(2)/25))/(LN(2)/25)*Calculateur!V198*Calculateur!X198*VLOOKUP('Données projet'!$B$9,Paramètres!$A$1:$I$89,3,0)*0.475*44/12</f>
        <v>1.9447530331876752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5.1109521648493459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147.21567065005729</v>
      </c>
      <c r="AO198" s="59">
        <f t="shared" si="205"/>
        <v>332.2871246077637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2.397512986706321</v>
      </c>
      <c r="AV198" s="21">
        <f>EXP(-LN(2)/25)*AV197+(1-EXP(-LN(2)/25))/(LN(2)/25)*Calculateur!AQ198*Calculateur!AS198*VLOOKUP('Données projet'!$B$10,Paramètres!$A$1:$I$89,3,0)*0.475*44/12</f>
        <v>0.16695460712904461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2.5644675938353654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287.52077437571728</v>
      </c>
      <c r="T199" s="59">
        <f t="shared" si="204"/>
        <v>420.95891230839874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3.1041118978805669</v>
      </c>
      <c r="AA199" s="21">
        <f>EXP(-LN(2)/25)*AA198+(1-EXP(-LN(2)/25))/(LN(2)/25)*Calculateur!V199*Calculateur!X199*VLOOKUP('Données projet'!$B$9,Paramètres!$A$1:$I$89,3,0)*0.475*44/12</f>
        <v>1.8915736592250409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4.9956855571056078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147.21567065005729</v>
      </c>
      <c r="AO199" s="59">
        <f t="shared" si="205"/>
        <v>332.2871246077637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2.3504992193755379</v>
      </c>
      <c r="AV199" s="21">
        <f>EXP(-LN(2)/25)*AV198+(1-EXP(-LN(2)/25))/(LN(2)/25)*Calculateur!AQ199*Calculateur!AS199*VLOOKUP('Données projet'!$B$10,Paramètres!$A$1:$I$89,3,0)*0.475*44/12</f>
        <v>0.16238922461733968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2.5128884439928774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287.52077437571728</v>
      </c>
      <c r="T200" s="59">
        <f t="shared" si="204"/>
        <v>420.95891230839874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3.0432421568844368</v>
      </c>
      <c r="AA200" s="21">
        <f>EXP(-LN(2)/25)*AA199+(1-EXP(-LN(2)/25))/(LN(2)/25)*Calculateur!V200*Calculateur!X200*VLOOKUP('Données projet'!$B$9,Paramètres!$A$1:$I$89,3,0)*0.475*44/12</f>
        <v>1.8398484780399966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4.8830906349244332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147.21567065005729</v>
      </c>
      <c r="AO200" s="59">
        <f t="shared" si="205"/>
        <v>332.2871246077637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2.3044073633465447</v>
      </c>
      <c r="AV200" s="21">
        <f>EXP(-LN(2)/25)*AV199+(1-EXP(-LN(2)/25))/(LN(2)/25)*Calculateur!AQ200*Calculateur!AS200*VLOOKUP('Données projet'!$B$10,Paramètres!$A$1:$I$89,3,0)*0.475*44/12</f>
        <v>0.15794868273050033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2.4623560460770451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287.52077437571728</v>
      </c>
      <c r="T201" s="59">
        <f t="shared" si="204"/>
        <v>420.95891230839874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2.9835660343823647</v>
      </c>
      <c r="AA201" s="21">
        <f>EXP(-LN(2)/25)*AA200+(1-EXP(-LN(2)/25))/(LN(2)/25)*Calculateur!V201*Calculateur!X201*VLOOKUP('Données projet'!$B$9,Paramètres!$A$1:$I$89,3,0)*0.475*44/12</f>
        <v>1.7895377246545665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4.773103759036931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147.21567065005729</v>
      </c>
      <c r="AO201" s="59">
        <f t="shared" si="205"/>
        <v>332.2871246077637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2.2592193405010241</v>
      </c>
      <c r="AV201" s="21">
        <f>EXP(-LN(2)/25)*AV200+(1-EXP(-LN(2)/25))/(LN(2)/25)*Calculateur!AQ201*Calculateur!AS201*VLOOKUP('Données projet'!$B$10,Paramètres!$A$1:$I$89,3,0)*0.475*44/12</f>
        <v>0.15362956769507458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2.4128489081960987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287.52077437571728</v>
      </c>
      <c r="T202" s="59">
        <f t="shared" si="204"/>
        <v>420.95891230839874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2.9250601242437178</v>
      </c>
      <c r="AA202" s="21">
        <f>EXP(-LN(2)/25)*AA201+(1-EXP(-LN(2)/25))/(LN(2)/25)*Calculateur!V202*Calculateur!X202*VLOOKUP('Données projet'!$B$9,Paramètres!$A$1:$I$89,3,0)*0.475*44/12</f>
        <v>1.7406027214661886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4.6656628457099067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147.21567065005729</v>
      </c>
      <c r="AO202" s="59">
        <f t="shared" si="205"/>
        <v>332.2871246077637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2.2149174272215317</v>
      </c>
      <c r="AV202" s="21">
        <f>EXP(-LN(2)/25)*AV201+(1-EXP(-LN(2)/25))/(LN(2)/25)*Calculateur!AQ202*Calculateur!AS202*VLOOKUP('Données projet'!$B$10,Paramètres!$A$1:$I$89,3,0)*0.475*44/12</f>
        <v>0.14942855908742492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2.3643459863089564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287.52077437571728</v>
      </c>
      <c r="T203" s="59">
        <f t="shared" si="204"/>
        <v>420.95891230839874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2.8677014793178079</v>
      </c>
      <c r="AA203" s="21">
        <f>EXP(-LN(2)/25)*AA202+(1-EXP(-LN(2)/25))/(LN(2)/25)*Calculateur!V203*Calculateur!X203*VLOOKUP('Données projet'!$B$9,Paramètres!$A$1:$I$89,3,0)*0.475*44/12</f>
        <v>1.6930058485133768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4.5607073278311852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147.21567065005729</v>
      </c>
      <c r="AO203" s="59">
        <f t="shared" si="205"/>
        <v>332.2871246077637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2.1714842474399512</v>
      </c>
      <c r="AV203" s="21">
        <f>EXP(-LN(2)/25)*AV202+(1-EXP(-LN(2)/25))/(LN(2)/25)*Calculateur!AQ203*Calculateur!AS203*VLOOKUP('Données projet'!$B$10,Paramètres!$A$1:$I$89,3,0)*0.475*44/12</f>
        <v>0.14534242728107288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2.3168266747210242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1.3973210857138749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1.5501671930596579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101</v>
      </c>
      <c r="B1" s="112" t="s">
        <v>102</v>
      </c>
      <c r="C1" s="113" t="s">
        <v>103</v>
      </c>
      <c r="D1" s="112" t="s">
        <v>104</v>
      </c>
      <c r="E1" s="113" t="s">
        <v>105</v>
      </c>
      <c r="F1" s="113" t="s">
        <v>104</v>
      </c>
      <c r="G1" s="113" t="s">
        <v>106</v>
      </c>
      <c r="H1" s="113" t="s">
        <v>104</v>
      </c>
      <c r="I1" s="114" t="s">
        <v>107</v>
      </c>
      <c r="J1" s="78"/>
      <c r="K1" s="78"/>
      <c r="L1" s="78"/>
      <c r="M1" s="78"/>
      <c r="N1" s="78"/>
    </row>
    <row r="2" spans="1:16" x14ac:dyDescent="0.3">
      <c r="A2" s="115" t="s">
        <v>108</v>
      </c>
      <c r="B2" s="116" t="s">
        <v>109</v>
      </c>
      <c r="C2" s="117">
        <v>0.62</v>
      </c>
      <c r="D2" s="117" t="s">
        <v>110</v>
      </c>
      <c r="E2" s="117">
        <v>1.56</v>
      </c>
      <c r="F2" s="117" t="s">
        <v>111</v>
      </c>
      <c r="G2" s="118">
        <v>0.43</v>
      </c>
      <c r="H2" s="119" t="s">
        <v>112</v>
      </c>
      <c r="I2" s="120">
        <v>0.25</v>
      </c>
      <c r="J2" s="78"/>
      <c r="K2" s="78"/>
      <c r="L2" s="78"/>
      <c r="M2" s="78"/>
      <c r="N2" s="78"/>
      <c r="O2" s="288" t="s">
        <v>113</v>
      </c>
      <c r="P2" s="121">
        <v>0</v>
      </c>
    </row>
    <row r="3" spans="1:16" ht="15" thickBot="1" x14ac:dyDescent="0.35">
      <c r="A3" s="122" t="s">
        <v>114</v>
      </c>
      <c r="B3" s="123" t="s">
        <v>115</v>
      </c>
      <c r="C3" s="124">
        <v>0.64</v>
      </c>
      <c r="D3" s="124" t="s">
        <v>110</v>
      </c>
      <c r="E3" s="124">
        <v>1.56</v>
      </c>
      <c r="F3" s="125" t="s">
        <v>111</v>
      </c>
      <c r="G3" s="126">
        <v>0.43</v>
      </c>
      <c r="H3" s="124" t="s">
        <v>112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116</v>
      </c>
      <c r="B4" s="123" t="s">
        <v>117</v>
      </c>
      <c r="C4" s="124">
        <v>0.42</v>
      </c>
      <c r="D4" s="124" t="s">
        <v>110</v>
      </c>
      <c r="E4" s="124">
        <v>1.56</v>
      </c>
      <c r="F4" s="125" t="s">
        <v>111</v>
      </c>
      <c r="G4" s="126">
        <v>0.43</v>
      </c>
      <c r="H4" s="124" t="s">
        <v>112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118</v>
      </c>
      <c r="B5" s="123" t="s">
        <v>119</v>
      </c>
      <c r="C5" s="124">
        <v>0.42</v>
      </c>
      <c r="D5" s="124" t="s">
        <v>110</v>
      </c>
      <c r="E5" s="124">
        <v>1.56</v>
      </c>
      <c r="F5" s="125" t="s">
        <v>111</v>
      </c>
      <c r="G5" s="126">
        <v>0.43</v>
      </c>
      <c r="H5" s="124" t="s">
        <v>112</v>
      </c>
      <c r="I5" s="127">
        <v>0.25</v>
      </c>
      <c r="J5" s="78"/>
      <c r="K5" s="78"/>
      <c r="L5" s="78"/>
      <c r="M5" s="78"/>
      <c r="N5" s="78"/>
      <c r="O5" s="288" t="s">
        <v>120</v>
      </c>
      <c r="P5" s="121">
        <v>0</v>
      </c>
    </row>
    <row r="6" spans="1:16" x14ac:dyDescent="0.3">
      <c r="A6" s="122" t="s">
        <v>121</v>
      </c>
      <c r="B6" s="123" t="s">
        <v>122</v>
      </c>
      <c r="C6" s="124">
        <v>0.42</v>
      </c>
      <c r="D6" s="124" t="s">
        <v>110</v>
      </c>
      <c r="E6" s="124">
        <v>1.56</v>
      </c>
      <c r="F6" s="125" t="s">
        <v>111</v>
      </c>
      <c r="G6" s="126">
        <v>0.43</v>
      </c>
      <c r="H6" s="124" t="s">
        <v>112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123</v>
      </c>
      <c r="B7" s="123" t="s">
        <v>124</v>
      </c>
      <c r="C7" s="124">
        <v>0.52</v>
      </c>
      <c r="D7" s="124" t="s">
        <v>110</v>
      </c>
      <c r="E7" s="124">
        <v>1.56</v>
      </c>
      <c r="F7" s="125" t="s">
        <v>111</v>
      </c>
      <c r="G7" s="126">
        <v>0.43</v>
      </c>
      <c r="H7" s="124" t="s">
        <v>112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125</v>
      </c>
      <c r="B8" s="123" t="s">
        <v>126</v>
      </c>
      <c r="C8" s="124">
        <v>0.36</v>
      </c>
      <c r="D8" s="124" t="s">
        <v>110</v>
      </c>
      <c r="E8" s="124">
        <v>1.3</v>
      </c>
      <c r="F8" s="125" t="s">
        <v>111</v>
      </c>
      <c r="G8" s="126">
        <v>0.55000000000000004</v>
      </c>
      <c r="H8" s="124" t="s">
        <v>127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128</v>
      </c>
      <c r="B9" s="123" t="s">
        <v>129</v>
      </c>
      <c r="C9" s="124">
        <v>0.61</v>
      </c>
      <c r="D9" s="124" t="s">
        <v>110</v>
      </c>
      <c r="E9" s="124">
        <v>1.56</v>
      </c>
      <c r="F9" s="125" t="s">
        <v>111</v>
      </c>
      <c r="G9" s="126">
        <v>0.43</v>
      </c>
      <c r="H9" s="124" t="s">
        <v>112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130</v>
      </c>
      <c r="B10" s="123" t="s">
        <v>131</v>
      </c>
      <c r="C10" s="124">
        <v>0.66</v>
      </c>
      <c r="D10" s="124" t="s">
        <v>110</v>
      </c>
      <c r="E10" s="124">
        <v>1.56</v>
      </c>
      <c r="F10" s="125" t="s">
        <v>111</v>
      </c>
      <c r="G10" s="126">
        <v>0.43</v>
      </c>
      <c r="H10" s="124" t="s">
        <v>112</v>
      </c>
      <c r="I10" s="127">
        <v>0.25</v>
      </c>
      <c r="J10" s="78"/>
      <c r="K10" s="78"/>
      <c r="L10" s="78"/>
      <c r="M10" s="78"/>
      <c r="N10" s="78"/>
      <c r="O10" s="288" t="s">
        <v>132</v>
      </c>
      <c r="P10" s="121">
        <v>0</v>
      </c>
    </row>
    <row r="11" spans="1:16" ht="15" thickBot="1" x14ac:dyDescent="0.35">
      <c r="A11" s="122" t="s">
        <v>133</v>
      </c>
      <c r="B11" s="123" t="s">
        <v>134</v>
      </c>
      <c r="C11" s="124">
        <v>0.47</v>
      </c>
      <c r="D11" s="124" t="s">
        <v>110</v>
      </c>
      <c r="E11" s="124">
        <v>1.56</v>
      </c>
      <c r="F11" s="125" t="s">
        <v>111</v>
      </c>
      <c r="G11" s="126">
        <v>0.43</v>
      </c>
      <c r="H11" s="124" t="s">
        <v>112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135</v>
      </c>
      <c r="B12" s="123" t="s">
        <v>136</v>
      </c>
      <c r="C12" s="124">
        <v>0.67</v>
      </c>
      <c r="D12" s="124" t="s">
        <v>110</v>
      </c>
      <c r="E12" s="124">
        <v>1.56</v>
      </c>
      <c r="F12" s="125" t="s">
        <v>111</v>
      </c>
      <c r="G12" s="126">
        <v>0.43</v>
      </c>
      <c r="H12" s="124" t="s">
        <v>137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138</v>
      </c>
      <c r="B13" s="123" t="s">
        <v>139</v>
      </c>
      <c r="C13" s="124">
        <v>0.7</v>
      </c>
      <c r="D13" s="124" t="s">
        <v>110</v>
      </c>
      <c r="E13" s="124">
        <v>1.56</v>
      </c>
      <c r="F13" s="125" t="s">
        <v>111</v>
      </c>
      <c r="G13" s="126">
        <v>0.43</v>
      </c>
      <c r="H13" s="124" t="s">
        <v>137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140</v>
      </c>
      <c r="B14" s="123" t="s">
        <v>141</v>
      </c>
      <c r="C14" s="124">
        <v>0.54</v>
      </c>
      <c r="D14" s="124" t="s">
        <v>110</v>
      </c>
      <c r="E14" s="124">
        <v>1.56</v>
      </c>
      <c r="F14" s="125" t="s">
        <v>111</v>
      </c>
      <c r="G14" s="126">
        <v>0.43</v>
      </c>
      <c r="H14" s="124" t="s">
        <v>137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142</v>
      </c>
      <c r="B15" s="123" t="s">
        <v>143</v>
      </c>
      <c r="C15" s="124">
        <v>0.65</v>
      </c>
      <c r="D15" s="124" t="s">
        <v>110</v>
      </c>
      <c r="E15" s="124">
        <v>1.56</v>
      </c>
      <c r="F15" s="125" t="s">
        <v>111</v>
      </c>
      <c r="G15" s="126">
        <v>0.43</v>
      </c>
      <c r="H15" s="124" t="s">
        <v>137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144</v>
      </c>
      <c r="B16" s="123" t="s">
        <v>145</v>
      </c>
      <c r="C16" s="124">
        <v>0.56000000000000005</v>
      </c>
      <c r="D16" s="124" t="s">
        <v>110</v>
      </c>
      <c r="E16" s="124">
        <v>1.56</v>
      </c>
      <c r="F16" s="125" t="s">
        <v>111</v>
      </c>
      <c r="G16" s="126">
        <v>0.43</v>
      </c>
      <c r="H16" s="124" t="s">
        <v>137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146</v>
      </c>
      <c r="B17" s="123" t="s">
        <v>147</v>
      </c>
      <c r="C17" s="124">
        <v>0.57999999999999996</v>
      </c>
      <c r="D17" s="124" t="s">
        <v>110</v>
      </c>
      <c r="E17" s="124">
        <v>1.56</v>
      </c>
      <c r="F17" s="125" t="s">
        <v>111</v>
      </c>
      <c r="G17" s="126">
        <v>0.43</v>
      </c>
      <c r="H17" s="124" t="s">
        <v>137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148</v>
      </c>
      <c r="B18" s="123" t="s">
        <v>149</v>
      </c>
      <c r="C18" s="124">
        <v>0.64</v>
      </c>
      <c r="D18" s="124" t="s">
        <v>110</v>
      </c>
      <c r="E18" s="124">
        <v>1.56</v>
      </c>
      <c r="F18" s="125" t="s">
        <v>111</v>
      </c>
      <c r="G18" s="126">
        <v>0.43</v>
      </c>
      <c r="H18" s="124" t="s">
        <v>137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150</v>
      </c>
      <c r="B19" s="123" t="s">
        <v>151</v>
      </c>
      <c r="C19" s="124">
        <v>0.73</v>
      </c>
      <c r="D19" s="124" t="s">
        <v>110</v>
      </c>
      <c r="E19" s="124">
        <v>1.56</v>
      </c>
      <c r="F19" s="125" t="s">
        <v>111</v>
      </c>
      <c r="G19" s="126">
        <v>0.43</v>
      </c>
      <c r="H19" s="124" t="s">
        <v>137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111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156</v>
      </c>
      <c r="B21" s="123" t="s">
        <v>157</v>
      </c>
      <c r="C21" s="124">
        <v>0.36</v>
      </c>
      <c r="D21" s="124" t="s">
        <v>110</v>
      </c>
      <c r="E21" s="124">
        <v>1.3</v>
      </c>
      <c r="F21" s="125" t="s">
        <v>111</v>
      </c>
      <c r="G21" s="126">
        <v>0.55000000000000004</v>
      </c>
      <c r="H21" s="124" t="s">
        <v>127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158</v>
      </c>
      <c r="B22" s="123" t="s">
        <v>159</v>
      </c>
      <c r="C22" s="124">
        <v>0.4</v>
      </c>
      <c r="D22" s="124" t="s">
        <v>110</v>
      </c>
      <c r="E22" s="124">
        <v>1.3</v>
      </c>
      <c r="F22" s="125" t="s">
        <v>111</v>
      </c>
      <c r="G22" s="126">
        <v>0.55000000000000004</v>
      </c>
      <c r="H22" s="124" t="s">
        <v>127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160</v>
      </c>
      <c r="B23" s="123" t="s">
        <v>161</v>
      </c>
      <c r="C23" s="124">
        <v>0.43</v>
      </c>
      <c r="D23" s="124" t="s">
        <v>110</v>
      </c>
      <c r="E23" s="124">
        <v>1.3</v>
      </c>
      <c r="F23" s="125" t="s">
        <v>111</v>
      </c>
      <c r="G23" s="126">
        <v>0.55000000000000004</v>
      </c>
      <c r="H23" s="124" t="s">
        <v>127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162</v>
      </c>
      <c r="B24" s="123" t="s">
        <v>163</v>
      </c>
      <c r="C24" s="124">
        <v>0.37</v>
      </c>
      <c r="D24" s="124" t="s">
        <v>110</v>
      </c>
      <c r="E24" s="124">
        <v>1.3</v>
      </c>
      <c r="F24" s="125" t="s">
        <v>111</v>
      </c>
      <c r="G24" s="126">
        <v>0.55000000000000004</v>
      </c>
      <c r="H24" s="124" t="s">
        <v>137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164</v>
      </c>
      <c r="B25" s="123" t="s">
        <v>165</v>
      </c>
      <c r="C25" s="124">
        <v>0.36</v>
      </c>
      <c r="D25" s="124" t="s">
        <v>110</v>
      </c>
      <c r="E25" s="124">
        <v>1.3</v>
      </c>
      <c r="F25" s="125" t="s">
        <v>111</v>
      </c>
      <c r="G25" s="126">
        <v>0.55000000000000004</v>
      </c>
      <c r="H25" s="124" t="s">
        <v>137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166</v>
      </c>
      <c r="B26" s="123" t="s">
        <v>167</v>
      </c>
      <c r="C26" s="124">
        <v>0.56000000000000005</v>
      </c>
      <c r="D26" s="124" t="s">
        <v>110</v>
      </c>
      <c r="E26" s="124">
        <v>1.56</v>
      </c>
      <c r="F26" s="125" t="s">
        <v>111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169</v>
      </c>
      <c r="B27" s="123" t="s">
        <v>170</v>
      </c>
      <c r="C27" s="124">
        <v>0.51</v>
      </c>
      <c r="D27" s="124" t="s">
        <v>110</v>
      </c>
      <c r="E27" s="124">
        <v>1.56</v>
      </c>
      <c r="F27" s="125" t="s">
        <v>111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171</v>
      </c>
      <c r="B28" s="123" t="s">
        <v>172</v>
      </c>
      <c r="C28" s="124">
        <v>0.51</v>
      </c>
      <c r="D28" s="124" t="s">
        <v>110</v>
      </c>
      <c r="E28" s="124">
        <v>1.56</v>
      </c>
      <c r="F28" s="125" t="s">
        <v>111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173</v>
      </c>
      <c r="B29" s="123" t="s">
        <v>173</v>
      </c>
      <c r="C29" s="124">
        <v>0.56000000000000005</v>
      </c>
      <c r="D29" s="124" t="s">
        <v>110</v>
      </c>
      <c r="E29" s="124">
        <v>1.56</v>
      </c>
      <c r="F29" s="125" t="s">
        <v>111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174</v>
      </c>
      <c r="B30" s="123" t="s">
        <v>175</v>
      </c>
      <c r="C30" s="124">
        <v>0.55000000000000004</v>
      </c>
      <c r="D30" s="124" t="s">
        <v>110</v>
      </c>
      <c r="E30" s="124">
        <v>1.56</v>
      </c>
      <c r="F30" s="125" t="s">
        <v>111</v>
      </c>
      <c r="G30" s="126">
        <v>0.53</v>
      </c>
      <c r="H30" s="124" t="s">
        <v>137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176</v>
      </c>
      <c r="B31" s="123" t="s">
        <v>177</v>
      </c>
      <c r="C31" s="124">
        <v>0.56000000000000005</v>
      </c>
      <c r="D31" s="124" t="s">
        <v>110</v>
      </c>
      <c r="E31" s="124">
        <v>1.56</v>
      </c>
      <c r="F31" s="125" t="s">
        <v>111</v>
      </c>
      <c r="G31" s="126">
        <v>0.43</v>
      </c>
      <c r="H31" s="124" t="s">
        <v>112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178</v>
      </c>
      <c r="B32" s="123" t="s">
        <v>179</v>
      </c>
      <c r="C32" s="124">
        <v>0.48</v>
      </c>
      <c r="D32" s="124" t="s">
        <v>110</v>
      </c>
      <c r="E32" s="124">
        <v>1.3</v>
      </c>
      <c r="F32" s="125" t="s">
        <v>111</v>
      </c>
      <c r="G32" s="126">
        <v>0.6</v>
      </c>
      <c r="H32" s="124" t="s">
        <v>180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181</v>
      </c>
      <c r="B33" s="123" t="s">
        <v>182</v>
      </c>
      <c r="C33" s="124">
        <v>0.42</v>
      </c>
      <c r="D33" s="124" t="s">
        <v>110</v>
      </c>
      <c r="E33" s="124">
        <v>1.3</v>
      </c>
      <c r="F33" s="125" t="s">
        <v>111</v>
      </c>
      <c r="G33" s="126">
        <v>0.6</v>
      </c>
      <c r="H33" s="124" t="s">
        <v>180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183</v>
      </c>
      <c r="B34" s="123" t="s">
        <v>184</v>
      </c>
      <c r="C34" s="124">
        <v>0.42</v>
      </c>
      <c r="D34" s="124" t="s">
        <v>185</v>
      </c>
      <c r="E34" s="124">
        <v>1.3</v>
      </c>
      <c r="F34" s="125" t="s">
        <v>111</v>
      </c>
      <c r="G34" s="126">
        <v>0.6</v>
      </c>
      <c r="H34" s="123" t="s">
        <v>186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187</v>
      </c>
      <c r="B35" s="123" t="s">
        <v>188</v>
      </c>
      <c r="C35" s="124">
        <v>0.5</v>
      </c>
      <c r="D35" s="124" t="s">
        <v>110</v>
      </c>
      <c r="E35" s="124">
        <v>1.56</v>
      </c>
      <c r="F35" s="125" t="s">
        <v>111</v>
      </c>
      <c r="G35" s="126">
        <v>0.43</v>
      </c>
      <c r="H35" s="124" t="s">
        <v>112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189</v>
      </c>
      <c r="B36" s="123" t="s">
        <v>190</v>
      </c>
      <c r="C36" s="124">
        <v>0.55000000000000004</v>
      </c>
      <c r="D36" s="124" t="s">
        <v>110</v>
      </c>
      <c r="E36" s="124">
        <v>1.56</v>
      </c>
      <c r="F36" s="125" t="s">
        <v>111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191</v>
      </c>
      <c r="B37" s="123" t="s">
        <v>192</v>
      </c>
      <c r="C37" s="124">
        <v>0.52</v>
      </c>
      <c r="D37" s="124" t="s">
        <v>110</v>
      </c>
      <c r="E37" s="124">
        <v>1.56</v>
      </c>
      <c r="F37" s="125" t="s">
        <v>111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193</v>
      </c>
      <c r="B38" s="123" t="s">
        <v>194</v>
      </c>
      <c r="C38" s="124">
        <v>0.52</v>
      </c>
      <c r="D38" s="124" t="s">
        <v>110</v>
      </c>
      <c r="E38" s="124">
        <v>1.56</v>
      </c>
      <c r="F38" s="125" t="s">
        <v>111</v>
      </c>
      <c r="G38" s="126">
        <v>0.43</v>
      </c>
      <c r="H38" s="124" t="s">
        <v>112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195</v>
      </c>
      <c r="B39" s="123" t="s">
        <v>196</v>
      </c>
      <c r="C39" s="124">
        <v>0.313</v>
      </c>
      <c r="D39" s="124" t="s">
        <v>197</v>
      </c>
      <c r="E39" s="124">
        <v>1.56</v>
      </c>
      <c r="F39" s="125" t="s">
        <v>111</v>
      </c>
      <c r="G39" s="126">
        <v>0.6</v>
      </c>
      <c r="H39" s="124" t="s">
        <v>198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199</v>
      </c>
      <c r="B40" s="123" t="s">
        <v>196</v>
      </c>
      <c r="C40" s="124">
        <v>0.35199999999999998</v>
      </c>
      <c r="D40" s="124" t="s">
        <v>197</v>
      </c>
      <c r="E40" s="124">
        <v>1.56</v>
      </c>
      <c r="F40" s="125" t="s">
        <v>111</v>
      </c>
      <c r="G40" s="126">
        <v>0.6</v>
      </c>
      <c r="H40" s="124" t="s">
        <v>198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200</v>
      </c>
      <c r="B41" s="123" t="s">
        <v>196</v>
      </c>
      <c r="C41" s="124">
        <v>0.32200000000000001</v>
      </c>
      <c r="D41" s="124" t="s">
        <v>197</v>
      </c>
      <c r="E41" s="124">
        <v>1.56</v>
      </c>
      <c r="F41" s="125" t="s">
        <v>111</v>
      </c>
      <c r="G41" s="126">
        <v>0.6</v>
      </c>
      <c r="H41" s="124" t="s">
        <v>198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201</v>
      </c>
      <c r="B42" s="123" t="s">
        <v>196</v>
      </c>
      <c r="C42" s="124">
        <v>0.311</v>
      </c>
      <c r="D42" s="124" t="s">
        <v>197</v>
      </c>
      <c r="E42" s="124">
        <v>1.56</v>
      </c>
      <c r="F42" s="125" t="s">
        <v>111</v>
      </c>
      <c r="G42" s="126">
        <v>0.6</v>
      </c>
      <c r="H42" s="124" t="s">
        <v>198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202</v>
      </c>
      <c r="B43" s="123" t="s">
        <v>196</v>
      </c>
      <c r="C43" s="124">
        <v>0.33900000000000002</v>
      </c>
      <c r="D43" s="124" t="s">
        <v>197</v>
      </c>
      <c r="E43" s="124">
        <v>1.56</v>
      </c>
      <c r="F43" s="125" t="s">
        <v>111</v>
      </c>
      <c r="G43" s="126">
        <v>0.6</v>
      </c>
      <c r="H43" s="124" t="s">
        <v>198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203</v>
      </c>
      <c r="B44" s="123" t="s">
        <v>196</v>
      </c>
      <c r="C44" s="124">
        <v>0.33600000000000002</v>
      </c>
      <c r="D44" s="124" t="s">
        <v>197</v>
      </c>
      <c r="E44" s="124">
        <v>1.56</v>
      </c>
      <c r="F44" s="125" t="s">
        <v>111</v>
      </c>
      <c r="G44" s="126">
        <v>0.6</v>
      </c>
      <c r="H44" s="124" t="s">
        <v>198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204</v>
      </c>
      <c r="B45" s="123" t="s">
        <v>196</v>
      </c>
      <c r="C45" s="124">
        <v>0.32900000000000001</v>
      </c>
      <c r="D45" s="124" t="s">
        <v>197</v>
      </c>
      <c r="E45" s="124">
        <v>1.56</v>
      </c>
      <c r="F45" s="125" t="s">
        <v>111</v>
      </c>
      <c r="G45" s="126">
        <v>0.6</v>
      </c>
      <c r="H45" s="124" t="s">
        <v>198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205</v>
      </c>
      <c r="B46" s="123" t="s">
        <v>196</v>
      </c>
      <c r="C46" s="124">
        <v>0.34300000000000003</v>
      </c>
      <c r="D46" s="124" t="s">
        <v>197</v>
      </c>
      <c r="E46" s="124">
        <v>1.56</v>
      </c>
      <c r="F46" s="125" t="s">
        <v>111</v>
      </c>
      <c r="G46" s="126">
        <v>0.6</v>
      </c>
      <c r="H46" s="124" t="s">
        <v>198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206</v>
      </c>
      <c r="B47" s="123" t="s">
        <v>196</v>
      </c>
      <c r="C47" s="124">
        <v>0.32500000000000001</v>
      </c>
      <c r="D47" s="124" t="s">
        <v>197</v>
      </c>
      <c r="E47" s="124">
        <v>1.56</v>
      </c>
      <c r="F47" s="125" t="s">
        <v>111</v>
      </c>
      <c r="G47" s="126">
        <v>0.6</v>
      </c>
      <c r="H47" s="124" t="s">
        <v>198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207</v>
      </c>
      <c r="B48" s="123" t="s">
        <v>196</v>
      </c>
      <c r="C48" s="124">
        <v>0.32</v>
      </c>
      <c r="D48" s="124" t="s">
        <v>197</v>
      </c>
      <c r="E48" s="124">
        <v>1.56</v>
      </c>
      <c r="F48" s="125" t="s">
        <v>111</v>
      </c>
      <c r="G48" s="126">
        <v>0.6</v>
      </c>
      <c r="H48" s="124" t="s">
        <v>198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208</v>
      </c>
      <c r="B49" s="123" t="s">
        <v>196</v>
      </c>
      <c r="C49" s="124">
        <v>0.28199999999999997</v>
      </c>
      <c r="D49" s="124" t="s">
        <v>197</v>
      </c>
      <c r="E49" s="124">
        <v>1.56</v>
      </c>
      <c r="F49" s="125" t="s">
        <v>111</v>
      </c>
      <c r="G49" s="126">
        <v>0.6</v>
      </c>
      <c r="H49" s="124" t="s">
        <v>198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209</v>
      </c>
      <c r="B50" s="123" t="s">
        <v>196</v>
      </c>
      <c r="C50" s="124">
        <v>0.32800000000000001</v>
      </c>
      <c r="D50" s="124" t="s">
        <v>197</v>
      </c>
      <c r="E50" s="124">
        <v>1.56</v>
      </c>
      <c r="F50" s="125" t="s">
        <v>111</v>
      </c>
      <c r="G50" s="126">
        <v>0.6</v>
      </c>
      <c r="H50" s="124" t="s">
        <v>198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210</v>
      </c>
      <c r="B51" s="123" t="s">
        <v>196</v>
      </c>
      <c r="C51" s="124">
        <v>0.32600000000000001</v>
      </c>
      <c r="D51" s="124" t="s">
        <v>197</v>
      </c>
      <c r="E51" s="124">
        <v>1.56</v>
      </c>
      <c r="F51" s="125" t="s">
        <v>111</v>
      </c>
      <c r="G51" s="126">
        <v>0.6</v>
      </c>
      <c r="H51" s="124" t="s">
        <v>198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211</v>
      </c>
      <c r="B52" s="123" t="s">
        <v>196</v>
      </c>
      <c r="C52" s="124">
        <v>0.35899999999999999</v>
      </c>
      <c r="D52" s="124" t="s">
        <v>197</v>
      </c>
      <c r="E52" s="124">
        <v>1.56</v>
      </c>
      <c r="F52" s="125" t="s">
        <v>111</v>
      </c>
      <c r="G52" s="126">
        <v>0.6</v>
      </c>
      <c r="H52" s="124" t="s">
        <v>198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212</v>
      </c>
      <c r="B53" s="123" t="s">
        <v>196</v>
      </c>
      <c r="C53" s="124">
        <v>0.34599999999999997</v>
      </c>
      <c r="D53" s="124" t="s">
        <v>197</v>
      </c>
      <c r="E53" s="124">
        <v>1.56</v>
      </c>
      <c r="F53" s="125" t="s">
        <v>111</v>
      </c>
      <c r="G53" s="126">
        <v>0.6</v>
      </c>
      <c r="H53" s="124" t="s">
        <v>198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213</v>
      </c>
      <c r="B54" s="123" t="s">
        <v>196</v>
      </c>
      <c r="C54" s="124">
        <v>0.32600000000000001</v>
      </c>
      <c r="D54" s="124" t="s">
        <v>197</v>
      </c>
      <c r="E54" s="124">
        <v>1.56</v>
      </c>
      <c r="F54" s="125" t="s">
        <v>111</v>
      </c>
      <c r="G54" s="126">
        <v>0.6</v>
      </c>
      <c r="H54" s="124" t="s">
        <v>198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20</v>
      </c>
      <c r="B55" s="123" t="s">
        <v>196</v>
      </c>
      <c r="C55" s="124">
        <v>0.30499999999999999</v>
      </c>
      <c r="D55" s="124" t="s">
        <v>197</v>
      </c>
      <c r="E55" s="124">
        <v>1.56</v>
      </c>
      <c r="F55" s="125" t="s">
        <v>111</v>
      </c>
      <c r="G55" s="126">
        <v>0.6</v>
      </c>
      <c r="H55" s="124" t="s">
        <v>198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214</v>
      </c>
      <c r="B56" s="123" t="s">
        <v>196</v>
      </c>
      <c r="C56" s="124">
        <v>0.32300000000000001</v>
      </c>
      <c r="D56" s="124" t="s">
        <v>197</v>
      </c>
      <c r="E56" s="124">
        <v>1.56</v>
      </c>
      <c r="F56" s="125" t="s">
        <v>111</v>
      </c>
      <c r="G56" s="126">
        <v>0.6</v>
      </c>
      <c r="H56" s="124" t="s">
        <v>198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215</v>
      </c>
      <c r="B57" s="123" t="s">
        <v>196</v>
      </c>
      <c r="C57" s="124">
        <v>0.36699999999999999</v>
      </c>
      <c r="D57" s="124" t="s">
        <v>197</v>
      </c>
      <c r="E57" s="124">
        <v>1.56</v>
      </c>
      <c r="F57" s="125" t="s">
        <v>111</v>
      </c>
      <c r="G57" s="126">
        <v>0.6</v>
      </c>
      <c r="H57" s="124" t="s">
        <v>198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216</v>
      </c>
      <c r="B58" s="123" t="s">
        <v>196</v>
      </c>
      <c r="C58" s="124">
        <v>0.36</v>
      </c>
      <c r="D58" s="124" t="s">
        <v>197</v>
      </c>
      <c r="E58" s="124">
        <v>1.56</v>
      </c>
      <c r="F58" s="125" t="s">
        <v>111</v>
      </c>
      <c r="G58" s="126">
        <v>0.6</v>
      </c>
      <c r="H58" s="124" t="s">
        <v>198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217</v>
      </c>
      <c r="B59" s="123" t="s">
        <v>196</v>
      </c>
      <c r="C59" s="124">
        <v>0.36799999999999999</v>
      </c>
      <c r="D59" s="124" t="s">
        <v>197</v>
      </c>
      <c r="E59" s="124">
        <v>1.56</v>
      </c>
      <c r="F59" s="125" t="s">
        <v>111</v>
      </c>
      <c r="G59" s="126">
        <v>0.6</v>
      </c>
      <c r="H59" s="124" t="s">
        <v>198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218</v>
      </c>
      <c r="B60" s="123" t="s">
        <v>196</v>
      </c>
      <c r="C60" s="124">
        <v>0.30599999999999999</v>
      </c>
      <c r="D60" s="124" t="s">
        <v>197</v>
      </c>
      <c r="E60" s="124">
        <v>1.56</v>
      </c>
      <c r="F60" s="125" t="s">
        <v>111</v>
      </c>
      <c r="G60" s="126">
        <v>0.6</v>
      </c>
      <c r="H60" s="124" t="s">
        <v>198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219</v>
      </c>
      <c r="B61" s="123" t="s">
        <v>196</v>
      </c>
      <c r="C61" s="124">
        <v>0.313</v>
      </c>
      <c r="D61" s="124" t="s">
        <v>197</v>
      </c>
      <c r="E61" s="124">
        <v>1.56</v>
      </c>
      <c r="F61" s="125" t="s">
        <v>111</v>
      </c>
      <c r="G61" s="126">
        <v>0.6</v>
      </c>
      <c r="H61" s="124" t="s">
        <v>198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220</v>
      </c>
      <c r="B62" s="123" t="s">
        <v>221</v>
      </c>
      <c r="C62" s="124">
        <v>0.37</v>
      </c>
      <c r="D62" s="124" t="s">
        <v>110</v>
      </c>
      <c r="E62" s="124">
        <v>1.56</v>
      </c>
      <c r="F62" s="125" t="s">
        <v>111</v>
      </c>
      <c r="G62" s="126">
        <v>0.6</v>
      </c>
      <c r="H62" s="124" t="s">
        <v>198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222</v>
      </c>
      <c r="B63" s="123" t="s">
        <v>223</v>
      </c>
      <c r="C63" s="124">
        <v>0.45</v>
      </c>
      <c r="D63" s="124" t="s">
        <v>110</v>
      </c>
      <c r="E63" s="124">
        <v>1.3</v>
      </c>
      <c r="F63" s="125" t="s">
        <v>111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225</v>
      </c>
      <c r="B64" s="123" t="s">
        <v>226</v>
      </c>
      <c r="C64" s="124">
        <v>0.39</v>
      </c>
      <c r="D64" s="124" t="s">
        <v>110</v>
      </c>
      <c r="E64" s="124">
        <v>1.3</v>
      </c>
      <c r="F64" s="125" t="s">
        <v>111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227</v>
      </c>
      <c r="B65" s="123" t="s">
        <v>228</v>
      </c>
      <c r="C65" s="124">
        <v>0.44</v>
      </c>
      <c r="D65" s="124" t="s">
        <v>110</v>
      </c>
      <c r="E65" s="124">
        <v>1.3</v>
      </c>
      <c r="F65" s="125" t="s">
        <v>111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229</v>
      </c>
      <c r="B66" s="123" t="s">
        <v>230</v>
      </c>
      <c r="C66" s="124">
        <v>0.46</v>
      </c>
      <c r="D66" s="124" t="s">
        <v>110</v>
      </c>
      <c r="E66" s="124">
        <v>1.3</v>
      </c>
      <c r="F66" s="125" t="s">
        <v>111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231</v>
      </c>
      <c r="B67" s="123" t="s">
        <v>232</v>
      </c>
      <c r="C67" s="124">
        <v>0.46</v>
      </c>
      <c r="D67" s="124" t="s">
        <v>110</v>
      </c>
      <c r="E67" s="124">
        <v>1.3</v>
      </c>
      <c r="F67" s="125" t="s">
        <v>111</v>
      </c>
      <c r="G67" s="126">
        <v>0.45</v>
      </c>
      <c r="H67" s="124" t="s">
        <v>137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233</v>
      </c>
      <c r="B68" s="123" t="s">
        <v>234</v>
      </c>
      <c r="C68" s="124">
        <v>0.44</v>
      </c>
      <c r="D68" s="124" t="s">
        <v>110</v>
      </c>
      <c r="E68" s="124">
        <v>1.3</v>
      </c>
      <c r="F68" s="125" t="s">
        <v>111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235</v>
      </c>
      <c r="B69" s="123" t="s">
        <v>236</v>
      </c>
      <c r="C69" s="124">
        <v>0.46</v>
      </c>
      <c r="D69" s="124" t="s">
        <v>110</v>
      </c>
      <c r="E69" s="124">
        <v>1.3</v>
      </c>
      <c r="F69" s="125" t="s">
        <v>111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237</v>
      </c>
      <c r="B70" s="123" t="s">
        <v>238</v>
      </c>
      <c r="C70" s="124">
        <v>0.48</v>
      </c>
      <c r="D70" s="124" t="s">
        <v>110</v>
      </c>
      <c r="E70" s="124">
        <v>2.4</v>
      </c>
      <c r="F70" s="124" t="s">
        <v>239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240</v>
      </c>
      <c r="B71" s="123" t="s">
        <v>241</v>
      </c>
      <c r="C71" s="124">
        <v>0.46</v>
      </c>
      <c r="D71" s="124" t="s">
        <v>242</v>
      </c>
      <c r="E71" s="124">
        <v>1.3</v>
      </c>
      <c r="F71" s="125" t="s">
        <v>111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243</v>
      </c>
      <c r="B72" s="123" t="s">
        <v>244</v>
      </c>
      <c r="C72" s="124">
        <v>0.44</v>
      </c>
      <c r="D72" s="124" t="s">
        <v>110</v>
      </c>
      <c r="E72" s="124">
        <v>1.3</v>
      </c>
      <c r="F72" s="125" t="s">
        <v>111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17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111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110</v>
      </c>
      <c r="E74" s="124">
        <v>1.3</v>
      </c>
      <c r="F74" s="125" t="s">
        <v>111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110</v>
      </c>
      <c r="E75" s="124">
        <v>1.56</v>
      </c>
      <c r="F75" s="125" t="s">
        <v>111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110</v>
      </c>
      <c r="E76" s="124">
        <v>1.56</v>
      </c>
      <c r="F76" s="125" t="s">
        <v>111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110</v>
      </c>
      <c r="E77" s="124">
        <v>1.3</v>
      </c>
      <c r="F77" s="125" t="s">
        <v>111</v>
      </c>
      <c r="G77" s="126">
        <v>0.55000000000000004</v>
      </c>
      <c r="H77" s="124" t="s">
        <v>137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110</v>
      </c>
      <c r="E78" s="124">
        <v>1.3</v>
      </c>
      <c r="F78" s="125" t="s">
        <v>111</v>
      </c>
      <c r="G78" s="126">
        <v>0.55000000000000004</v>
      </c>
      <c r="H78" s="124" t="s">
        <v>137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110</v>
      </c>
      <c r="E79" s="124">
        <v>1.3</v>
      </c>
      <c r="F79" s="125" t="s">
        <v>111</v>
      </c>
      <c r="G79" s="126">
        <v>0.55000000000000004</v>
      </c>
      <c r="H79" s="124" t="s">
        <v>127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110</v>
      </c>
      <c r="E80" s="124">
        <v>1.3</v>
      </c>
      <c r="F80" s="125" t="s">
        <v>111</v>
      </c>
      <c r="G80" s="126">
        <v>0.55000000000000004</v>
      </c>
      <c r="H80" s="124" t="s">
        <v>127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110</v>
      </c>
      <c r="E81" s="124">
        <v>1.56</v>
      </c>
      <c r="F81" s="125" t="s">
        <v>111</v>
      </c>
      <c r="G81" s="126">
        <v>0.43</v>
      </c>
      <c r="H81" s="124" t="s">
        <v>112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111</v>
      </c>
      <c r="G82" s="126">
        <v>0.55000000000000004</v>
      </c>
      <c r="H82" s="124" t="s">
        <v>127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110</v>
      </c>
      <c r="E83" s="124">
        <v>1.3</v>
      </c>
      <c r="F83" s="125" t="s">
        <v>111</v>
      </c>
      <c r="G83" s="126">
        <v>0.55000000000000004</v>
      </c>
      <c r="H83" s="124" t="s">
        <v>127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110</v>
      </c>
      <c r="E84" s="124">
        <v>1.3</v>
      </c>
      <c r="F84" s="125" t="s">
        <v>111</v>
      </c>
      <c r="G84" s="126">
        <v>0.55000000000000004</v>
      </c>
      <c r="H84" s="124" t="s">
        <v>127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110</v>
      </c>
      <c r="E85" s="124">
        <v>1.56</v>
      </c>
      <c r="F85" s="125" t="s">
        <v>111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110</v>
      </c>
      <c r="E86" s="124">
        <v>1.56</v>
      </c>
      <c r="F86" s="125" t="s">
        <v>111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111</v>
      </c>
      <c r="G87" s="255">
        <v>0.43</v>
      </c>
      <c r="H87" s="253" t="s">
        <v>112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70</v>
      </c>
      <c r="B88" s="130"/>
      <c r="C88" s="124">
        <v>0.42</v>
      </c>
      <c r="D88" s="124" t="s">
        <v>110</v>
      </c>
      <c r="E88" s="124">
        <v>1.3</v>
      </c>
      <c r="F88" s="125" t="s">
        <v>111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110</v>
      </c>
      <c r="E89" s="135">
        <v>1.56</v>
      </c>
      <c r="F89" s="135" t="s">
        <v>111</v>
      </c>
      <c r="G89" s="134"/>
      <c r="H89" s="134"/>
      <c r="I89" s="137"/>
    </row>
    <row r="93" spans="1:14" x14ac:dyDescent="0.3">
      <c r="A93" s="122" t="s">
        <v>71</v>
      </c>
    </row>
    <row r="94" spans="1:14" x14ac:dyDescent="0.3">
      <c r="A94" s="122" t="s">
        <v>72</v>
      </c>
    </row>
    <row r="95" spans="1:14" x14ac:dyDescent="0.3">
      <c r="A95" s="122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280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3.37</v>
      </c>
      <c r="C6" s="147">
        <f ca="1">IF(OR('Données projet'!B9="",'Données projet'!C9="",'Données projet'!C9=0%),0,Calculateur!S3)</f>
        <v>287.52077437571728</v>
      </c>
      <c r="D6" s="147">
        <f>IF(OR('Données projet'!B9="",'Données projet'!C9="",'Données projet'!C9=0%),0,Calculateur!T3)</f>
        <v>420.95891230839874</v>
      </c>
      <c r="E6" s="147">
        <f ca="1">MIN(C6,D6)</f>
        <v>287.52077437571728</v>
      </c>
      <c r="F6" s="147">
        <f ca="1">E6*B6</f>
        <v>968.94500964616725</v>
      </c>
      <c r="G6" s="147">
        <f ca="1">F6*(100%-'Données projet'!$C$24)*(100%-'Données projet'!$C$25)*(100%-'Données projet'!$C$26)*(100%-'Données projet'!$C$27)</f>
        <v>828.44798324747296</v>
      </c>
      <c r="H6" s="148">
        <f>IF(OR('Données projet'!B9="",'Données projet'!C9="",'Données projet'!C9=0%),0,AVERAGE(Calculateur!$AC$3:$AC$33)*B6)</f>
        <v>53.916862147329894</v>
      </c>
      <c r="I6" s="149">
        <f>H6*(100%-'Données projet'!$C$24)*(100%-'Données projet'!$C$25)*(100%-'Données projet'!$C$26)*(100%-'Données projet'!$C$27)</f>
        <v>46.098917135967064</v>
      </c>
      <c r="J6" s="150">
        <f>IF(OR('Données projet'!B9="",'Données projet'!C9="",'Données projet'!C9=0%),0,SUM(Calculateur!$V$3:$V$33)*VLOOKUP('Données projet'!$B$9,Paramètres!$A$1:$I$89,9,0)*B6)</f>
        <v>224.19026100000002</v>
      </c>
      <c r="K6" s="151">
        <f>J6*(100%-'Données projet'!$C$24)*(100%-'Données projet'!$C$25)*(100%-'Données projet'!$C$26)*(100%-'Données projet'!$C$27)</f>
        <v>191.682673155</v>
      </c>
      <c r="L6" s="152">
        <f ca="1">G6+I6+K6</f>
        <v>1066.22957353844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Peuplier Polargo</v>
      </c>
      <c r="B7" s="154">
        <f>'Données projet'!D10</f>
        <v>0.45</v>
      </c>
      <c r="C7" s="147">
        <f ca="1">IF(OR('Données projet'!B10="",'Données projet'!C10="",'Données projet'!C10=0%),0,Calculateur!AN3)</f>
        <v>147.21567065005729</v>
      </c>
      <c r="D7" s="147">
        <f>IF(OR('Données projet'!B10="",'Données projet'!C10="",'Données projet'!C10=0%),0,Calculateur!AO3)</f>
        <v>332.2871246077637</v>
      </c>
      <c r="E7" s="147">
        <f t="shared" ref="E7:E15" ca="1" si="0">MIN(C7,D7)</f>
        <v>147.21567065005729</v>
      </c>
      <c r="F7" s="147">
        <f t="shared" ref="F7:F15" ca="1" si="1">E7*B7</f>
        <v>66.247051792525781</v>
      </c>
      <c r="G7" s="147">
        <f ca="1">F7*(100%-'Données projet'!$C$24)*(100%-'Données projet'!$C$25)*(100%-'Données projet'!$C$26)*(100%-'Données projet'!$C$27)</f>
        <v>56.641229282609537</v>
      </c>
      <c r="H7" s="155">
        <f>IF(OR('Données projet'!B10="",'Données projet'!C10="",'Données projet'!C10=0%),0,AVERAGE(Calculateur!$AX$3:$AX$33)*B7)</f>
        <v>5.9978592308939964</v>
      </c>
      <c r="I7" s="149">
        <f>H7*(100%-'Données projet'!$C$24)*(100%-'Données projet'!$C$25)*(100%-'Données projet'!$C$26)*(100%-'Données projet'!$C$27)</f>
        <v>5.1281696424143668</v>
      </c>
      <c r="J7" s="150">
        <f>IF(OR('Données projet'!B10="",'Données projet'!C10="",'Données projet'!C10=0%),0,SUM(Calculateur!$AQ$3:$AQ$33)*VLOOKUP('Données projet'!$B$10,Paramètres!$A$1:$I$89,9,0)*B7)</f>
        <v>133.40480769230771</v>
      </c>
      <c r="K7" s="151">
        <f>J7*(100%-'Données projet'!$C$24)*(100%-'Données projet'!$C$25)*(100%-'Données projet'!$C$26)*(100%-'Données projet'!$C$27)</f>
        <v>114.0611105769231</v>
      </c>
      <c r="L7" s="152">
        <f t="shared" ref="L7:L15" ca="1" si="2">G7+I7+K7</f>
        <v>175.83050950194701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1035.1920614386931</v>
      </c>
      <c r="G16" s="166">
        <f t="shared" ca="1" si="3"/>
        <v>885.08921253008248</v>
      </c>
      <c r="H16" s="167">
        <f t="shared" si="3"/>
        <v>59.914721378223888</v>
      </c>
      <c r="I16" s="167">
        <f t="shared" si="3"/>
        <v>51.227086778381434</v>
      </c>
      <c r="J16" s="168">
        <f t="shared" si="3"/>
        <v>357.59506869230773</v>
      </c>
      <c r="K16" s="168">
        <f t="shared" si="3"/>
        <v>305.74378373192309</v>
      </c>
      <c r="L16" s="169">
        <f t="shared" ca="1" si="3"/>
        <v>1242.0600830403871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291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Peuplier Polargo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5" zoomScale="80" zoomScaleNormal="8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292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293</v>
      </c>
      <c r="I4" s="265"/>
      <c r="K4" s="307" t="s">
        <v>294</v>
      </c>
      <c r="L4" s="30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56</v>
      </c>
      <c r="O7" s="247"/>
      <c r="P7" s="248"/>
      <c r="Q7" s="249"/>
      <c r="R7" s="299" t="s">
        <v>295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I9" s="195"/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-1490.1511326558136</v>
      </c>
      <c r="U10" s="178">
        <f>'Données projet'!D9</f>
        <v>3.37</v>
      </c>
      <c r="V10" s="177">
        <f>U10*T10</f>
        <v>-5021.8093170500924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Polargo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-1242.0216086943165</v>
      </c>
      <c r="U11" s="178">
        <f>'Données projet'!D10</f>
        <v>0.45</v>
      </c>
      <c r="V11" s="177">
        <f t="shared" ref="V11" si="0">U11*T11</f>
        <v>-558.90972391244247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75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0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10"/>
      <c r="H16" s="190"/>
      <c r="I16" s="191"/>
      <c r="J16" s="202"/>
      <c r="K16" s="208"/>
      <c r="L16" s="307" t="s">
        <v>312</v>
      </c>
      <c r="M16" s="30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196</v>
      </c>
      <c r="C17" s="198" t="s">
        <v>196</v>
      </c>
      <c r="D17" s="197" t="s">
        <v>196</v>
      </c>
      <c r="E17" s="193">
        <f>692.5+(1095.25+421.25)/3.37</f>
        <v>1142.5</v>
      </c>
      <c r="F17" s="230"/>
      <c r="G17" s="310"/>
      <c r="I17" s="195"/>
      <c r="J17" s="202"/>
      <c r="K17" s="208"/>
      <c r="L17" s="267" t="s">
        <v>313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196</v>
      </c>
      <c r="C18" s="198" t="s">
        <v>196</v>
      </c>
      <c r="D18" s="197" t="s">
        <v>196</v>
      </c>
      <c r="E18" s="193">
        <f>220+430</f>
        <v>650</v>
      </c>
      <c r="F18" s="230"/>
      <c r="G18" s="310"/>
      <c r="J18" s="202"/>
      <c r="K18" s="208"/>
      <c r="L18" s="267" t="s">
        <v>309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196</v>
      </c>
      <c r="C19" s="198" t="s">
        <v>196</v>
      </c>
      <c r="D19" s="197" t="s">
        <v>196</v>
      </c>
      <c r="E19" s="193">
        <f>400+430+15%*E17</f>
        <v>1001.375</v>
      </c>
      <c r="F19" s="230"/>
      <c r="G19" s="310"/>
      <c r="H19" s="212" t="s">
        <v>75</v>
      </c>
      <c r="I19" s="212" t="s">
        <v>314</v>
      </c>
      <c r="J19" s="93"/>
      <c r="K19" s="173"/>
      <c r="L19" s="307" t="s">
        <v>315</v>
      </c>
      <c r="M19" s="30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196</v>
      </c>
      <c r="C20" s="198" t="s">
        <v>196</v>
      </c>
      <c r="D20" s="197" t="s">
        <v>196</v>
      </c>
      <c r="E20" s="193">
        <f>220+430</f>
        <v>650</v>
      </c>
      <c r="F20" s="230"/>
      <c r="G20" s="310"/>
      <c r="H20" s="190">
        <v>1</v>
      </c>
      <c r="I20" s="191">
        <f>20+(400/'Données projet'!C5+20)+(200/'Données projet'!C5+10)</f>
        <v>207.06806282722513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196</v>
      </c>
      <c r="C21" s="198" t="s">
        <v>196</v>
      </c>
      <c r="D21" s="197" t="s">
        <v>196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196</v>
      </c>
      <c r="C22" s="198" t="s">
        <v>196</v>
      </c>
      <c r="D22" s="197" t="s">
        <v>196</v>
      </c>
      <c r="E22" s="193"/>
      <c r="F22" s="230"/>
      <c r="H22" s="190">
        <v>3</v>
      </c>
      <c r="I22" s="191">
        <f>20+200/'Données projet'!C5+10</f>
        <v>82.356020942408378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34.25</v>
      </c>
      <c r="C23" s="193">
        <v>5</v>
      </c>
      <c r="D23" s="182">
        <f>B23*C23</f>
        <v>171.25</v>
      </c>
      <c r="E23" s="193"/>
      <c r="F23" s="230"/>
      <c r="H23" s="190">
        <v>4</v>
      </c>
      <c r="I23" s="191">
        <v>20</v>
      </c>
      <c r="K23" s="208"/>
      <c r="L23" s="309" t="s">
        <v>316</v>
      </c>
      <c r="M23" s="309"/>
      <c r="N23" s="309"/>
      <c r="O23" s="23"/>
      <c r="P23" s="23"/>
      <c r="Q23" s="234"/>
      <c r="R23" s="23"/>
      <c r="S23" s="36" t="s">
        <v>317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-8642.1820758793965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19</v>
      </c>
      <c r="B24" s="181">
        <f>'Données projet'!D37</f>
        <v>59.5</v>
      </c>
      <c r="C24" s="193">
        <v>5</v>
      </c>
      <c r="D24" s="182">
        <f t="shared" ref="D24:D42" si="2">B24*C24</f>
        <v>297.5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302.76143979057599</v>
      </c>
      <c r="K24" s="208"/>
      <c r="O24" s="23"/>
      <c r="P24" s="23"/>
      <c r="Q24" s="234"/>
      <c r="R24" s="23"/>
      <c r="S24" s="36" t="s">
        <v>318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60.96</v>
      </c>
      <c r="C25" s="193">
        <v>8.5</v>
      </c>
      <c r="D25" s="182">
        <f t="shared" si="2"/>
        <v>518.16</v>
      </c>
      <c r="E25" s="193"/>
      <c r="F25" s="233"/>
      <c r="H25" s="190">
        <v>6</v>
      </c>
      <c r="I25" s="191">
        <v>20</v>
      </c>
      <c r="K25" s="208"/>
      <c r="L25" s="130" t="s">
        <v>319</v>
      </c>
      <c r="M25" s="130"/>
      <c r="N25" s="130"/>
      <c r="O25" s="130"/>
      <c r="P25" s="192">
        <v>0</v>
      </c>
      <c r="Q25" s="234"/>
      <c r="R25" s="23"/>
      <c r="S25" s="186" t="s">
        <v>320</v>
      </c>
      <c r="T25" s="306">
        <f ca="1">T23-T24</f>
        <v>-8642.1820758793965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32</v>
      </c>
      <c r="B26" s="181">
        <f>'Données projet'!D39</f>
        <v>76.42</v>
      </c>
      <c r="C26" s="193">
        <v>15.5</v>
      </c>
      <c r="D26" s="182">
        <f t="shared" si="2"/>
        <v>1184.51</v>
      </c>
      <c r="E26" s="193"/>
      <c r="F26" s="233"/>
      <c r="G26" s="229"/>
      <c r="H26" s="190">
        <v>7</v>
      </c>
      <c r="I26" s="191">
        <v>20</v>
      </c>
      <c r="K26" s="208"/>
      <c r="L26" s="293" t="s">
        <v>321</v>
      </c>
      <c r="M26" s="294"/>
      <c r="N26" s="294"/>
      <c r="O26" s="294"/>
      <c r="P26" s="295"/>
      <c r="Q26" s="234"/>
      <c r="R26" s="23"/>
      <c r="S26" s="186" t="s">
        <v>322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503.89</v>
      </c>
      <c r="C27" s="193">
        <v>15.5</v>
      </c>
      <c r="D27" s="182">
        <f t="shared" si="2"/>
        <v>7810.2950000000001</v>
      </c>
      <c r="E27" s="193"/>
      <c r="F27" s="233"/>
      <c r="G27" s="229"/>
      <c r="H27" s="190">
        <v>8</v>
      </c>
      <c r="I27" s="191">
        <v>20</v>
      </c>
      <c r="K27" s="208"/>
      <c r="L27" s="296"/>
      <c r="M27" s="297"/>
      <c r="N27" s="297"/>
      <c r="O27" s="297"/>
      <c r="P27" s="298"/>
      <c r="Q27" s="234"/>
      <c r="R27" s="23"/>
      <c r="S27" s="302" t="s">
        <v>323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328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325</v>
      </c>
      <c r="U30" s="1">
        <f>SUM(E17:E22)*U10+SUM(E$48:E53)*U11+SUM(E79:E84)*U12+SUM(E110:E115)*U13+SUM(E141:E146)*U14+SUM(E172:E177)*U15+SUM(E203:E208)*U16+SUM(E234:E239)*U17+SUM(E265:E270)*U18+SUM(E296:E301)*U19</f>
        <v>13501.858750000001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1">
        <f>SUM(I19:I23)*SUM(U10:U19)</f>
        <v>1258.4000000000001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75</v>
      </c>
      <c r="P32" s="85" t="s">
        <v>310</v>
      </c>
      <c r="Q32" s="234"/>
      <c r="R32" s="23"/>
      <c r="S32" s="1" t="s">
        <v>327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29</v>
      </c>
      <c r="U33" s="1">
        <f>SUM(U30:U32)</f>
        <v>16260.258750000001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19</v>
      </c>
      <c r="B45" s="174" t="str">
        <f>IF('Données projet'!$B$10="","",'Données projet'!$B$10)</f>
        <v>Peuplier Polargo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196</v>
      </c>
      <c r="C48" s="198" t="s">
        <v>196</v>
      </c>
      <c r="D48" s="197" t="s">
        <v>196</v>
      </c>
      <c r="E48" s="193">
        <f>(300+400)/0.45+(520+100)/0.45</f>
        <v>2933.333333333333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196</v>
      </c>
      <c r="C49" s="198" t="s">
        <v>196</v>
      </c>
      <c r="D49" s="197" t="s">
        <v>196</v>
      </c>
      <c r="E49" s="193">
        <f>220</f>
        <v>220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196</v>
      </c>
      <c r="C50" s="198" t="s">
        <v>196</v>
      </c>
      <c r="D50" s="197" t="s">
        <v>196</v>
      </c>
      <c r="E50" s="193">
        <f>400+15%*E48</f>
        <v>840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196</v>
      </c>
      <c r="C51" s="198" t="s">
        <v>196</v>
      </c>
      <c r="D51" s="197" t="s">
        <v>196</v>
      </c>
      <c r="E51" s="193">
        <f>220</f>
        <v>220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196</v>
      </c>
      <c r="C52" s="198" t="s">
        <v>196</v>
      </c>
      <c r="D52" s="197" t="s">
        <v>196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196</v>
      </c>
      <c r="C53" s="198" t="s">
        <v>196</v>
      </c>
      <c r="D53" s="197" t="s">
        <v>196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1">
        <v>31.25</v>
      </c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0</v>
      </c>
      <c r="C55" s="191">
        <v>31.25</v>
      </c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0</v>
      </c>
      <c r="C56" s="191">
        <v>31.25</v>
      </c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22</v>
      </c>
      <c r="B57" s="181">
        <f>'Données projet'!D65</f>
        <v>0</v>
      </c>
      <c r="C57" s="191">
        <v>31.25</v>
      </c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24</v>
      </c>
      <c r="B58" s="181">
        <f>'Données projet'!D66</f>
        <v>0</v>
      </c>
      <c r="C58" s="191">
        <v>31.25</v>
      </c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26</v>
      </c>
      <c r="B59" s="181">
        <f>'Données projet'!D67</f>
        <v>287.82051282051282</v>
      </c>
      <c r="C59" s="191">
        <v>31.25</v>
      </c>
      <c r="D59" s="179">
        <f t="shared" si="4"/>
        <v>8994.3910256410254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21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>
        <v>59</v>
      </c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196</v>
      </c>
      <c r="C79" s="198" t="s">
        <v>196</v>
      </c>
      <c r="D79" s="197" t="s">
        <v>196</v>
      </c>
      <c r="E79" s="193"/>
      <c r="F79" s="231"/>
      <c r="G79" s="206"/>
      <c r="H79" s="190">
        <v>60</v>
      </c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196</v>
      </c>
      <c r="C80" s="198" t="s">
        <v>196</v>
      </c>
      <c r="D80" s="197" t="s">
        <v>196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196</v>
      </c>
      <c r="C81" s="198" t="s">
        <v>196</v>
      </c>
      <c r="D81" s="197" t="s">
        <v>196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196</v>
      </c>
      <c r="C82" s="198" t="s">
        <v>196</v>
      </c>
      <c r="D82" s="197" t="s">
        <v>196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196</v>
      </c>
      <c r="C83" s="198" t="s">
        <v>196</v>
      </c>
      <c r="D83" s="197" t="s">
        <v>196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196</v>
      </c>
      <c r="C84" s="198" t="s">
        <v>196</v>
      </c>
      <c r="D84" s="197" t="s">
        <v>196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196</v>
      </c>
      <c r="C110" s="198" t="s">
        <v>196</v>
      </c>
      <c r="D110" s="197" t="s">
        <v>196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196</v>
      </c>
      <c r="C111" s="198" t="s">
        <v>196</v>
      </c>
      <c r="D111" s="197" t="s">
        <v>196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196</v>
      </c>
      <c r="C112" s="198" t="s">
        <v>196</v>
      </c>
      <c r="D112" s="197" t="s">
        <v>196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196</v>
      </c>
      <c r="C113" s="198" t="s">
        <v>196</v>
      </c>
      <c r="D113" s="197" t="s">
        <v>196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196</v>
      </c>
      <c r="C114" s="198" t="s">
        <v>196</v>
      </c>
      <c r="D114" s="197" t="s">
        <v>196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196</v>
      </c>
      <c r="C115" s="198" t="s">
        <v>196</v>
      </c>
      <c r="D115" s="197" t="s">
        <v>196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196</v>
      </c>
      <c r="C141" s="198" t="s">
        <v>196</v>
      </c>
      <c r="D141" s="197" t="s">
        <v>196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196</v>
      </c>
      <c r="C142" s="198" t="s">
        <v>196</v>
      </c>
      <c r="D142" s="197" t="s">
        <v>196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196</v>
      </c>
      <c r="C143" s="198" t="s">
        <v>196</v>
      </c>
      <c r="D143" s="197" t="s">
        <v>196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196</v>
      </c>
      <c r="C144" s="198" t="s">
        <v>196</v>
      </c>
      <c r="D144" s="197" t="s">
        <v>196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196</v>
      </c>
      <c r="C145" s="198" t="s">
        <v>196</v>
      </c>
      <c r="D145" s="197" t="s">
        <v>196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196</v>
      </c>
      <c r="C146" s="198" t="s">
        <v>196</v>
      </c>
      <c r="D146" s="197" t="s">
        <v>196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196</v>
      </c>
      <c r="C172" s="198" t="s">
        <v>196</v>
      </c>
      <c r="D172" s="197" t="s">
        <v>196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196</v>
      </c>
      <c r="C173" s="198" t="s">
        <v>196</v>
      </c>
      <c r="D173" s="197" t="s">
        <v>196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196</v>
      </c>
      <c r="C174" s="198" t="s">
        <v>196</v>
      </c>
      <c r="D174" s="197" t="s">
        <v>196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196</v>
      </c>
      <c r="C175" s="198" t="s">
        <v>196</v>
      </c>
      <c r="D175" s="197" t="s">
        <v>196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196</v>
      </c>
      <c r="C176" s="198" t="s">
        <v>196</v>
      </c>
      <c r="D176" s="197" t="s">
        <v>196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196</v>
      </c>
      <c r="C177" s="198" t="s">
        <v>196</v>
      </c>
      <c r="D177" s="197" t="s">
        <v>196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196</v>
      </c>
      <c r="C203" s="198" t="s">
        <v>196</v>
      </c>
      <c r="D203" s="197" t="s">
        <v>196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196</v>
      </c>
      <c r="C204" s="198" t="s">
        <v>196</v>
      </c>
      <c r="D204" s="197" t="s">
        <v>196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196</v>
      </c>
      <c r="C205" s="198" t="s">
        <v>196</v>
      </c>
      <c r="D205" s="197" t="s">
        <v>196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196</v>
      </c>
      <c r="C206" s="198" t="s">
        <v>196</v>
      </c>
      <c r="D206" s="197" t="s">
        <v>196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196</v>
      </c>
      <c r="C207" s="198" t="s">
        <v>196</v>
      </c>
      <c r="D207" s="197" t="s">
        <v>196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196</v>
      </c>
      <c r="C208" s="198" t="s">
        <v>196</v>
      </c>
      <c r="D208" s="197" t="s">
        <v>196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196</v>
      </c>
      <c r="C234" s="198" t="s">
        <v>196</v>
      </c>
      <c r="D234" s="197" t="s">
        <v>196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196</v>
      </c>
      <c r="C235" s="198" t="s">
        <v>196</v>
      </c>
      <c r="D235" s="197" t="s">
        <v>196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196</v>
      </c>
      <c r="C236" s="198" t="s">
        <v>196</v>
      </c>
      <c r="D236" s="197" t="s">
        <v>196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196</v>
      </c>
      <c r="C237" s="198" t="s">
        <v>196</v>
      </c>
      <c r="D237" s="197" t="s">
        <v>196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196</v>
      </c>
      <c r="C238" s="198" t="s">
        <v>196</v>
      </c>
      <c r="D238" s="197" t="s">
        <v>196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196</v>
      </c>
      <c r="C239" s="198" t="s">
        <v>196</v>
      </c>
      <c r="D239" s="197" t="s">
        <v>196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196</v>
      </c>
      <c r="C265" s="198" t="s">
        <v>196</v>
      </c>
      <c r="D265" s="197" t="s">
        <v>196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196</v>
      </c>
      <c r="C266" s="198" t="s">
        <v>196</v>
      </c>
      <c r="D266" s="197" t="s">
        <v>196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196</v>
      </c>
      <c r="C267" s="198" t="s">
        <v>196</v>
      </c>
      <c r="D267" s="197" t="s">
        <v>196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196</v>
      </c>
      <c r="C268" s="198" t="s">
        <v>196</v>
      </c>
      <c r="D268" s="197" t="s">
        <v>196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196</v>
      </c>
      <c r="C269" s="198" t="s">
        <v>196</v>
      </c>
      <c r="D269" s="197" t="s">
        <v>196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196</v>
      </c>
      <c r="C270" s="198" t="s">
        <v>196</v>
      </c>
      <c r="D270" s="197" t="s">
        <v>196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196</v>
      </c>
      <c r="C296" s="198" t="s">
        <v>196</v>
      </c>
      <c r="D296" s="197" t="s">
        <v>196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196</v>
      </c>
      <c r="C297" s="198" t="s">
        <v>196</v>
      </c>
      <c r="D297" s="197" t="s">
        <v>196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196</v>
      </c>
      <c r="C298" s="198" t="s">
        <v>196</v>
      </c>
      <c r="D298" s="197" t="s">
        <v>196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196</v>
      </c>
      <c r="C299" s="198" t="s">
        <v>196</v>
      </c>
      <c r="D299" s="197" t="s">
        <v>196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196</v>
      </c>
      <c r="C300" s="198" t="s">
        <v>196</v>
      </c>
      <c r="D300" s="197" t="s">
        <v>196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196</v>
      </c>
      <c r="C301" s="198" t="s">
        <v>196</v>
      </c>
      <c r="D301" s="197" t="s">
        <v>196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Nathan AMIENS</cp:lastModifiedBy>
  <cp:revision/>
  <dcterms:created xsi:type="dcterms:W3CDTF">2021-02-01T08:22:39Z</dcterms:created>
  <dcterms:modified xsi:type="dcterms:W3CDTF">2025-02-19T14:20:18Z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