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312\Z00FSFOA\"/>
    </mc:Choice>
  </mc:AlternateContent>
  <xr:revisionPtr revIDLastSave="0" documentId="13_ncr:1_{862C54D2-6AC8-471F-99C4-FA2B1E6D16F7}" xr6:coauthVersionLast="47" xr6:coauthVersionMax="47" xr10:uidLastSave="{00000000-0000-0000-0000-000000000000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10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<sst xmlns="http://schemas.openxmlformats.org/spreadsheetml/2006/main" count="1173" uniqueCount="324">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</sst>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139.20049206513002</c:v>
                </c:pt>
                <c:pt idx="22">
                  <c:v>156.69748990994773</c:v>
                </c:pt>
                <c:pt idx="23">
                  <c:v>174.14808519452981</c:v>
                </c:pt>
                <c:pt idx="24">
                  <c:v>191.55758507110076</c:v>
                </c:pt>
                <c:pt idx="25">
                  <c:v>208.93025151398982</c:v>
                </c:pt>
                <c:pt idx="26">
                  <c:v>176.042328862972</c:v>
                </c:pt>
                <c:pt idx="27">
                  <c:v>192.31365664017582</c:v>
                </c:pt>
                <c:pt idx="28">
                  <c:v>208.55295085965795</c:v>
                </c:pt>
                <c:pt idx="29">
                  <c:v>224.76305761819125</c:v>
                </c:pt>
                <c:pt idx="30">
                  <c:v>240.94637860003544</c:v>
                </c:pt>
                <c:pt idx="31">
                  <c:v>206.66621044559773</c:v>
                </c:pt>
                <c:pt idx="32">
                  <c:v>221.37253538805248</c:v>
                </c:pt>
                <c:pt idx="33">
                  <c:v>236.05644310479695</c:v>
                </c:pt>
                <c:pt idx="34">
                  <c:v>250.71952474895647</c:v>
                </c:pt>
                <c:pt idx="35">
                  <c:v>265.36317005758787</c:v>
                </c:pt>
                <c:pt idx="36">
                  <c:v>232.29338365744312</c:v>
                </c:pt>
                <c:pt idx="37">
                  <c:v>246.20993843849078</c:v>
                </c:pt>
                <c:pt idx="38">
                  <c:v>260.10863290775893</c:v>
                </c:pt>
                <c:pt idx="39">
                  <c:v>273.99055606211846</c:v>
                </c:pt>
                <c:pt idx="40">
                  <c:v>287.85667749117118</c:v>
                </c:pt>
                <c:pt idx="41">
                  <c:v>256.72945236768504</c:v>
                </c:pt>
                <c:pt idx="42">
                  <c:v>268.73984484198559</c:v>
                </c:pt>
                <c:pt idx="43">
                  <c:v>280.73815459645306</c:v>
                </c:pt>
                <c:pt idx="44">
                  <c:v>292.72497100977279</c:v>
                </c:pt>
                <c:pt idx="45">
                  <c:v>304.70083122716079</c:v>
                </c:pt>
                <c:pt idx="46">
                  <c:v>275.86525948349663</c:v>
                </c:pt>
                <c:pt idx="47">
                  <c:v>286.35837196420749</c:v>
                </c:pt>
                <c:pt idx="48">
                  <c:v>296.84288301434117</c:v>
                </c:pt>
                <c:pt idx="49">
                  <c:v>307.31913943961331</c:v>
                </c:pt>
                <c:pt idx="50">
                  <c:v>317.78746245668032</c:v>
                </c:pt>
                <c:pt idx="51">
                  <c:v>291.60168035874682</c:v>
                </c:pt>
                <c:pt idx="52">
                  <c:v>300.95952130477986</c:v>
                </c:pt>
                <c:pt idx="53">
                  <c:v>310.31088495066086</c:v>
                </c:pt>
                <c:pt idx="54">
                  <c:v>319.65599415471291</c:v>
                </c:pt>
                <c:pt idx="55">
                  <c:v>328.99505767197456</c:v>
                </c:pt>
                <c:pt idx="56">
                  <c:v>303.95265143464235</c:v>
                </c:pt>
                <c:pt idx="57">
                  <c:v>312.5542734716102</c:v>
                </c:pt>
                <c:pt idx="58">
                  <c:v>321.15064534947874</c:v>
                </c:pt>
                <c:pt idx="59">
                  <c:v>329.74192753151567</c:v>
                </c:pt>
                <c:pt idx="60">
                  <c:v>338.3282714304305</c:v>
                </c:pt>
                <c:pt idx="61">
                  <c:v>315.91868734548365</c:v>
                </c:pt>
                <c:pt idx="62">
                  <c:v>323.39233379750692</c:v>
                </c:pt>
                <c:pt idx="63">
                  <c:v>330.86216234726913</c:v>
                </c:pt>
                <c:pt idx="64">
                  <c:v>338.3282714304305</c:v>
                </c:pt>
                <c:pt idx="65">
                  <c:v>345.79075477962857</c:v>
                </c:pt>
                <c:pt idx="66">
                  <c:v>326.00720293449427</c:v>
                </c:pt>
                <c:pt idx="67">
                  <c:v>332.35567865620237</c:v>
                </c:pt>
                <c:pt idx="68">
                  <c:v>338.70148094908876</c:v>
                </c:pt>
                <c:pt idx="69">
                  <c:v>345.04466702323003</c:v>
                </c:pt>
                <c:pt idx="70">
                  <c:v>351.38529181133845</c:v>
                </c:pt>
                <c:pt idx="71">
                  <c:v>334.59567585759885</c:v>
                </c:pt>
                <c:pt idx="72">
                  <c:v>340.19422861744891</c:v>
                </c:pt>
                <c:pt idx="73">
                  <c:v>345.79075477962868</c:v>
                </c:pt>
                <c:pt idx="74">
                  <c:v>351.38529181133845</c:v>
                </c:pt>
                <c:pt idx="75">
                  <c:v>356.97787588797138</c:v>
                </c:pt>
                <c:pt idx="76">
                  <c:v>341.31369475960304</c:v>
                </c:pt>
                <c:pt idx="77">
                  <c:v>346.16378539221341</c:v>
                </c:pt>
                <c:pt idx="78">
                  <c:v>351.0123838279564</c:v>
                </c:pt>
                <c:pt idx="79">
                  <c:v>355.85951361436696</c:v>
                </c:pt>
                <c:pt idx="80">
                  <c:v>360.70519760433905</c:v>
                </c:pt>
                <c:pt idx="81">
                  <c:v>348.02880623392474</c:v>
                </c:pt>
                <c:pt idx="82">
                  <c:v>352.13108175057863</c:v>
                </c:pt>
                <c:pt idx="83">
                  <c:v>356.23230957994457</c:v>
                </c:pt>
                <c:pt idx="84">
                  <c:v>360.3325035031516</c:v>
                </c:pt>
                <c:pt idx="85">
                  <c:v>364.43167696167421</c:v>
                </c:pt>
                <c:pt idx="86">
                  <c:v>353.24970174806896</c:v>
                </c:pt>
                <c:pt idx="87">
                  <c:v>356.97787588797127</c:v>
                </c:pt>
                <c:pt idx="88">
                  <c:v>360.70519760433905</c:v>
                </c:pt>
                <c:pt idx="89">
                  <c:v>364.43167696167421</c:v>
                </c:pt>
                <c:pt idx="90">
                  <c:v>368.15732380156078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2.3506827876702365</c:v>
                </c:pt>
                <c:pt idx="2">
                  <c:v>2.7069020618273747</c:v>
                </c:pt>
                <c:pt idx="3">
                  <c:v>3.1172974732130618</c:v>
                </c:pt>
                <c:pt idx="4">
                  <c:v>3.590136552411817</c:v>
                </c:pt>
                <c:pt idx="5">
                  <c:v>4.1349525172371857</c:v>
                </c:pt>
                <c:pt idx="6">
                  <c:v>4.7627386132127274</c:v>
                </c:pt>
                <c:pt idx="7">
                  <c:v>5.4861723759815355</c:v>
                </c:pt>
                <c:pt idx="8">
                  <c:v>6.3198744342378603</c:v>
                </c:pt>
                <c:pt idx="9">
                  <c:v>7.2807071863215178</c:v>
                </c:pt>
                <c:pt idx="10">
                  <c:v>8.3881195089433387</c:v>
                </c:pt>
                <c:pt idx="11">
                  <c:v>9.6645446098257679</c:v>
                </c:pt>
                <c:pt idx="12">
                  <c:v>11.135859237232149</c:v>
                </c:pt>
                <c:pt idx="13">
                  <c:v>12.831913731401018</c:v>
                </c:pt>
                <c:pt idx="14">
                  <c:v>14.787143872355102</c:v>
                </c:pt>
                <c:pt idx="15">
                  <c:v>17.041277176110768</c:v>
                </c:pt>
                <c:pt idx="16">
                  <c:v>34.453320496639996</c:v>
                </c:pt>
                <c:pt idx="17">
                  <c:v>51.613399015111831</c:v>
                </c:pt>
                <c:pt idx="18">
                  <c:v>68.620447763566887</c:v>
                </c:pt>
                <c:pt idx="19">
                  <c:v>85.518340702972125</c:v>
                </c:pt>
                <c:pt idx="20">
                  <c:v>102.33185371141569</c:v>
                </c:pt>
                <c:pt idx="21">
                  <c:v>83.059783755906594</c:v>
                </c:pt>
                <c:pt idx="22">
                  <c:v>100.5838664607631</c:v>
                </c:pt>
                <c:pt idx="23">
                  <c:v>118.03208120289027</c:v>
                </c:pt>
                <c:pt idx="24">
                  <c:v>135.41725555203229</c:v>
                </c:pt>
                <c:pt idx="25">
                  <c:v>152.74863657956141</c:v>
                </c:pt>
                <c:pt idx="26">
                  <c:v>133.33403236134612</c:v>
                </c:pt>
                <c:pt idx="27">
                  <c:v>150.32520254476188</c:v>
                </c:pt>
                <c:pt idx="28">
                  <c:v>167.27057244935506</c:v>
                </c:pt>
                <c:pt idx="29">
                  <c:v>184.1754383487191</c:v>
                </c:pt>
                <c:pt idx="30">
                  <c:v>201.04404298625983</c:v>
                </c:pt>
                <c:pt idx="31">
                  <c:v>179.69416671649591</c:v>
                </c:pt>
                <c:pt idx="32">
                  <c:v>194.5072237017408</c:v>
                </c:pt>
                <c:pt idx="33">
                  <c:v>209.29406224425134</c:v>
                </c:pt>
                <c:pt idx="34">
                  <c:v>224.05679616015789</c:v>
                </c:pt>
                <c:pt idx="35">
                  <c:v>238.79723773455581</c:v>
                </c:pt>
                <c:pt idx="36">
                  <c:v>215.81998944310419</c:v>
                </c:pt>
                <c:pt idx="37">
                  <c:v>228.85837653967619</c:v>
                </c:pt>
                <c:pt idx="38">
                  <c:v>241.87977545595186</c:v>
                </c:pt>
                <c:pt idx="39">
                  <c:v>254.88522992676107</c:v>
                </c:pt>
                <c:pt idx="40">
                  <c:v>267.87566841306398</c:v>
                </c:pt>
                <c:pt idx="41">
                  <c:v>242.90708874646216</c:v>
                </c:pt>
                <c:pt idx="42">
                  <c:v>253.85904094930413</c:v>
                </c:pt>
                <c:pt idx="43">
                  <c:v>264.80029706883334</c:v>
                </c:pt>
                <c:pt idx="44">
                  <c:v>275.73136161299811</c:v>
                </c:pt>
                <c:pt idx="45">
                  <c:v>286.65269579557503</c:v>
                </c:pt>
                <c:pt idx="46">
                  <c:v>265.48378219284547</c:v>
                </c:pt>
                <c:pt idx="47">
                  <c:v>275.04845973255499</c:v>
                </c:pt>
                <c:pt idx="48">
                  <c:v>284.60566685788712</c:v>
                </c:pt>
                <c:pt idx="49">
                  <c:v>294.15568998866848</c:v>
                </c:pt>
                <c:pt idx="50">
                  <c:v>303.69879541443908</c:v>
                </c:pt>
                <c:pt idx="51">
                  <c:v>289.72262669927983</c:v>
                </c:pt>
                <c:pt idx="52">
                  <c:v>297.9055780022702</c:v>
                </c:pt>
                <c:pt idx="53">
                  <c:v>306.08352033451564</c:v>
                </c:pt>
                <c:pt idx="54">
                  <c:v>314.25660652237013</c:v>
                </c:pt>
                <c:pt idx="55">
                  <c:v>322.4249807869187</c:v>
                </c:pt>
                <c:pt idx="56">
                  <c:v>310.5112020975094</c:v>
                </c:pt>
                <c:pt idx="57">
                  <c:v>317.32029156286296</c:v>
                </c:pt>
                <c:pt idx="58">
                  <c:v>324.12614511182926</c:v>
                </c:pt>
                <c:pt idx="59">
                  <c:v>330.92884034916193</c:v>
                </c:pt>
                <c:pt idx="60">
                  <c:v>337.72845142534106</c:v>
                </c:pt>
                <c:pt idx="61">
                  <c:v>328.20813643129185</c:v>
                </c:pt>
                <c:pt idx="62">
                  <c:v>333.98904268407705</c:v>
                </c:pt>
                <c:pt idx="63">
                  <c:v>339.76774401998046</c:v>
                </c:pt>
                <c:pt idx="64">
                  <c:v>345.54428327562624</c:v>
                </c:pt>
                <c:pt idx="65">
                  <c:v>351.31870173688304</c:v>
                </c:pt>
                <c:pt idx="66">
                  <c:v>342.82617852900449</c:v>
                </c:pt>
                <c:pt idx="67">
                  <c:v>347.92223953697527</c:v>
                </c:pt>
                <c:pt idx="68">
                  <c:v>353.01666232745418</c:v>
                </c:pt>
                <c:pt idx="69">
                  <c:v>358.10947390735419</c:v>
                </c:pt>
                <c:pt idx="70">
                  <c:v>363.2007004518166</c:v>
                </c:pt>
                <c:pt idx="71">
                  <c:v>354.03535269094073</c:v>
                </c:pt>
                <c:pt idx="72">
                  <c:v>358.44893803761056</c:v>
                </c:pt>
                <c:pt idx="73">
                  <c:v>362.86133414806545</c:v>
                </c:pt>
                <c:pt idx="74">
                  <c:v>367.2725575433945</c:v>
                </c:pt>
                <c:pt idx="75">
                  <c:v>371.68262431492644</c:v>
                </c:pt>
                <c:pt idx="76">
                  <c:v>363.87941227215782</c:v>
                </c:pt>
                <c:pt idx="77">
                  <c:v>367.95110424042531</c:v>
                </c:pt>
                <c:pt idx="78">
                  <c:v>372.02181276517587</c:v>
                </c:pt>
                <c:pt idx="79">
                  <c:v>376.09155014049162</c:v>
                </c:pt>
                <c:pt idx="80">
                  <c:v>380.16032837232228</c:v>
                </c:pt>
                <c:pt idx="81">
                  <c:v>7.4280571425096929E-13</c:v>
                </c:pt>
                <c:pt idx="82">
                  <c:v>7.4280571425096929E-13</c:v>
                </c:pt>
                <c:pt idx="83">
                  <c:v>7.4280571425096929E-13</c:v>
                </c:pt>
                <c:pt idx="84">
                  <c:v>7.4280571425096929E-13</c:v>
                </c:pt>
                <c:pt idx="85">
                  <c:v>7.4280571425096929E-13</c:v>
                </c:pt>
                <c:pt idx="86">
                  <c:v>7.4280571425096929E-13</c:v>
                </c:pt>
                <c:pt idx="87">
                  <c:v>7.4280571425096929E-13</c:v>
                </c:pt>
                <c:pt idx="88">
                  <c:v>7.4280571425096929E-13</c:v>
                </c:pt>
                <c:pt idx="89">
                  <c:v>7.4280571425096929E-13</c:v>
                </c:pt>
                <c:pt idx="90">
                  <c:v>7.4280571425096929E-13</c:v>
                </c:pt>
                <c:pt idx="91">
                  <c:v>7.4280571425096929E-13</c:v>
                </c:pt>
                <c:pt idx="92">
                  <c:v>7.4280571425096929E-13</c:v>
                </c:pt>
                <c:pt idx="93">
                  <c:v>7.4280571425096929E-13</c:v>
                </c:pt>
                <c:pt idx="94">
                  <c:v>7.4280571425096929E-13</c:v>
                </c:pt>
                <c:pt idx="95">
                  <c:v>7.4280571425096929E-13</c:v>
                </c:pt>
                <c:pt idx="96">
                  <c:v>7.4280571425096929E-13</c:v>
                </c:pt>
                <c:pt idx="97">
                  <c:v>7.4280571425096929E-13</c:v>
                </c:pt>
                <c:pt idx="98">
                  <c:v>7.4280571425096929E-13</c:v>
                </c:pt>
                <c:pt idx="99">
                  <c:v>7.4280571425096929E-13</c:v>
                </c:pt>
                <c:pt idx="100">
                  <c:v>7.4280571425096929E-13</c:v>
                </c:pt>
                <c:pt idx="101">
                  <c:v>7.4280571425096929E-13</c:v>
                </c:pt>
                <c:pt idx="102">
                  <c:v>7.4280571425096929E-13</c:v>
                </c:pt>
                <c:pt idx="103">
                  <c:v>7.4280571425096929E-13</c:v>
                </c:pt>
                <c:pt idx="104">
                  <c:v>7.4280571425096929E-13</c:v>
                </c:pt>
                <c:pt idx="105">
                  <c:v>7.4280571425096929E-13</c:v>
                </c:pt>
                <c:pt idx="106">
                  <c:v>7.4280571425096929E-13</c:v>
                </c:pt>
                <c:pt idx="107">
                  <c:v>7.4280571425096929E-13</c:v>
                </c:pt>
                <c:pt idx="108">
                  <c:v>7.4280571425096929E-13</c:v>
                </c:pt>
                <c:pt idx="109">
                  <c:v>7.4280571425096929E-13</c:v>
                </c:pt>
                <c:pt idx="110">
                  <c:v>7.4280571425096929E-13</c:v>
                </c:pt>
                <c:pt idx="111">
                  <c:v>7.4280571425096929E-13</c:v>
                </c:pt>
                <c:pt idx="112">
                  <c:v>7.4280571425096929E-13</c:v>
                </c:pt>
                <c:pt idx="113">
                  <c:v>7.4280571425096929E-13</c:v>
                </c:pt>
                <c:pt idx="114">
                  <c:v>7.4280571425096929E-13</c:v>
                </c:pt>
                <c:pt idx="115">
                  <c:v>7.4280571425096929E-13</c:v>
                </c:pt>
                <c:pt idx="116">
                  <c:v>7.4280571425096929E-13</c:v>
                </c:pt>
                <c:pt idx="117">
                  <c:v>7.4280571425096929E-13</c:v>
                </c:pt>
                <c:pt idx="118">
                  <c:v>7.4280571425096929E-13</c:v>
                </c:pt>
                <c:pt idx="119">
                  <c:v>7.4280571425096929E-13</c:v>
                </c:pt>
                <c:pt idx="120">
                  <c:v>7.4280571425096929E-13</c:v>
                </c:pt>
                <c:pt idx="121">
                  <c:v>7.4280571425096929E-13</c:v>
                </c:pt>
                <c:pt idx="122">
                  <c:v>7.4280571425096929E-13</c:v>
                </c:pt>
                <c:pt idx="123">
                  <c:v>7.4280571425096929E-13</c:v>
                </c:pt>
                <c:pt idx="124">
                  <c:v>7.4280571425096929E-13</c:v>
                </c:pt>
                <c:pt idx="125">
                  <c:v>7.4280571425096929E-13</c:v>
                </c:pt>
                <c:pt idx="126">
                  <c:v>7.4280571425096929E-13</c:v>
                </c:pt>
                <c:pt idx="127">
                  <c:v>7.4280571425096929E-13</c:v>
                </c:pt>
                <c:pt idx="128">
                  <c:v>7.4280571425096929E-13</c:v>
                </c:pt>
                <c:pt idx="129">
                  <c:v>7.4280571425096929E-13</c:v>
                </c:pt>
                <c:pt idx="130">
                  <c:v>7.4280571425096929E-13</c:v>
                </c:pt>
                <c:pt idx="131">
                  <c:v>7.4280571425096929E-13</c:v>
                </c:pt>
                <c:pt idx="132">
                  <c:v>7.4280571425096929E-13</c:v>
                </c:pt>
                <c:pt idx="133">
                  <c:v>7.4280571425096929E-13</c:v>
                </c:pt>
                <c:pt idx="134">
                  <c:v>7.4280571425096929E-13</c:v>
                </c:pt>
                <c:pt idx="135">
                  <c:v>7.4280571425096929E-13</c:v>
                </c:pt>
                <c:pt idx="136">
                  <c:v>7.4280571425096929E-13</c:v>
                </c:pt>
                <c:pt idx="137">
                  <c:v>7.4280571425096929E-13</c:v>
                </c:pt>
                <c:pt idx="138">
                  <c:v>7.4280571425096929E-13</c:v>
                </c:pt>
                <c:pt idx="139">
                  <c:v>7.4280571425096929E-13</c:v>
                </c:pt>
                <c:pt idx="140">
                  <c:v>7.4280571425096929E-13</c:v>
                </c:pt>
                <c:pt idx="141">
                  <c:v>7.4280571425096929E-13</c:v>
                </c:pt>
                <c:pt idx="142">
                  <c:v>7.4280571425096929E-13</c:v>
                </c:pt>
                <c:pt idx="143">
                  <c:v>7.4280571425096929E-13</c:v>
                </c:pt>
                <c:pt idx="144">
                  <c:v>7.4280571425096929E-13</c:v>
                </c:pt>
                <c:pt idx="145">
                  <c:v>7.4280571425096929E-13</c:v>
                </c:pt>
                <c:pt idx="146">
                  <c:v>7.4280571425096929E-13</c:v>
                </c:pt>
                <c:pt idx="147">
                  <c:v>7.4280571425096929E-13</c:v>
                </c:pt>
                <c:pt idx="148">
                  <c:v>7.4280571425096929E-13</c:v>
                </c:pt>
                <c:pt idx="149">
                  <c:v>7.4280571425096929E-13</c:v>
                </c:pt>
                <c:pt idx="150">
                  <c:v>7.4280571425096929E-13</c:v>
                </c:pt>
                <c:pt idx="151">
                  <c:v>7.4280571425096929E-13</c:v>
                </c:pt>
                <c:pt idx="152">
                  <c:v>7.4280571425096929E-13</c:v>
                </c:pt>
                <c:pt idx="153">
                  <c:v>7.4280571425096929E-13</c:v>
                </c:pt>
                <c:pt idx="154">
                  <c:v>7.4280571425096929E-13</c:v>
                </c:pt>
                <c:pt idx="155">
                  <c:v>7.4280571425096929E-13</c:v>
                </c:pt>
                <c:pt idx="156">
                  <c:v>7.4280571425096929E-13</c:v>
                </c:pt>
                <c:pt idx="157">
                  <c:v>7.4280571425096929E-13</c:v>
                </c:pt>
                <c:pt idx="158">
                  <c:v>7.4280571425096929E-13</c:v>
                </c:pt>
                <c:pt idx="159">
                  <c:v>7.4280571425096929E-13</c:v>
                </c:pt>
                <c:pt idx="160">
                  <c:v>7.4280571425096929E-13</c:v>
                </c:pt>
                <c:pt idx="161">
                  <c:v>7.4280571425096929E-13</c:v>
                </c:pt>
                <c:pt idx="162">
                  <c:v>7.4280571425096929E-13</c:v>
                </c:pt>
                <c:pt idx="163">
                  <c:v>7.4280571425096929E-13</c:v>
                </c:pt>
                <c:pt idx="164">
                  <c:v>7.4280571425096929E-13</c:v>
                </c:pt>
                <c:pt idx="165">
                  <c:v>7.4280571425096929E-13</c:v>
                </c:pt>
                <c:pt idx="166">
                  <c:v>7.4280571425096929E-13</c:v>
                </c:pt>
                <c:pt idx="167">
                  <c:v>7.4280571425096929E-13</c:v>
                </c:pt>
                <c:pt idx="168">
                  <c:v>7.4280571425096929E-13</c:v>
                </c:pt>
                <c:pt idx="169">
                  <c:v>7.4280571425096929E-13</c:v>
                </c:pt>
                <c:pt idx="170">
                  <c:v>7.4280571425096929E-13</c:v>
                </c:pt>
                <c:pt idx="171">
                  <c:v>7.4280571425096929E-13</c:v>
                </c:pt>
                <c:pt idx="172">
                  <c:v>7.4280571425096929E-13</c:v>
                </c:pt>
                <c:pt idx="173">
                  <c:v>7.4280571425096929E-13</c:v>
                </c:pt>
                <c:pt idx="174">
                  <c:v>7.4280571425096929E-13</c:v>
                </c:pt>
                <c:pt idx="175">
                  <c:v>7.4280571425096929E-13</c:v>
                </c:pt>
                <c:pt idx="176">
                  <c:v>7.4280571425096929E-13</c:v>
                </c:pt>
                <c:pt idx="177">
                  <c:v>7.4280571425096929E-13</c:v>
                </c:pt>
                <c:pt idx="178">
                  <c:v>7.4280571425096929E-13</c:v>
                </c:pt>
                <c:pt idx="179">
                  <c:v>7.4280571425096929E-13</c:v>
                </c:pt>
                <c:pt idx="180">
                  <c:v>7.4280571425096929E-13</c:v>
                </c:pt>
                <c:pt idx="181">
                  <c:v>7.4280571425096929E-13</c:v>
                </c:pt>
                <c:pt idx="182">
                  <c:v>7.4280571425096929E-13</c:v>
                </c:pt>
                <c:pt idx="183">
                  <c:v>7.4280571425096929E-13</c:v>
                </c:pt>
                <c:pt idx="184">
                  <c:v>7.4280571425096929E-13</c:v>
                </c:pt>
                <c:pt idx="185">
                  <c:v>7.4280571425096929E-13</c:v>
                </c:pt>
                <c:pt idx="186">
                  <c:v>7.4280571425096929E-13</c:v>
                </c:pt>
                <c:pt idx="187">
                  <c:v>7.4280571425096929E-13</c:v>
                </c:pt>
                <c:pt idx="188">
                  <c:v>7.4280571425096929E-13</c:v>
                </c:pt>
                <c:pt idx="189">
                  <c:v>7.4280571425096929E-13</c:v>
                </c:pt>
                <c:pt idx="190">
                  <c:v>7.4280571425096929E-13</c:v>
                </c:pt>
                <c:pt idx="191">
                  <c:v>7.4280571425096929E-13</c:v>
                </c:pt>
                <c:pt idx="192">
                  <c:v>7.4280571425096929E-13</c:v>
                </c:pt>
                <c:pt idx="193">
                  <c:v>7.4280571425096929E-13</c:v>
                </c:pt>
                <c:pt idx="194">
                  <c:v>7.4280571425096929E-13</c:v>
                </c:pt>
                <c:pt idx="195">
                  <c:v>7.4280571425096929E-13</c:v>
                </c:pt>
                <c:pt idx="196">
                  <c:v>7.4280571425096929E-13</c:v>
                </c:pt>
                <c:pt idx="197">
                  <c:v>7.4280571425096929E-13</c:v>
                </c:pt>
                <c:pt idx="198">
                  <c:v>7.4280571425096929E-13</c:v>
                </c:pt>
                <c:pt idx="199">
                  <c:v>7.4280571425096929E-13</c:v>
                </c:pt>
                <c:pt idx="200">
                  <c:v>7.4280571425096929E-13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" zoomScale="80" zoomScaleNormal="80" workbookViewId="0">
      <selection activeCell="H18" sqref="H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23</v>
      </c>
      <c r="C9" s="32">
        <v>0.14000000000000001</v>
      </c>
      <c r="D9" s="33">
        <f t="shared" ref="D9:D18" si="0">C9*$C$5</f>
        <v>0.26600000000000001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0.14000000000000001</v>
      </c>
      <c r="D10" s="33">
        <f t="shared" si="0"/>
        <v>0.26600000000000001</v>
      </c>
      <c r="E10" s="34">
        <v>55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13</v>
      </c>
      <c r="C11" s="32">
        <v>0.68</v>
      </c>
      <c r="D11" s="33">
        <f t="shared" si="0"/>
        <v>1.292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23</v>
      </c>
      <c r="C12" s="32">
        <v>0.04</v>
      </c>
      <c r="D12" s="33">
        <f t="shared" si="0"/>
        <v>7.5999999999999998E-2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1.9000000000000001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Erable sycomore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10</v>
      </c>
      <c r="B36" s="60">
        <v>19</v>
      </c>
      <c r="C36" s="60">
        <v>1</v>
      </c>
      <c r="D36" s="60">
        <v>7</v>
      </c>
      <c r="E36" s="51"/>
      <c r="F36" s="51">
        <v>0.3</v>
      </c>
      <c r="G36" s="51">
        <v>0.7</v>
      </c>
      <c r="H36" s="51"/>
      <c r="I36" s="49">
        <f>IFERROR(B36/A36,"")</f>
        <v>1.9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15</v>
      </c>
      <c r="B37" s="60">
        <v>85</v>
      </c>
      <c r="C37" s="60">
        <v>2</v>
      </c>
      <c r="D37" s="60">
        <v>42</v>
      </c>
      <c r="E37" s="51">
        <v>0.2</v>
      </c>
      <c r="F37" s="51">
        <v>0.2</v>
      </c>
      <c r="G37" s="51">
        <v>0.6</v>
      </c>
      <c r="H37" s="51"/>
      <c r="I37" s="53">
        <f t="shared" ref="I37:I55" si="1">IF(A37&lt;&gt;0,(B37-(B36-D36))/(A37-A36),"")</f>
        <v>14.6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123</v>
      </c>
      <c r="C38" s="60">
        <v>3</v>
      </c>
      <c r="D38" s="60">
        <v>42</v>
      </c>
      <c r="E38" s="51">
        <v>0.2</v>
      </c>
      <c r="F38" s="51">
        <v>0.2</v>
      </c>
      <c r="G38" s="51">
        <v>0.6</v>
      </c>
      <c r="H38" s="51"/>
      <c r="I38" s="53">
        <f t="shared" si="1"/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25</v>
      </c>
      <c r="B39" s="60">
        <v>165</v>
      </c>
      <c r="C39" s="60">
        <v>4</v>
      </c>
      <c r="D39" s="60">
        <v>42</v>
      </c>
      <c r="E39" s="51">
        <v>0.3</v>
      </c>
      <c r="F39" s="51">
        <v>0.4</v>
      </c>
      <c r="G39" s="51">
        <v>0.3</v>
      </c>
      <c r="H39" s="51"/>
      <c r="I39" s="49">
        <f t="shared" si="1"/>
        <v>16.8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30</v>
      </c>
      <c r="B40" s="60">
        <v>205</v>
      </c>
      <c r="C40" s="60">
        <v>5</v>
      </c>
      <c r="D40" s="60">
        <v>42</v>
      </c>
      <c r="E40" s="51">
        <v>0.3</v>
      </c>
      <c r="F40" s="51">
        <v>0.4</v>
      </c>
      <c r="G40" s="51">
        <v>0.3</v>
      </c>
      <c r="H40" s="51"/>
      <c r="I40" s="49">
        <f t="shared" si="1"/>
        <v>16.399999999999999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35</v>
      </c>
      <c r="B41" s="60">
        <v>239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15.2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263</v>
      </c>
      <c r="C42" s="60">
        <v>7</v>
      </c>
      <c r="D42" s="60">
        <v>40</v>
      </c>
      <c r="E42" s="51"/>
      <c r="F42" s="51"/>
      <c r="G42" s="51"/>
      <c r="H42" s="51"/>
      <c r="I42" s="53">
        <f t="shared" si="1"/>
        <v>13.2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45</v>
      </c>
      <c r="B43" s="60">
        <v>280</v>
      </c>
      <c r="C43" s="60">
        <v>8</v>
      </c>
      <c r="D43" s="60">
        <v>26</v>
      </c>
      <c r="E43" s="51"/>
      <c r="F43" s="51"/>
      <c r="G43" s="51"/>
      <c r="H43" s="51"/>
      <c r="I43" s="49">
        <f t="shared" si="1"/>
        <v>11.4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50</v>
      </c>
      <c r="B44" s="60">
        <v>303</v>
      </c>
      <c r="C44" s="60">
        <v>9</v>
      </c>
      <c r="D44" s="60">
        <v>21</v>
      </c>
      <c r="E44" s="51"/>
      <c r="F44" s="51"/>
      <c r="G44" s="51"/>
      <c r="H44" s="51"/>
      <c r="I44" s="49">
        <f t="shared" si="1"/>
        <v>9.8000000000000007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55</v>
      </c>
      <c r="B45" s="60">
        <v>324</v>
      </c>
      <c r="C45" s="60">
        <v>10</v>
      </c>
      <c r="D45" s="60">
        <v>18</v>
      </c>
      <c r="E45" s="51"/>
      <c r="F45" s="51"/>
      <c r="G45" s="51"/>
      <c r="H45" s="51"/>
      <c r="I45" s="49">
        <f t="shared" si="1"/>
        <v>8.4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60</v>
      </c>
      <c r="B46" s="60">
        <v>343</v>
      </c>
      <c r="C46" s="60">
        <v>11</v>
      </c>
      <c r="D46" s="60">
        <v>17</v>
      </c>
      <c r="E46" s="51"/>
      <c r="F46" s="51"/>
      <c r="G46" s="51"/>
      <c r="H46" s="51"/>
      <c r="I46" s="49">
        <f t="shared" si="1"/>
        <v>7.4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65</v>
      </c>
      <c r="B47" s="60">
        <v>356</v>
      </c>
      <c r="C47" s="60">
        <v>12</v>
      </c>
      <c r="D47" s="60">
        <v>16</v>
      </c>
      <c r="E47" s="51"/>
      <c r="F47" s="51"/>
      <c r="G47" s="51"/>
      <c r="H47" s="51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70</v>
      </c>
      <c r="B48" s="60">
        <v>366</v>
      </c>
      <c r="C48" s="60">
        <v>13</v>
      </c>
      <c r="D48" s="60">
        <v>15</v>
      </c>
      <c r="E48" s="51"/>
      <c r="F48" s="51"/>
      <c r="G48" s="51"/>
      <c r="H48" s="51"/>
      <c r="I48" s="49">
        <f t="shared" si="1"/>
        <v>5.2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75</v>
      </c>
      <c r="B49" s="60">
        <v>375</v>
      </c>
      <c r="C49" s="60">
        <v>14</v>
      </c>
      <c r="D49" s="60">
        <v>14</v>
      </c>
      <c r="E49" s="51"/>
      <c r="F49" s="51"/>
      <c r="G49" s="51"/>
      <c r="H49" s="51"/>
      <c r="I49" s="49">
        <f t="shared" si="1"/>
        <v>4.8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80</v>
      </c>
      <c r="B50" s="50">
        <v>381</v>
      </c>
      <c r="C50" s="50">
        <v>15</v>
      </c>
      <c r="D50" s="50">
        <v>381</v>
      </c>
      <c r="E50" s="51"/>
      <c r="F50" s="51"/>
      <c r="G50" s="51"/>
      <c r="H50" s="51"/>
      <c r="I50" s="49">
        <f t="shared" si="1"/>
        <v>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107</v>
      </c>
      <c r="C62" s="60">
        <v>1</v>
      </c>
      <c r="D62" s="60">
        <v>34</v>
      </c>
      <c r="E62" s="51"/>
      <c r="F62" s="51">
        <v>0.1</v>
      </c>
      <c r="G62" s="51">
        <v>0.5</v>
      </c>
      <c r="H62" s="51">
        <v>0.4</v>
      </c>
      <c r="I62" s="53">
        <f>IFERROR(B62/A62,"")</f>
        <v>7.1333333333333337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154</v>
      </c>
      <c r="C63" s="60">
        <v>2</v>
      </c>
      <c r="D63" s="60">
        <v>50</v>
      </c>
      <c r="E63" s="51">
        <v>0.1</v>
      </c>
      <c r="F63" s="51">
        <v>0.2</v>
      </c>
      <c r="G63" s="51">
        <v>0.4</v>
      </c>
      <c r="H63" s="51">
        <v>0.3</v>
      </c>
      <c r="I63" s="49">
        <f>IF(A63&lt;&gt;0,(B63-(B62-D62))/(A63-A62),"")</f>
        <v>16.2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183</v>
      </c>
      <c r="C64" s="60">
        <v>3</v>
      </c>
      <c r="D64" s="60">
        <v>52</v>
      </c>
      <c r="E64" s="51">
        <v>0.1</v>
      </c>
      <c r="F64" s="51">
        <v>0.3</v>
      </c>
      <c r="G64" s="51">
        <v>0.3</v>
      </c>
      <c r="H64" s="51">
        <v>0.3</v>
      </c>
      <c r="I64" s="49">
        <f>IF(A64&lt;&gt;0,(B64-(B63-D63))/(A64-A63),"")</f>
        <v>15.8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205</v>
      </c>
      <c r="C65" s="60">
        <v>4</v>
      </c>
      <c r="D65" s="60">
        <v>51</v>
      </c>
      <c r="E65" s="51">
        <v>0.2</v>
      </c>
      <c r="F65" s="51">
        <v>0.4</v>
      </c>
      <c r="G65" s="51">
        <v>0.2</v>
      </c>
      <c r="H65" s="51"/>
      <c r="I65" s="49">
        <f>IF(A65&lt;&gt;0,(B65-(B64-D64))/(A65-A64),"")</f>
        <v>14.8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222</v>
      </c>
      <c r="C66" s="60">
        <v>5</v>
      </c>
      <c r="D66" s="60">
        <v>49</v>
      </c>
      <c r="E66" s="51"/>
      <c r="F66" s="51"/>
      <c r="G66" s="51"/>
      <c r="H66" s="51"/>
      <c r="I66" s="49">
        <f t="shared" ref="I66:I81" si="2">IF(A66&lt;&gt;0,(B66-(B65-D65))/(A66-A65),"")</f>
        <v>13.6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235</v>
      </c>
      <c r="C67" s="60">
        <v>6</v>
      </c>
      <c r="D67" s="60">
        <v>45</v>
      </c>
      <c r="E67" s="51"/>
      <c r="F67" s="51"/>
      <c r="G67" s="51"/>
      <c r="H67" s="51"/>
      <c r="I67" s="49">
        <f t="shared" si="2"/>
        <v>12.4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245</v>
      </c>
      <c r="C68" s="60">
        <v>7</v>
      </c>
      <c r="D68" s="60">
        <v>41</v>
      </c>
      <c r="E68" s="51"/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252</v>
      </c>
      <c r="C69" s="50">
        <v>8</v>
      </c>
      <c r="D69" s="50">
        <v>37</v>
      </c>
      <c r="E69" s="51"/>
      <c r="F69" s="51"/>
      <c r="G69" s="51"/>
      <c r="H69" s="51"/>
      <c r="I69" s="49">
        <f t="shared" si="2"/>
        <v>9.6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258</v>
      </c>
      <c r="C70" s="50">
        <v>9</v>
      </c>
      <c r="D70" s="50">
        <v>258</v>
      </c>
      <c r="E70" s="51"/>
      <c r="F70" s="51"/>
      <c r="G70" s="51"/>
      <c r="H70" s="51"/>
      <c r="I70" s="49">
        <f t="shared" si="2"/>
        <v>8.6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79</v>
      </c>
      <c r="C88" s="60">
        <v>1</v>
      </c>
      <c r="D88" s="60">
        <v>17</v>
      </c>
      <c r="E88" s="51"/>
      <c r="F88" s="51">
        <v>0.1</v>
      </c>
      <c r="G88" s="51">
        <v>0.5</v>
      </c>
      <c r="H88" s="87">
        <v>0.4</v>
      </c>
      <c r="I88" s="53">
        <f>IFERROR(B88/A88,"")</f>
        <v>3.95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108</v>
      </c>
      <c r="C89" s="60">
        <v>2</v>
      </c>
      <c r="D89" s="60">
        <v>26</v>
      </c>
      <c r="E89" s="51">
        <v>0.1</v>
      </c>
      <c r="F89" s="51">
        <v>0.2</v>
      </c>
      <c r="G89" s="51">
        <v>0.4</v>
      </c>
      <c r="H89" s="87">
        <v>0.3</v>
      </c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125</v>
      </c>
      <c r="C90" s="60">
        <v>3</v>
      </c>
      <c r="D90" s="60">
        <v>26</v>
      </c>
      <c r="E90" s="87">
        <v>0.1</v>
      </c>
      <c r="F90" s="87">
        <v>0.3</v>
      </c>
      <c r="G90" s="87">
        <v>0.3</v>
      </c>
      <c r="H90" s="87">
        <v>0.3</v>
      </c>
      <c r="I90" s="53">
        <f t="shared" si="3"/>
        <v>8.6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138</v>
      </c>
      <c r="C91" s="60">
        <v>4</v>
      </c>
      <c r="D91" s="60">
        <v>25</v>
      </c>
      <c r="E91" s="87"/>
      <c r="F91" s="87"/>
      <c r="G91" s="87"/>
      <c r="H91" s="87"/>
      <c r="I91" s="53">
        <f t="shared" si="3"/>
        <v>7.8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150</v>
      </c>
      <c r="C92" s="60">
        <v>5</v>
      </c>
      <c r="D92" s="60">
        <v>23</v>
      </c>
      <c r="E92" s="87"/>
      <c r="F92" s="87"/>
      <c r="G92" s="87"/>
      <c r="H92" s="87"/>
      <c r="I92" s="53">
        <f t="shared" si="3"/>
        <v>7.4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159</v>
      </c>
      <c r="C93" s="60">
        <v>6</v>
      </c>
      <c r="D93" s="60">
        <v>21</v>
      </c>
      <c r="E93" s="87"/>
      <c r="F93" s="87"/>
      <c r="G93" s="87"/>
      <c r="H93" s="87"/>
      <c r="I93" s="53">
        <f t="shared" si="3"/>
        <v>6.4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166</v>
      </c>
      <c r="C94" s="60">
        <v>7</v>
      </c>
      <c r="D94" s="60">
        <v>19</v>
      </c>
      <c r="E94" s="87"/>
      <c r="F94" s="87"/>
      <c r="G94" s="87"/>
      <c r="H94" s="87"/>
      <c r="I94" s="53">
        <f t="shared" si="3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172</v>
      </c>
      <c r="C95" s="60">
        <v>8</v>
      </c>
      <c r="D95" s="60">
        <v>18</v>
      </c>
      <c r="E95" s="87"/>
      <c r="F95" s="87"/>
      <c r="G95" s="87"/>
      <c r="H95" s="87"/>
      <c r="I95" s="53">
        <f t="shared" si="3"/>
        <v>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177</v>
      </c>
      <c r="C96" s="60">
        <v>9</v>
      </c>
      <c r="D96" s="60">
        <v>16</v>
      </c>
      <c r="E96" s="87"/>
      <c r="F96" s="87"/>
      <c r="G96" s="87"/>
      <c r="H96" s="87"/>
      <c r="I96" s="53">
        <f t="shared" si="3"/>
        <v>4.5999999999999996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181</v>
      </c>
      <c r="C97" s="60">
        <v>10</v>
      </c>
      <c r="D97" s="60">
        <v>14</v>
      </c>
      <c r="E97" s="87"/>
      <c r="F97" s="87"/>
      <c r="G97" s="87"/>
      <c r="H97" s="87"/>
      <c r="I97" s="53">
        <f t="shared" si="3"/>
        <v>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184</v>
      </c>
      <c r="C98" s="60">
        <v>11</v>
      </c>
      <c r="D98" s="60">
        <v>12</v>
      </c>
      <c r="E98" s="87"/>
      <c r="F98" s="87"/>
      <c r="G98" s="87"/>
      <c r="H98" s="87"/>
      <c r="I98" s="53">
        <f t="shared" si="3"/>
        <v>3.4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187</v>
      </c>
      <c r="C99" s="60">
        <v>12</v>
      </c>
      <c r="D99" s="60">
        <v>11</v>
      </c>
      <c r="E99" s="87"/>
      <c r="F99" s="87"/>
      <c r="G99" s="87"/>
      <c r="H99" s="87"/>
      <c r="I99" s="53">
        <f t="shared" si="3"/>
        <v>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189</v>
      </c>
      <c r="C100" s="60">
        <v>13</v>
      </c>
      <c r="D100" s="60">
        <v>9</v>
      </c>
      <c r="E100" s="65"/>
      <c r="F100" s="65"/>
      <c r="G100" s="65"/>
      <c r="H100" s="65"/>
      <c r="I100" s="53">
        <f t="shared" si="3"/>
        <v>2.6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191</v>
      </c>
      <c r="C101" s="60">
        <v>14</v>
      </c>
      <c r="D101" s="60">
        <v>8</v>
      </c>
      <c r="E101" s="65"/>
      <c r="F101" s="65"/>
      <c r="G101" s="65"/>
      <c r="H101" s="65"/>
      <c r="I101" s="53">
        <f t="shared" si="3"/>
        <v>2.2000000000000002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193</v>
      </c>
      <c r="C102" s="60">
        <v>15</v>
      </c>
      <c r="D102" s="50">
        <v>193</v>
      </c>
      <c r="E102" s="54"/>
      <c r="F102" s="54"/>
      <c r="G102" s="54"/>
      <c r="H102" s="54"/>
      <c r="I102" s="53">
        <f t="shared" si="3"/>
        <v>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9</v>
      </c>
      <c r="C114" s="50">
        <v>1</v>
      </c>
      <c r="D114" s="60">
        <v>0</v>
      </c>
      <c r="E114" s="51"/>
      <c r="F114" s="51">
        <v>0.3</v>
      </c>
      <c r="G114" s="51">
        <v>0.7</v>
      </c>
      <c r="H114" s="51"/>
      <c r="I114" s="53">
        <f>IFERROR(B114/A114,"")</f>
        <v>0.6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57</v>
      </c>
      <c r="C115" s="50">
        <v>2</v>
      </c>
      <c r="D115" s="60">
        <v>21</v>
      </c>
      <c r="E115" s="51">
        <v>0.2</v>
      </c>
      <c r="F115" s="51">
        <v>0.2</v>
      </c>
      <c r="G115" s="51">
        <v>0.6</v>
      </c>
      <c r="H115" s="51"/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86</v>
      </c>
      <c r="C116" s="50">
        <v>3</v>
      </c>
      <c r="D116" s="60">
        <v>21</v>
      </c>
      <c r="E116" s="51">
        <v>0.2</v>
      </c>
      <c r="F116" s="51">
        <v>0.2</v>
      </c>
      <c r="G116" s="51">
        <v>0.6</v>
      </c>
      <c r="H116" s="51"/>
      <c r="I116" s="53">
        <f t="shared" si="4"/>
        <v>10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114</v>
      </c>
      <c r="C117" s="50">
        <v>4</v>
      </c>
      <c r="D117" s="60">
        <v>21</v>
      </c>
      <c r="E117" s="51">
        <v>0.3</v>
      </c>
      <c r="F117" s="51">
        <v>0.4</v>
      </c>
      <c r="G117" s="51">
        <v>0.3</v>
      </c>
      <c r="H117" s="51"/>
      <c r="I117" s="53">
        <f t="shared" si="4"/>
        <v>9.8000000000000007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136</v>
      </c>
      <c r="C118" s="50">
        <v>5</v>
      </c>
      <c r="D118" s="60">
        <v>21</v>
      </c>
      <c r="E118" s="51"/>
      <c r="F118" s="51"/>
      <c r="G118" s="51"/>
      <c r="H118" s="51"/>
      <c r="I118" s="53">
        <f t="shared" si="4"/>
        <v>8.6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153</v>
      </c>
      <c r="C119" s="50">
        <v>6</v>
      </c>
      <c r="D119" s="60">
        <v>21</v>
      </c>
      <c r="E119" s="51"/>
      <c r="F119" s="51"/>
      <c r="G119" s="51"/>
      <c r="H119" s="51"/>
      <c r="I119" s="53">
        <f t="shared" si="4"/>
        <v>7.6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164</v>
      </c>
      <c r="C120" s="60">
        <v>7</v>
      </c>
      <c r="D120" s="60">
        <v>18</v>
      </c>
      <c r="E120" s="87"/>
      <c r="F120" s="87"/>
      <c r="G120" s="87"/>
      <c r="H120" s="87"/>
      <c r="I120" s="53">
        <f t="shared" si="4"/>
        <v>6.4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174</v>
      </c>
      <c r="C121" s="60">
        <v>8</v>
      </c>
      <c r="D121" s="60">
        <v>13</v>
      </c>
      <c r="E121" s="87"/>
      <c r="F121" s="87"/>
      <c r="G121" s="87"/>
      <c r="H121" s="87"/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185</v>
      </c>
      <c r="C122" s="60">
        <v>9</v>
      </c>
      <c r="D122" s="60">
        <v>11</v>
      </c>
      <c r="E122" s="87"/>
      <c r="F122" s="87"/>
      <c r="G122" s="87"/>
      <c r="H122" s="87"/>
      <c r="I122" s="53">
        <f t="shared" si="4"/>
        <v>4.8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194</v>
      </c>
      <c r="C123" s="60">
        <v>10</v>
      </c>
      <c r="D123" s="60">
        <v>9</v>
      </c>
      <c r="E123" s="87"/>
      <c r="F123" s="87"/>
      <c r="G123" s="87"/>
      <c r="H123" s="87"/>
      <c r="I123" s="53">
        <f t="shared" si="4"/>
        <v>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202</v>
      </c>
      <c r="C124" s="60">
        <v>11</v>
      </c>
      <c r="D124" s="60">
        <v>8</v>
      </c>
      <c r="E124" s="87"/>
      <c r="F124" s="87"/>
      <c r="G124" s="87"/>
      <c r="H124" s="87"/>
      <c r="I124" s="53">
        <f t="shared" si="4"/>
        <v>3.4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209</v>
      </c>
      <c r="C125" s="60">
        <v>12</v>
      </c>
      <c r="D125" s="60">
        <v>8</v>
      </c>
      <c r="E125" s="87"/>
      <c r="F125" s="87"/>
      <c r="G125" s="87"/>
      <c r="H125" s="87"/>
      <c r="I125" s="53">
        <f t="shared" si="4"/>
        <v>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v>214</v>
      </c>
      <c r="C126" s="60">
        <v>13</v>
      </c>
      <c r="D126" s="60">
        <v>7</v>
      </c>
      <c r="E126" s="65"/>
      <c r="F126" s="65"/>
      <c r="G126" s="65"/>
      <c r="H126" s="65"/>
      <c r="I126" s="53">
        <f t="shared" si="4"/>
        <v>2.6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v>219</v>
      </c>
      <c r="C127" s="60">
        <v>14</v>
      </c>
      <c r="D127" s="60">
        <v>219</v>
      </c>
      <c r="E127" s="65"/>
      <c r="F127" s="65"/>
      <c r="G127" s="65"/>
      <c r="H127" s="65"/>
      <c r="I127" s="53">
        <f t="shared" si="4"/>
        <v>2.4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8" sqref="F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Erable sycomore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405.40026823646758</v>
      </c>
      <c r="T3" s="59">
        <f>IF('Données projet'!E9&gt;30,$R$33-$H$33,LOOKUP('Données projet'!$E$9,$A$3:$A$203,R3:R203)-LOOKUP('Données projet'!$E$9,$A$3:$A$203,$H$3:$H$203))</f>
        <v>393.0787141050053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304.32767345253382</v>
      </c>
      <c r="AO3" s="59">
        <f>IF('Données projet'!E10&gt;30,$AM$33-$H$33,LOOKUP('Données projet'!$E$10,$A$3:$A$203,AM3:AM203)-LOOKUP('Données projet'!$E$10,$A$3:$A$203,$H$3:$H$203))</f>
        <v>427.16091343339173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268.31928207836495</v>
      </c>
      <c r="BJ3" s="59">
        <f>IF('Données projet'!E11&gt;30,$BH$33-$H$33,LOOKUP('Données projet'!$E$11,$A$3:$A$203,BH3:BH203)-LOOKUP('Données projet'!$E$11,$A$3:$A$203,$H$3:$H$203))</f>
        <v>277.61304526670204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241.67556898455945</v>
      </c>
      <c r="CE3" s="59">
        <f>IF('Données projet'!E12&gt;30,$CC$33-$H$33,LOOKUP('Données projet'!$E$12,$A$3:$A$203,CC3:CC203)-LOOKUP('Données projet'!$E$12,$A$3:$A$203,$H$3:$H$203))</f>
        <v>237.71070965292648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1.9</v>
      </c>
      <c r="N4" s="13">
        <f>IF('Données projet'!$A$36&gt;35,N3+M4-V3,IF(A4&lt;'Données projet'!$A$36,$K$205^A4,IF(A4='Données projet'!$A$36,'Données projet'!$B$36,N3+M4-V3)))</f>
        <v>1.3423796509621049</v>
      </c>
      <c r="O4" s="13">
        <f>N4*VLOOKUP('Données projet'!$B$9,Paramètres!$A$1:$I$89,3,0)*VLOOKUP('Données projet'!$B$9,Paramètres!$A$1:$I$89,5,0)</f>
        <v>1.0679972503054507</v>
      </c>
      <c r="P4" s="13">
        <f>EXP(-1.0587+0.8836*LN(O4)+0.284)</f>
        <v>0.48842359485523285</v>
      </c>
      <c r="Q4" s="20">
        <f t="shared" ref="Q4:Q34" si="2">(O4+P4)*0.475*44/12</f>
        <v>2.7107663053215236</v>
      </c>
      <c r="R4" s="59">
        <f t="shared" si="0"/>
        <v>260.59965519421036</v>
      </c>
      <c r="S4" s="59">
        <f ca="1">AVERAGE(OFFSET($R$3,0,0,'Données projet'!$E$9+1,1))-AVERAGE(OFFSET($H$3,0,0,'Données projet'!$E$9+1,1))</f>
        <v>405.40026823646758</v>
      </c>
      <c r="T4" s="59">
        <f>$T$3</f>
        <v>393.0787141050053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7.1333333333333337</v>
      </c>
      <c r="AI4" s="13">
        <f>IF('Données projet'!$A$62&gt;35,AI3+AH4-AQ3,IF(A4&lt;'Données projet'!$A$62,$AF$205^A4,IF(A4='Données projet'!$A$62,'Données projet'!$B$62,AI3+AH4-AQ3)))</f>
        <v>1.3655017210306359</v>
      </c>
      <c r="AJ4" s="13">
        <f>AI4*VLOOKUP('Données projet'!$B$10,Paramètres!$A$1:$I$89,3,0)*VLOOKUP('Données projet'!$B$10,Paramètres!$A$1:$I$89,5,0)</f>
        <v>1.1929023034923638</v>
      </c>
      <c r="AK4" s="13">
        <f>EXP(-1.0587+0.8836*LN(AJ4)+0.284)</f>
        <v>0.53856749022761552</v>
      </c>
      <c r="AL4" s="20">
        <f t="shared" ref="AL4:AL67" si="4">(AJ4+AK4)*0.475*44/12</f>
        <v>3.015643224062297</v>
      </c>
      <c r="AM4" s="59">
        <f t="shared" ref="AM4:AM67" si="5">AL4+(AD4+AE4)*44/12</f>
        <v>260.90453211295113</v>
      </c>
      <c r="AN4" s="59">
        <f ca="1">AVERAGE(OFFSET($AM$3,0,0,'Données projet'!$E$10+1,1))-AVERAGE(OFFSET($H$3,0,0,'Données projet'!$E$10+1,1))</f>
        <v>304.32767345253382</v>
      </c>
      <c r="AO4" s="59">
        <f>$AO$3</f>
        <v>427.16091343339173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3.95</v>
      </c>
      <c r="BD4" s="12">
        <f>IF('Données projet'!$A$88&gt;35,BD3+BC4-BL3,IF(A4&lt;'Données projet'!$A$88,$BA$205^A4,IF(A4='Données projet'!$A$88,'Données projet'!$B$88,BD3+BC4-BL3)))</f>
        <v>1.2441746677543575</v>
      </c>
      <c r="BE4" s="13">
        <f>BD4*VLOOKUP('Données projet'!$B$11,Paramètres!$A$1:$I$89,3,0)*VLOOKUP('Données projet'!$B$11,Paramètres!$A$1:$I$89,5,0)</f>
        <v>1.0869109897502069</v>
      </c>
      <c r="BF4" s="13">
        <f>EXP(-1.0587+0.8836*LN(BE4)+0.284)</f>
        <v>0.49605869398208868</v>
      </c>
      <c r="BG4" s="20">
        <f t="shared" ref="BG4:BG67" si="7">(BE4+BF4)*0.475*44/12</f>
        <v>2.7570055325004148</v>
      </c>
      <c r="BH4" s="59">
        <f t="shared" ref="BH4:BH67" si="8">BG4+(AY4+AZ4)*44/12</f>
        <v>260.64589442138924</v>
      </c>
      <c r="BI4" s="59">
        <f ca="1">AVERAGE(OFFSET($BH$3,0,0,'Données projet'!$E$11+1,1))-AVERAGE(OFFSET($H$3,0,0,'Données projet'!$E$11+1,1))</f>
        <v>268.31928207836495</v>
      </c>
      <c r="BJ4" s="59">
        <f>$BJ$3</f>
        <v>277.61304526670204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0.6</v>
      </c>
      <c r="BY4" s="12">
        <f>IF('Données projet'!$A$114&gt;35,BY3+BX4-CG3,IF(A4&lt;'Données projet'!$A$114,$BV$205^A4,IF(A4='Données projet'!$A$114,'Données projet'!$B$114,BY3+BX4-CG3)))</f>
        <v>1.1577536725165907</v>
      </c>
      <c r="BZ4" s="13">
        <f>BY4*VLOOKUP('Données projet'!$B$12,Paramètres!$A$1:$I$89,3,0)*VLOOKUP('Données projet'!$B$12,Paramètres!$A$1:$I$89,5,0)</f>
        <v>0.92110882185419962</v>
      </c>
      <c r="CA4" s="13">
        <f>EXP(-1.0587+0.8836*LN(BZ4)+0.284)</f>
        <v>0.4285655059947403</v>
      </c>
      <c r="CB4" s="20">
        <f t="shared" ref="CB4:CB67" si="10">(BZ4+CA4)*0.475*44/12</f>
        <v>2.3506827876702365</v>
      </c>
      <c r="CC4" s="59">
        <f t="shared" ref="CC4:CC67" si="11">CB4+(BT4+BU4)*44/12</f>
        <v>260.23957167655908</v>
      </c>
      <c r="CD4" s="59">
        <f ca="1">AVERAGE(OFFSET($CC$3,0,0,'Données projet'!$E$12+1,1))-AVERAGE(OFFSET($H$3,0,0,'Données projet'!$E$12+1,1))</f>
        <v>241.67556898455945</v>
      </c>
      <c r="CE4" s="59">
        <f>$CE$3</f>
        <v>237.71070965292648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1.9</v>
      </c>
      <c r="N5" s="13">
        <f>IF('Données projet'!$A$36&gt;35,N4+M5-V4,IF(A5&lt;'Données projet'!$A$36,$K$205^A5,IF(A5='Données projet'!$A$36,'Données projet'!$B$36,N4+M5-V4)))</f>
        <v>1.8019831273171425</v>
      </c>
      <c r="O5" s="13">
        <f>N5*VLOOKUP('Données projet'!$B$9,Paramètres!$A$1:$I$89,3,0)*VLOOKUP('Données projet'!$B$9,Paramètres!$A$1:$I$89,5,0)</f>
        <v>1.4336577760935185</v>
      </c>
      <c r="P5" s="13">
        <f t="shared" ref="P5:P68" si="33">EXP(-1.0587+0.8836*LN(O5)+0.284)</f>
        <v>0.63355934907379652</v>
      </c>
      <c r="Q5" s="20">
        <f t="shared" si="2"/>
        <v>3.6004031596664068</v>
      </c>
      <c r="R5" s="59">
        <f t="shared" si="0"/>
        <v>262.71151427077757</v>
      </c>
      <c r="S5" s="59">
        <f ca="1">AVERAGE(OFFSET($R$3,0,0,'Données projet'!$E$9+1,1))-AVERAGE(OFFSET($H$3,0,0,'Données projet'!$E$9+1,1))</f>
        <v>405.40026823646758</v>
      </c>
      <c r="T5" s="59">
        <f t="shared" ref="T5:T68" si="34">$T$3</f>
        <v>393.0787141050053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7.1333333333333337</v>
      </c>
      <c r="AI5" s="13">
        <f>IF('Données projet'!$A$62&gt;35,AI4+AH5-AQ4,IF(A5&lt;'Données projet'!$A$62,$AF$205^A5,IF(A5='Données projet'!$A$62,'Données projet'!$B$62,AI4+AH5-AQ4)))</f>
        <v>1.8645949501376287</v>
      </c>
      <c r="AJ5" s="13">
        <f>AI5*VLOOKUP('Données projet'!$B$10,Paramètres!$A$1:$I$89,3,0)*VLOOKUP('Données projet'!$B$10,Paramètres!$A$1:$I$89,5,0)</f>
        <v>1.6289101484402326</v>
      </c>
      <c r="AK5" s="13">
        <f t="shared" ref="AK5:AK68" si="35">EXP(-1.0587+0.8836*LN(AJ5)+0.284)</f>
        <v>0.70922554238821334</v>
      </c>
      <c r="AL5" s="20">
        <f t="shared" si="4"/>
        <v>4.0722529948595438</v>
      </c>
      <c r="AM5" s="59">
        <f t="shared" si="5"/>
        <v>263.18336410597067</v>
      </c>
      <c r="AN5" s="59">
        <f ca="1">AVERAGE(OFFSET($AM$3,0,0,'Données projet'!$E$10+1,1))-AVERAGE(OFFSET($H$3,0,0,'Données projet'!$E$10+1,1))</f>
        <v>304.32767345253382</v>
      </c>
      <c r="AO5" s="59">
        <f t="shared" ref="AO5:AO68" si="36">$AO$3</f>
        <v>427.16091343339173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3.95</v>
      </c>
      <c r="BD5" s="12">
        <f>IF('Données projet'!$A$88&gt;35,BD4+BC5-BL4,IF(A5&lt;'Données projet'!$A$88,$BA$205^A5,IF(A5='Données projet'!$A$88,'Données projet'!$B$88,BD4+BC5-BL4)))</f>
        <v>1.5479706038816659</v>
      </c>
      <c r="BE5" s="13">
        <f>BD5*VLOOKUP('Données projet'!$B$11,Paramètres!$A$1:$I$89,3,0)*VLOOKUP('Données projet'!$B$11,Paramètres!$A$1:$I$89,5,0)</f>
        <v>1.3523071195510235</v>
      </c>
      <c r="BF5" s="13">
        <f t="shared" ref="BF5:BF68" si="37">EXP(-1.0587+0.8836*LN(BE5)+0.284)</f>
        <v>0.60168644882220068</v>
      </c>
      <c r="BG5" s="20">
        <f t="shared" si="7"/>
        <v>3.4032054649166987</v>
      </c>
      <c r="BH5" s="59">
        <f t="shared" si="8"/>
        <v>262.51431657602785</v>
      </c>
      <c r="BI5" s="59">
        <f ca="1">AVERAGE(OFFSET($BH$3,0,0,'Données projet'!$E$11+1,1))-AVERAGE(OFFSET($H$3,0,0,'Données projet'!$E$11+1,1))</f>
        <v>268.31928207836495</v>
      </c>
      <c r="BJ5" s="59">
        <f t="shared" ref="BJ5:BJ68" si="38">$BJ$3</f>
        <v>277.61304526670204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0.6</v>
      </c>
      <c r="BY5" s="12">
        <f>IF('Données projet'!$A$114&gt;35,BY4+BX5-CG4,IF(A5&lt;'Données projet'!$A$114,$BV$205^A5,IF(A5='Données projet'!$A$114,'Données projet'!$B$114,BY4+BX5-CG4)))</f>
        <v>1.340393566225653</v>
      </c>
      <c r="BZ5" s="13">
        <f>BY5*VLOOKUP('Données projet'!$B$12,Paramètres!$A$1:$I$89,3,0)*VLOOKUP('Données projet'!$B$12,Paramètres!$A$1:$I$89,5,0)</f>
        <v>1.0664171212891296</v>
      </c>
      <c r="CA5" s="13">
        <f t="shared" ref="CA5:CA68" si="39">EXP(-1.0587+0.8836*LN(BZ5)+0.284)</f>
        <v>0.48778501947299968</v>
      </c>
      <c r="CB5" s="20">
        <f t="shared" si="10"/>
        <v>2.7069020618273747</v>
      </c>
      <c r="CC5" s="59">
        <f t="shared" si="11"/>
        <v>261.81801317293849</v>
      </c>
      <c r="CD5" s="59">
        <f ca="1">AVERAGE(OFFSET($CC$3,0,0,'Données projet'!$E$12+1,1))-AVERAGE(OFFSET($H$3,0,0,'Données projet'!$E$12+1,1))</f>
        <v>241.67556898455945</v>
      </c>
      <c r="CE5" s="59">
        <f t="shared" ref="CE5:CE68" si="40">$CE$3</f>
        <v>237.71070965292648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1.9</v>
      </c>
      <c r="N6" s="13">
        <f>IF('Données projet'!$A$36&gt;35,N5+M6-V5,IF(A6&lt;'Données projet'!$A$36,$K$205^A6,IF(A6='Données projet'!$A$36,'Données projet'!$B$36,N5+M6-V5)))</f>
        <v>2.4189454814875879</v>
      </c>
      <c r="O6" s="13">
        <f>N6*VLOOKUP('Données projet'!$B$9,Paramètres!$A$1:$I$89,3,0)*VLOOKUP('Données projet'!$B$9,Paramètres!$A$1:$I$89,5,0)</f>
        <v>1.9245130250715252</v>
      </c>
      <c r="P6" s="13">
        <f t="shared" si="33"/>
        <v>0.82182239561499026</v>
      </c>
      <c r="Q6" s="20">
        <f t="shared" si="2"/>
        <v>4.7832008576956815</v>
      </c>
      <c r="R6" s="59">
        <f t="shared" si="0"/>
        <v>265.11653419102902</v>
      </c>
      <c r="S6" s="59">
        <f ca="1">AVERAGE(OFFSET($R$3,0,0,'Données projet'!$E$9+1,1))-AVERAGE(OFFSET($H$3,0,0,'Données projet'!$E$9+1,1))</f>
        <v>405.40026823646758</v>
      </c>
      <c r="T6" s="59">
        <f t="shared" si="34"/>
        <v>393.0787141050053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7.1333333333333337</v>
      </c>
      <c r="AI6" s="13">
        <f>IF('Données projet'!$A$62&gt;35,AI5+AH6-AQ5,IF(A6&lt;'Données projet'!$A$62,$AF$205^A6,IF(A6='Données projet'!$A$62,'Données projet'!$B$62,AI5+AH6-AQ5)))</f>
        <v>2.5461076134379645</v>
      </c>
      <c r="AJ6" s="13">
        <f>AI6*VLOOKUP('Données projet'!$B$10,Paramètres!$A$1:$I$89,3,0)*VLOOKUP('Données projet'!$B$10,Paramètres!$A$1:$I$89,5,0)</f>
        <v>2.2242796110994063</v>
      </c>
      <c r="AK6" s="13">
        <f t="shared" si="35"/>
        <v>0.93396069963909534</v>
      </c>
      <c r="AL6" s="20">
        <f t="shared" si="4"/>
        <v>5.5006018745362235</v>
      </c>
      <c r="AM6" s="59">
        <f t="shared" si="5"/>
        <v>265.83393520786956</v>
      </c>
      <c r="AN6" s="59">
        <f ca="1">AVERAGE(OFFSET($AM$3,0,0,'Données projet'!$E$10+1,1))-AVERAGE(OFFSET($H$3,0,0,'Données projet'!$E$10+1,1))</f>
        <v>304.32767345253382</v>
      </c>
      <c r="AO6" s="59">
        <f t="shared" si="36"/>
        <v>427.16091343339173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3.95</v>
      </c>
      <c r="BD6" s="12">
        <f>IF('Données projet'!$A$88&gt;35,BD5+BC6-BL5,IF(A6&lt;'Données projet'!$A$88,$BA$205^A6,IF(A6='Données projet'!$A$88,'Données projet'!$B$88,BD5+BC6-BL5)))</f>
        <v>1.9259458117779837</v>
      </c>
      <c r="BE6" s="13">
        <f>BD6*VLOOKUP('Données projet'!$B$11,Paramètres!$A$1:$I$89,3,0)*VLOOKUP('Données projet'!$B$11,Paramètres!$A$1:$I$89,5,0)</f>
        <v>1.682506261169247</v>
      </c>
      <c r="BF6" s="13">
        <f t="shared" si="37"/>
        <v>0.72980594249869668</v>
      </c>
      <c r="BG6" s="20">
        <f t="shared" si="7"/>
        <v>4.2014437547216685</v>
      </c>
      <c r="BH6" s="59">
        <f t="shared" si="8"/>
        <v>264.53477708805497</v>
      </c>
      <c r="BI6" s="59">
        <f ca="1">AVERAGE(OFFSET($BH$3,0,0,'Données projet'!$E$11+1,1))-AVERAGE(OFFSET($H$3,0,0,'Données projet'!$E$11+1,1))</f>
        <v>268.31928207836495</v>
      </c>
      <c r="BJ6" s="59">
        <f t="shared" si="38"/>
        <v>277.61304526670204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0.6</v>
      </c>
      <c r="BY6" s="12">
        <f>IF('Données projet'!$A$114&gt;35,BY5+BX6-CG5,IF(A6&lt;'Données projet'!$A$114,$BV$205^A6,IF(A6='Données projet'!$A$114,'Données projet'!$B$114,BY5+BX6-CG5)))</f>
        <v>1.5518455739153598</v>
      </c>
      <c r="BZ6" s="13">
        <f>BY6*VLOOKUP('Données projet'!$B$12,Paramètres!$A$1:$I$89,3,0)*VLOOKUP('Données projet'!$B$12,Paramètres!$A$1:$I$89,5,0)</f>
        <v>1.2346483386070604</v>
      </c>
      <c r="CA6" s="13">
        <f t="shared" si="39"/>
        <v>0.5551875311803437</v>
      </c>
      <c r="CB6" s="20">
        <f t="shared" si="10"/>
        <v>3.1172974732130618</v>
      </c>
      <c r="CC6" s="59">
        <f t="shared" si="11"/>
        <v>263.45063080654637</v>
      </c>
      <c r="CD6" s="59">
        <f ca="1">AVERAGE(OFFSET($CC$3,0,0,'Données projet'!$E$12+1,1))-AVERAGE(OFFSET($H$3,0,0,'Données projet'!$E$12+1,1))</f>
        <v>241.67556898455945</v>
      </c>
      <c r="CE6" s="59">
        <f t="shared" si="40"/>
        <v>237.71070965292648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1.9</v>
      </c>
      <c r="N7" s="13">
        <f>IF('Données projet'!$A$36&gt;35,N6+M7-V6,IF(A7&lt;'Données projet'!$A$36,$K$205^A7,IF(A7='Données projet'!$A$36,'Données projet'!$B$36,N6+M7-V6)))</f>
        <v>3.247143191135669</v>
      </c>
      <c r="O7" s="13">
        <f>N7*VLOOKUP('Données projet'!$B$9,Paramètres!$A$1:$I$89,3,0)*VLOOKUP('Données projet'!$B$9,Paramètres!$A$1:$I$89,5,0)</f>
        <v>2.5834271228675387</v>
      </c>
      <c r="P7" s="13">
        <f t="shared" si="33"/>
        <v>1.066028069701316</v>
      </c>
      <c r="Q7" s="20">
        <f t="shared" si="2"/>
        <v>6.3561344603907548</v>
      </c>
      <c r="R7" s="59">
        <f t="shared" si="0"/>
        <v>267.91169001594631</v>
      </c>
      <c r="S7" s="59">
        <f ca="1">AVERAGE(OFFSET($R$3,0,0,'Données projet'!$E$9+1,1))-AVERAGE(OFFSET($H$3,0,0,'Données projet'!$E$9+1,1))</f>
        <v>405.40026823646758</v>
      </c>
      <c r="T7" s="59">
        <f t="shared" si="34"/>
        <v>393.0787141050053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7.1333333333333337</v>
      </c>
      <c r="AI7" s="13">
        <f>IF('Données projet'!$A$62&gt;35,AI6+AH7-AQ6,IF(A7&lt;'Données projet'!$A$62,$AF$205^A7,IF(A7='Données projet'!$A$62,'Données projet'!$B$62,AI6+AH7-AQ6)))</f>
        <v>3.4767143280787458</v>
      </c>
      <c r="AJ7" s="13">
        <f>AI7*VLOOKUP('Données projet'!$B$10,Paramètres!$A$1:$I$89,3,0)*VLOOKUP('Données projet'!$B$10,Paramètres!$A$1:$I$89,5,0)</f>
        <v>3.0372576370095925</v>
      </c>
      <c r="AK7" s="13">
        <f t="shared" si="35"/>
        <v>1.2299085923119242</v>
      </c>
      <c r="AL7" s="20">
        <f t="shared" si="4"/>
        <v>7.4319811827349751</v>
      </c>
      <c r="AM7" s="59">
        <f t="shared" si="5"/>
        <v>268.98753673829054</v>
      </c>
      <c r="AN7" s="59">
        <f ca="1">AVERAGE(OFFSET($AM$3,0,0,'Données projet'!$E$10+1,1))-AVERAGE(OFFSET($H$3,0,0,'Données projet'!$E$10+1,1))</f>
        <v>304.32767345253382</v>
      </c>
      <c r="AO7" s="59">
        <f t="shared" si="36"/>
        <v>427.16091343339173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3.95</v>
      </c>
      <c r="BD7" s="12">
        <f>IF('Données projet'!$A$88&gt;35,BD6+BC7-BL6,IF(A7&lt;'Données projet'!$A$88,$BA$205^A7,IF(A7='Données projet'!$A$88,'Données projet'!$B$88,BD6+BC7-BL6)))</f>
        <v>2.3962129904817693</v>
      </c>
      <c r="BE7" s="13">
        <f>BD7*VLOOKUP('Données projet'!$B$11,Paramètres!$A$1:$I$89,3,0)*VLOOKUP('Données projet'!$B$11,Paramètres!$A$1:$I$89,5,0)</f>
        <v>2.0933316684848742</v>
      </c>
      <c r="BF7" s="13">
        <f t="shared" si="37"/>
        <v>0.88520643060684912</v>
      </c>
      <c r="BG7" s="20">
        <f t="shared" si="7"/>
        <v>5.1876205225847505</v>
      </c>
      <c r="BH7" s="59">
        <f t="shared" si="8"/>
        <v>266.74317607814027</v>
      </c>
      <c r="BI7" s="59">
        <f ca="1">AVERAGE(OFFSET($BH$3,0,0,'Données projet'!$E$11+1,1))-AVERAGE(OFFSET($H$3,0,0,'Données projet'!$E$11+1,1))</f>
        <v>268.31928207836495</v>
      </c>
      <c r="BJ7" s="59">
        <f t="shared" si="38"/>
        <v>277.61304526670204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0.6</v>
      </c>
      <c r="BY7" s="12">
        <f>IF('Données projet'!$A$114&gt;35,BY6+BX7-CG6,IF(A7&lt;'Données projet'!$A$114,$BV$205^A7,IF(A7='Données projet'!$A$114,'Données projet'!$B$114,BY6+BX7-CG6)))</f>
        <v>1.796654912379124</v>
      </c>
      <c r="BZ7" s="13">
        <f>BY7*VLOOKUP('Données projet'!$B$12,Paramètres!$A$1:$I$89,3,0)*VLOOKUP('Données projet'!$B$12,Paramètres!$A$1:$I$89,5,0)</f>
        <v>1.4294186482888311</v>
      </c>
      <c r="CA7" s="13">
        <f t="shared" si="39"/>
        <v>0.6319037741485759</v>
      </c>
      <c r="CB7" s="20">
        <f t="shared" si="10"/>
        <v>3.590136552411817</v>
      </c>
      <c r="CC7" s="59">
        <f t="shared" si="11"/>
        <v>265.14569210796736</v>
      </c>
      <c r="CD7" s="59">
        <f ca="1">AVERAGE(OFFSET($CC$3,0,0,'Données projet'!$E$12+1,1))-AVERAGE(OFFSET($H$3,0,0,'Données projet'!$E$12+1,1))</f>
        <v>241.67556898455945</v>
      </c>
      <c r="CE7" s="59">
        <f t="shared" si="40"/>
        <v>237.71070965292648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1.9</v>
      </c>
      <c r="N8" s="13">
        <f>IF('Données projet'!$A$36&gt;35,N7+M8-V7,IF(A8&lt;'Données projet'!$A$36,$K$205^A8,IF(A8='Données projet'!$A$36,'Données projet'!$B$36,N7+M8-V7)))</f>
        <v>4.3588989435406749</v>
      </c>
      <c r="O8" s="13">
        <f>N8*VLOOKUP('Données projet'!$B$9,Paramètres!$A$1:$I$89,3,0)*VLOOKUP('Données projet'!$B$9,Paramètres!$A$1:$I$89,5,0)</f>
        <v>3.467939999480961</v>
      </c>
      <c r="P8" s="13">
        <f t="shared" si="33"/>
        <v>1.382799801337496</v>
      </c>
      <c r="Q8" s="20">
        <f t="shared" si="2"/>
        <v>8.4483718197588118</v>
      </c>
      <c r="R8" s="59">
        <f t="shared" si="0"/>
        <v>271.22614959753656</v>
      </c>
      <c r="S8" s="59">
        <f ca="1">AVERAGE(OFFSET($R$3,0,0,'Données projet'!$E$9+1,1))-AVERAGE(OFFSET($H$3,0,0,'Données projet'!$E$9+1,1))</f>
        <v>405.40026823646758</v>
      </c>
      <c r="T8" s="59">
        <f t="shared" si="34"/>
        <v>393.0787141050053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7.1333333333333337</v>
      </c>
      <c r="AI8" s="13">
        <f>IF('Données projet'!$A$62&gt;35,AI7+AH8-AQ7,IF(A8&lt;'Données projet'!$A$62,$AF$205^A8,IF(A8='Données projet'!$A$62,'Données projet'!$B$62,AI7+AH8-AQ7)))</f>
        <v>4.7474593985233984</v>
      </c>
      <c r="AJ8" s="13">
        <f>AI8*VLOOKUP('Données projet'!$B$10,Paramètres!$A$1:$I$89,3,0)*VLOOKUP('Données projet'!$B$10,Paramètres!$A$1:$I$89,5,0)</f>
        <v>4.1473805305500413</v>
      </c>
      <c r="AK8" s="13">
        <f t="shared" si="35"/>
        <v>1.6196346870133109</v>
      </c>
      <c r="AL8" s="20">
        <f t="shared" si="4"/>
        <v>10.044218170589504</v>
      </c>
      <c r="AM8" s="59">
        <f t="shared" si="5"/>
        <v>272.82199594836726</v>
      </c>
      <c r="AN8" s="59">
        <f ca="1">AVERAGE(OFFSET($AM$3,0,0,'Données projet'!$E$10+1,1))-AVERAGE(OFFSET($H$3,0,0,'Données projet'!$E$10+1,1))</f>
        <v>304.32767345253382</v>
      </c>
      <c r="AO8" s="59">
        <f t="shared" si="36"/>
        <v>427.16091343339173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3.95</v>
      </c>
      <c r="BD8" s="12">
        <f>IF('Données projet'!$A$88&gt;35,BD7+BC8-BL7,IF(A8&lt;'Données projet'!$A$88,$BA$205^A8,IF(A8='Données projet'!$A$88,'Données projet'!$B$88,BD7+BC8-BL7)))</f>
        <v>2.9813075013013308</v>
      </c>
      <c r="BE8" s="13">
        <f>BD8*VLOOKUP('Données projet'!$B$11,Paramètres!$A$1:$I$89,3,0)*VLOOKUP('Données projet'!$B$11,Paramètres!$A$1:$I$89,5,0)</f>
        <v>2.6044702331368428</v>
      </c>
      <c r="BF8" s="13">
        <f t="shared" si="37"/>
        <v>1.0736969640242655</v>
      </c>
      <c r="BG8" s="20">
        <f t="shared" si="7"/>
        <v>6.4061412017222628</v>
      </c>
      <c r="BH8" s="59">
        <f t="shared" si="8"/>
        <v>269.18391897950005</v>
      </c>
      <c r="BI8" s="59">
        <f ca="1">AVERAGE(OFFSET($BH$3,0,0,'Données projet'!$E$11+1,1))-AVERAGE(OFFSET($H$3,0,0,'Données projet'!$E$11+1,1))</f>
        <v>268.31928207836495</v>
      </c>
      <c r="BJ8" s="59">
        <f t="shared" si="38"/>
        <v>277.61304526670204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0.6</v>
      </c>
      <c r="BY8" s="12">
        <f>IF('Données projet'!$A$114&gt;35,BY7+BX8-CG7,IF(A8&lt;'Données projet'!$A$114,$BV$205^A8,IF(A8='Données projet'!$A$114,'Données projet'!$B$114,BY7+BX8-CG7)))</f>
        <v>2.0800838230519041</v>
      </c>
      <c r="BZ8" s="13">
        <f>BY8*VLOOKUP('Données projet'!$B$12,Paramètres!$A$1:$I$89,3,0)*VLOOKUP('Données projet'!$B$12,Paramètres!$A$1:$I$89,5,0)</f>
        <v>1.654914689620095</v>
      </c>
      <c r="CA8" s="13">
        <f t="shared" si="39"/>
        <v>0.71922072697541817</v>
      </c>
      <c r="CB8" s="20">
        <f t="shared" si="10"/>
        <v>4.1349525172371857</v>
      </c>
      <c r="CC8" s="59">
        <f t="shared" si="11"/>
        <v>266.91273029501497</v>
      </c>
      <c r="CD8" s="59">
        <f ca="1">AVERAGE(OFFSET($CC$3,0,0,'Données projet'!$E$12+1,1))-AVERAGE(OFFSET($H$3,0,0,'Données projet'!$E$12+1,1))</f>
        <v>241.67556898455945</v>
      </c>
      <c r="CE8" s="59">
        <f t="shared" si="40"/>
        <v>237.71070965292648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1.9</v>
      </c>
      <c r="N9" s="13">
        <f>IF('Données projet'!$A$36&gt;35,N8+M9-V8,IF(A9&lt;'Données projet'!$A$36,$K$205^A9,IF(A9='Données projet'!$A$36,'Données projet'!$B$36,N8+M9-V8)))</f>
        <v>5.8512972424092187</v>
      </c>
      <c r="O9" s="13">
        <f>N9*VLOOKUP('Données projet'!$B$9,Paramètres!$A$1:$I$89,3,0)*VLOOKUP('Données projet'!$B$9,Paramètres!$A$1:$I$89,5,0)</f>
        <v>4.6552920860607747</v>
      </c>
      <c r="P9" s="13">
        <f t="shared" si="33"/>
        <v>1.7937006960002178</v>
      </c>
      <c r="Q9" s="20">
        <f t="shared" si="2"/>
        <v>11.231995762089561</v>
      </c>
      <c r="R9" s="59">
        <f t="shared" si="0"/>
        <v>275.23199576208958</v>
      </c>
      <c r="S9" s="59">
        <f ca="1">AVERAGE(OFFSET($R$3,0,0,'Données projet'!$E$9+1,1))-AVERAGE(OFFSET($H$3,0,0,'Données projet'!$E$9+1,1))</f>
        <v>405.40026823646758</v>
      </c>
      <c r="T9" s="59">
        <f t="shared" si="34"/>
        <v>393.0787141050053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7.1333333333333337</v>
      </c>
      <c r="AI9" s="13">
        <f>IF('Données projet'!$A$62&gt;35,AI8+AH9-AQ8,IF(A9&lt;'Données projet'!$A$62,$AF$205^A9,IF(A9='Données projet'!$A$62,'Données projet'!$B$62,AI8+AH9-AQ8)))</f>
        <v>6.4826639792067677</v>
      </c>
      <c r="AJ9" s="13">
        <f>AI9*VLOOKUP('Données projet'!$B$10,Paramètres!$A$1:$I$89,3,0)*VLOOKUP('Données projet'!$B$10,Paramètres!$A$1:$I$89,5,0)</f>
        <v>5.6632552522350332</v>
      </c>
      <c r="AK9" s="13">
        <f t="shared" si="35"/>
        <v>2.1328548607386395</v>
      </c>
      <c r="AL9" s="20">
        <f t="shared" si="4"/>
        <v>13.578225113429147</v>
      </c>
      <c r="AM9" s="59">
        <f t="shared" si="5"/>
        <v>277.57822511342914</v>
      </c>
      <c r="AN9" s="59">
        <f ca="1">AVERAGE(OFFSET($AM$3,0,0,'Données projet'!$E$10+1,1))-AVERAGE(OFFSET($H$3,0,0,'Données projet'!$E$10+1,1))</f>
        <v>304.32767345253382</v>
      </c>
      <c r="AO9" s="59">
        <f t="shared" si="36"/>
        <v>427.16091343339173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3.95</v>
      </c>
      <c r="BD9" s="12">
        <f>IF('Données projet'!$A$88&gt;35,BD8+BC9-BL8,IF(A9&lt;'Données projet'!$A$88,$BA$205^A9,IF(A9='Données projet'!$A$88,'Données projet'!$B$88,BD8+BC9-BL8)))</f>
        <v>3.709267269905157</v>
      </c>
      <c r="BE9" s="13">
        <f>BD9*VLOOKUP('Données projet'!$B$11,Paramètres!$A$1:$I$89,3,0)*VLOOKUP('Données projet'!$B$11,Paramètres!$A$1:$I$89,5,0)</f>
        <v>3.2404158869891453</v>
      </c>
      <c r="BF9" s="13">
        <f t="shared" si="37"/>
        <v>1.3023235379849323</v>
      </c>
      <c r="BG9" s="20">
        <f t="shared" si="7"/>
        <v>7.9119378318298503</v>
      </c>
      <c r="BH9" s="59">
        <f t="shared" si="8"/>
        <v>271.91193783182985</v>
      </c>
      <c r="BI9" s="59">
        <f ca="1">AVERAGE(OFFSET($BH$3,0,0,'Données projet'!$E$11+1,1))-AVERAGE(OFFSET($H$3,0,0,'Données projet'!$E$11+1,1))</f>
        <v>268.31928207836495</v>
      </c>
      <c r="BJ9" s="59">
        <f t="shared" si="38"/>
        <v>277.61304526670204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0.6</v>
      </c>
      <c r="BY9" s="12">
        <f>IF('Données projet'!$A$114&gt;35,BY8+BX9-CG8,IF(A9&lt;'Données projet'!$A$114,$BV$205^A9,IF(A9='Données projet'!$A$114,'Données projet'!$B$114,BY8+BX9-CG8)))</f>
        <v>2.4082246852806919</v>
      </c>
      <c r="BZ9" s="13">
        <f>BY9*VLOOKUP('Données projet'!$B$12,Paramètres!$A$1:$I$89,3,0)*VLOOKUP('Données projet'!$B$12,Paramètres!$A$1:$I$89,5,0)</f>
        <v>1.9159835596093187</v>
      </c>
      <c r="CA9" s="13">
        <f t="shared" si="39"/>
        <v>0.81860320395779795</v>
      </c>
      <c r="CB9" s="20">
        <f t="shared" si="10"/>
        <v>4.7627386132127274</v>
      </c>
      <c r="CC9" s="59">
        <f t="shared" si="11"/>
        <v>268.76273861321272</v>
      </c>
      <c r="CD9" s="59">
        <f ca="1">AVERAGE(OFFSET($CC$3,0,0,'Données projet'!$E$12+1,1))-AVERAGE(OFFSET($H$3,0,0,'Données projet'!$E$12+1,1))</f>
        <v>241.67556898455945</v>
      </c>
      <c r="CE9" s="59">
        <f t="shared" si="40"/>
        <v>237.71070965292648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1.9</v>
      </c>
      <c r="N10" s="13">
        <f>IF('Données projet'!$A$36&gt;35,N9+M10-V9,IF(A10&lt;'Données projet'!$A$36,$K$205^A10,IF(A10='Données projet'!$A$36,'Données projet'!$B$36,N9+M10-V9)))</f>
        <v>7.8546623499408135</v>
      </c>
      <c r="O10" s="13">
        <f>N10*VLOOKUP('Données projet'!$B$9,Paramètres!$A$1:$I$89,3,0)*VLOOKUP('Données projet'!$B$9,Paramètres!$A$1:$I$89,5,0)</f>
        <v>6.2491693656129108</v>
      </c>
      <c r="P10" s="13">
        <f t="shared" si="33"/>
        <v>2.326701366112224</v>
      </c>
      <c r="Q10" s="20">
        <f t="shared" si="2"/>
        <v>14.936308191087944</v>
      </c>
      <c r="R10" s="59">
        <f t="shared" si="0"/>
        <v>280.15853041331019</v>
      </c>
      <c r="S10" s="59">
        <f ca="1">AVERAGE(OFFSET($R$3,0,0,'Données projet'!$E$9+1,1))-AVERAGE(OFFSET($H$3,0,0,'Données projet'!$E$9+1,1))</f>
        <v>405.40026823646758</v>
      </c>
      <c r="T10" s="59">
        <f t="shared" si="34"/>
        <v>393.0787141050053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7.1333333333333337</v>
      </c>
      <c r="AI10" s="13">
        <f>IF('Données projet'!$A$62&gt;35,AI9+AH10-AQ9,IF(A10&lt;'Données projet'!$A$62,$AF$205^A10,IF(A10='Données projet'!$A$62,'Données projet'!$B$62,AI9+AH10-AQ9)))</f>
        <v>8.8520888204701524</v>
      </c>
      <c r="AJ10" s="13">
        <f>AI10*VLOOKUP('Données projet'!$B$10,Paramètres!$A$1:$I$89,3,0)*VLOOKUP('Données projet'!$B$10,Paramètres!$A$1:$I$89,5,0)</f>
        <v>7.7331847935627263</v>
      </c>
      <c r="AK10" s="13">
        <f t="shared" si="35"/>
        <v>2.8087011802427866</v>
      </c>
      <c r="AL10" s="20">
        <f t="shared" si="4"/>
        <v>18.360451404377937</v>
      </c>
      <c r="AM10" s="59">
        <f t="shared" si="5"/>
        <v>283.58267362660018</v>
      </c>
      <c r="AN10" s="59">
        <f ca="1">AVERAGE(OFFSET($AM$3,0,0,'Données projet'!$E$10+1,1))-AVERAGE(OFFSET($H$3,0,0,'Données projet'!$E$10+1,1))</f>
        <v>304.32767345253382</v>
      </c>
      <c r="AO10" s="59">
        <f t="shared" si="36"/>
        <v>427.16091343339173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3.95</v>
      </c>
      <c r="BD10" s="12">
        <f>IF('Données projet'!$A$88&gt;35,BD9+BC10-BL9,IF(A10&lt;'Données projet'!$A$88,$BA$205^A10,IF(A10='Données projet'!$A$88,'Données projet'!$B$88,BD9+BC10-BL9)))</f>
        <v>4.6149763731463613</v>
      </c>
      <c r="BE10" s="13">
        <f>BD10*VLOOKUP('Données projet'!$B$11,Paramètres!$A$1:$I$89,3,0)*VLOOKUP('Données projet'!$B$11,Paramètres!$A$1:$I$89,5,0)</f>
        <v>4.0316433595806611</v>
      </c>
      <c r="BF10" s="13">
        <f t="shared" si="37"/>
        <v>1.5796324795710794</v>
      </c>
      <c r="BG10" s="20">
        <f t="shared" si="7"/>
        <v>9.772972086522616</v>
      </c>
      <c r="BH10" s="59">
        <f t="shared" si="8"/>
        <v>274.99519430874483</v>
      </c>
      <c r="BI10" s="59">
        <f ca="1">AVERAGE(OFFSET($BH$3,0,0,'Données projet'!$E$11+1,1))-AVERAGE(OFFSET($H$3,0,0,'Données projet'!$E$11+1,1))</f>
        <v>268.31928207836495</v>
      </c>
      <c r="BJ10" s="59">
        <f t="shared" si="38"/>
        <v>277.61304526670204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0.6</v>
      </c>
      <c r="BY10" s="12">
        <f>IF('Données projet'!$A$114&gt;35,BY9+BX10-CG9,IF(A10&lt;'Données projet'!$A$114,$BV$205^A10,IF(A10='Données projet'!$A$114,'Données projet'!$B$114,BY9+BX10-CG9)))</f>
        <v>2.788130973628832</v>
      </c>
      <c r="BZ10" s="13">
        <f>BY10*VLOOKUP('Données projet'!$B$12,Paramètres!$A$1:$I$89,3,0)*VLOOKUP('Données projet'!$B$12,Paramètres!$A$1:$I$89,5,0)</f>
        <v>2.218237002619099</v>
      </c>
      <c r="CA10" s="13">
        <f t="shared" si="39"/>
        <v>0.93171842856647213</v>
      </c>
      <c r="CB10" s="20">
        <f t="shared" si="10"/>
        <v>5.4861723759815355</v>
      </c>
      <c r="CC10" s="59">
        <f t="shared" si="11"/>
        <v>270.70839459820377</v>
      </c>
      <c r="CD10" s="59">
        <f ca="1">AVERAGE(OFFSET($CC$3,0,0,'Données projet'!$E$12+1,1))-AVERAGE(OFFSET($H$3,0,0,'Données projet'!$E$12+1,1))</f>
        <v>241.67556898455945</v>
      </c>
      <c r="CE10" s="59">
        <f t="shared" si="40"/>
        <v>237.71070965292648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1.9</v>
      </c>
      <c r="N11" s="13">
        <f>IF('Données projet'!$A$36&gt;35,N10+M11-V10,IF(A11&lt;'Données projet'!$A$36,$K$205^A11,IF(A11='Données projet'!$A$36,'Données projet'!$B$36,N10+M11-V10)))</f>
        <v>10.543938903738736</v>
      </c>
      <c r="O11" s="13">
        <f>N11*VLOOKUP('Données projet'!$B$9,Paramètres!$A$1:$I$89,3,0)*VLOOKUP('Données projet'!$B$9,Paramètres!$A$1:$I$89,5,0)</f>
        <v>8.3887577918145393</v>
      </c>
      <c r="P11" s="13">
        <f t="shared" si="33"/>
        <v>3.0180839306915423</v>
      </c>
      <c r="Q11" s="20">
        <f t="shared" si="2"/>
        <v>19.866916000031427</v>
      </c>
      <c r="R11" s="59">
        <f t="shared" si="0"/>
        <v>286.31136044447589</v>
      </c>
      <c r="S11" s="59">
        <f ca="1">AVERAGE(OFFSET($R$3,0,0,'Données projet'!$E$9+1,1))-AVERAGE(OFFSET($H$3,0,0,'Données projet'!$E$9+1,1))</f>
        <v>405.40026823646758</v>
      </c>
      <c r="T11" s="59">
        <f t="shared" si="34"/>
        <v>393.0787141050053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7.1333333333333337</v>
      </c>
      <c r="AI11" s="13">
        <f>IF('Données projet'!$A$62&gt;35,AI10+AH11-AQ10,IF(A11&lt;'Données projet'!$A$62,$AF$205^A11,IF(A11='Données projet'!$A$62,'Données projet'!$B$62,AI10+AH11-AQ10)))</f>
        <v>12.087542519068045</v>
      </c>
      <c r="AJ11" s="13">
        <f>AI11*VLOOKUP('Données projet'!$B$10,Paramètres!$A$1:$I$89,3,0)*VLOOKUP('Données projet'!$B$10,Paramètres!$A$1:$I$89,5,0)</f>
        <v>10.559677144657845</v>
      </c>
      <c r="AK11" s="13">
        <f t="shared" si="35"/>
        <v>3.6987056480557761</v>
      </c>
      <c r="AL11" s="20">
        <f t="shared" si="4"/>
        <v>24.83335003064289</v>
      </c>
      <c r="AM11" s="59">
        <f t="shared" si="5"/>
        <v>291.27779447508738</v>
      </c>
      <c r="AN11" s="59">
        <f ca="1">AVERAGE(OFFSET($AM$3,0,0,'Données projet'!$E$10+1,1))-AVERAGE(OFFSET($H$3,0,0,'Données projet'!$E$10+1,1))</f>
        <v>304.32767345253382</v>
      </c>
      <c r="AO11" s="59">
        <f t="shared" si="36"/>
        <v>427.16091343339173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3.95</v>
      </c>
      <c r="BD11" s="12">
        <f>IF('Données projet'!$A$88&gt;35,BD10+BC11-BL10,IF(A11&lt;'Données projet'!$A$88,$BA$205^A11,IF(A11='Données projet'!$A$88,'Données projet'!$B$88,BD10+BC11-BL10)))</f>
        <v>5.7418366957535838</v>
      </c>
      <c r="BE11" s="13">
        <f>BD11*VLOOKUP('Données projet'!$B$11,Paramètres!$A$1:$I$89,3,0)*VLOOKUP('Données projet'!$B$11,Paramètres!$A$1:$I$89,5,0)</f>
        <v>5.0160685374103311</v>
      </c>
      <c r="BF11" s="13">
        <f t="shared" si="37"/>
        <v>1.9159899193534717</v>
      </c>
      <c r="BG11" s="20">
        <f t="shared" si="7"/>
        <v>12.073335145530288</v>
      </c>
      <c r="BH11" s="59">
        <f t="shared" si="8"/>
        <v>278.51777958997474</v>
      </c>
      <c r="BI11" s="59">
        <f ca="1">AVERAGE(OFFSET($BH$3,0,0,'Données projet'!$E$11+1,1))-AVERAGE(OFFSET($H$3,0,0,'Données projet'!$E$11+1,1))</f>
        <v>268.31928207836495</v>
      </c>
      <c r="BJ11" s="59">
        <f t="shared" si="38"/>
        <v>277.61304526670204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0.6</v>
      </c>
      <c r="BY11" s="12">
        <f>IF('Données projet'!$A$114&gt;35,BY10+BX11-CG10,IF(A11&lt;'Données projet'!$A$114,$BV$205^A11,IF(A11='Données projet'!$A$114,'Données projet'!$B$114,BY10+BX11-CG10)))</f>
        <v>3.227968874176038</v>
      </c>
      <c r="BZ11" s="13">
        <f>BY11*VLOOKUP('Données projet'!$B$12,Paramètres!$A$1:$I$89,3,0)*VLOOKUP('Données projet'!$B$12,Paramètres!$A$1:$I$89,5,0)</f>
        <v>2.568172036294456</v>
      </c>
      <c r="CA11" s="13">
        <f t="shared" si="39"/>
        <v>1.0604640025024015</v>
      </c>
      <c r="CB11" s="20">
        <f t="shared" si="10"/>
        <v>6.3198744342378603</v>
      </c>
      <c r="CC11" s="59">
        <f t="shared" si="11"/>
        <v>272.76431887868233</v>
      </c>
      <c r="CD11" s="59">
        <f ca="1">AVERAGE(OFFSET($CC$3,0,0,'Données projet'!$E$12+1,1))-AVERAGE(OFFSET($H$3,0,0,'Données projet'!$E$12+1,1))</f>
        <v>241.67556898455945</v>
      </c>
      <c r="CE11" s="59">
        <f t="shared" si="40"/>
        <v>237.71070965292648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1.9</v>
      </c>
      <c r="N12" s="13">
        <f>IF('Données projet'!$A$36&gt;35,N11+M12-V11,IF(A12&lt;'Données projet'!$A$36,$K$205^A12,IF(A12='Données projet'!$A$36,'Données projet'!$B$36,N11+M12-V11)))</f>
        <v>14.153969025366564</v>
      </c>
      <c r="O12" s="13">
        <f>N12*VLOOKUP('Données projet'!$B$9,Paramètres!$A$1:$I$89,3,0)*VLOOKUP('Données projet'!$B$9,Paramètres!$A$1:$I$89,5,0)</f>
        <v>11.260897756581638</v>
      </c>
      <c r="P12" s="13">
        <f t="shared" si="33"/>
        <v>3.9149117911590028</v>
      </c>
      <c r="Q12" s="20">
        <f t="shared" si="2"/>
        <v>26.431201628981615</v>
      </c>
      <c r="R12" s="59">
        <f t="shared" si="0"/>
        <v>294.09786829564831</v>
      </c>
      <c r="S12" s="59">
        <f ca="1">AVERAGE(OFFSET($R$3,0,0,'Données projet'!$E$9+1,1))-AVERAGE(OFFSET($H$3,0,0,'Données projet'!$E$9+1,1))</f>
        <v>405.40026823646758</v>
      </c>
      <c r="T12" s="59">
        <f t="shared" si="34"/>
        <v>393.0787141050053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7.1333333333333337</v>
      </c>
      <c r="AI12" s="13">
        <f>IF('Données projet'!$A$62&gt;35,AI11+AH12-AQ11,IF(A12&lt;'Données projet'!$A$62,$AF$205^A12,IF(A12='Données projet'!$A$62,'Données projet'!$B$62,AI11+AH12-AQ11)))</f>
        <v>16.505560112818404</v>
      </c>
      <c r="AJ12" s="13">
        <f>AI12*VLOOKUP('Données projet'!$B$10,Paramètres!$A$1:$I$89,3,0)*VLOOKUP('Données projet'!$B$10,Paramètres!$A$1:$I$89,5,0)</f>
        <v>14.419257314558161</v>
      </c>
      <c r="AK12" s="13">
        <f t="shared" si="35"/>
        <v>4.870729420129039</v>
      </c>
      <c r="AL12" s="20">
        <f t="shared" si="4"/>
        <v>33.596726896246878</v>
      </c>
      <c r="AM12" s="59">
        <f t="shared" si="5"/>
        <v>301.26339356291356</v>
      </c>
      <c r="AN12" s="59">
        <f ca="1">AVERAGE(OFFSET($AM$3,0,0,'Données projet'!$E$10+1,1))-AVERAGE(OFFSET($H$3,0,0,'Données projet'!$E$10+1,1))</f>
        <v>304.32767345253382</v>
      </c>
      <c r="AO12" s="59">
        <f t="shared" si="36"/>
        <v>427.16091343339173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3.95</v>
      </c>
      <c r="BD12" s="12">
        <f>IF('Données projet'!$A$88&gt;35,BD11+BC12-BL11,IF(A12&lt;'Données projet'!$A$88,$BA$205^A12,IF(A12='Données projet'!$A$88,'Données projet'!$B$88,BD11+BC12-BL11)))</f>
        <v>7.143847763238993</v>
      </c>
      <c r="BE12" s="13">
        <f>BD12*VLOOKUP('Données projet'!$B$11,Paramètres!$A$1:$I$89,3,0)*VLOOKUP('Données projet'!$B$11,Paramètres!$A$1:$I$89,5,0)</f>
        <v>6.2408654059655859</v>
      </c>
      <c r="BF12" s="13">
        <f t="shared" si="37"/>
        <v>2.3239692894013682</v>
      </c>
      <c r="BG12" s="20">
        <f t="shared" si="7"/>
        <v>14.917087094430778</v>
      </c>
      <c r="BH12" s="59">
        <f t="shared" si="8"/>
        <v>282.58375376109746</v>
      </c>
      <c r="BI12" s="59">
        <f ca="1">AVERAGE(OFFSET($BH$3,0,0,'Données projet'!$E$11+1,1))-AVERAGE(OFFSET($H$3,0,0,'Données projet'!$E$11+1,1))</f>
        <v>268.31928207836495</v>
      </c>
      <c r="BJ12" s="59">
        <f t="shared" si="38"/>
        <v>277.61304526670204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0.6</v>
      </c>
      <c r="BY12" s="12">
        <f>IF('Données projet'!$A$114&gt;35,BY11+BX12-CG11,IF(A12&lt;'Données projet'!$A$114,$BV$205^A12,IF(A12='Données projet'!$A$114,'Données projet'!$B$114,BY11+BX12-CG11)))</f>
        <v>3.7371928188465526</v>
      </c>
      <c r="BZ12" s="13">
        <f>BY12*VLOOKUP('Données projet'!$B$12,Paramètres!$A$1:$I$89,3,0)*VLOOKUP('Données projet'!$B$12,Paramètres!$A$1:$I$89,5,0)</f>
        <v>2.9733106066743171</v>
      </c>
      <c r="CA12" s="13">
        <f t="shared" si="39"/>
        <v>1.2069997395389946</v>
      </c>
      <c r="CB12" s="20">
        <f t="shared" si="10"/>
        <v>7.2807071863215178</v>
      </c>
      <c r="CC12" s="59">
        <f t="shared" si="11"/>
        <v>274.94737385298822</v>
      </c>
      <c r="CD12" s="59">
        <f ca="1">AVERAGE(OFFSET($CC$3,0,0,'Données projet'!$E$12+1,1))-AVERAGE(OFFSET($H$3,0,0,'Données projet'!$E$12+1,1))</f>
        <v>241.67556898455945</v>
      </c>
      <c r="CE12" s="59">
        <f t="shared" si="40"/>
        <v>237.71070965292648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19</v>
      </c>
      <c r="L13" s="12">
        <f>VLOOKUP(A13,'Données projet'!$A$35:$I$55,9,0)</f>
        <v>1.9</v>
      </c>
      <c r="M13" s="12">
        <f t="array" ref="M13">INDEX(L:L,MIN(IF(ISNUMBER(L13:L209),ROW(L13:L209),"")))</f>
        <v>1.9</v>
      </c>
      <c r="N13" s="13">
        <f>IF('Données projet'!$A$36&gt;35,N12+M13-V12,IF(A13&lt;'Données projet'!$A$36,$K$205^A13,IF(A13='Données projet'!$A$36,'Données projet'!$B$36,N12+M13-V12)))</f>
        <v>19</v>
      </c>
      <c r="O13" s="13">
        <f>N13*VLOOKUP('Données projet'!$B$9,Paramètres!$A$1:$I$89,3,0)*VLOOKUP('Données projet'!$B$9,Paramètres!$A$1:$I$89,5,0)</f>
        <v>15.116400000000001</v>
      </c>
      <c r="P13" s="13">
        <f t="shared" si="33"/>
        <v>5.0782333044806913</v>
      </c>
      <c r="Q13" s="20">
        <f t="shared" si="2"/>
        <v>35.172319671970541</v>
      </c>
      <c r="R13" s="59">
        <f t="shared" si="0"/>
        <v>304.06120856085943</v>
      </c>
      <c r="S13" s="59">
        <f ca="1">AVERAGE(OFFSET($R$3,0,0,'Données projet'!$E$9+1,1))-AVERAGE(OFFSET($H$3,0,0,'Données projet'!$E$9+1,1))</f>
        <v>405.40026823646758</v>
      </c>
      <c r="T13" s="59">
        <f t="shared" si="34"/>
        <v>393.0787141050053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0.159</v>
      </c>
      <c r="Y13" s="16">
        <f>IF(ISNA(VLOOKUP(A13,'Données projet'!$A$35:$I$55,7,0)),0%,VLOOKUP(A13,'Données projet'!$A$35:$I$55,7,0))</f>
        <v>0.7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0.97504282545720555</v>
      </c>
      <c r="AB13" s="21">
        <f>EXP(-LN(2)/2)*AB12+(1-EXP(-LN(2)/2))/(LN(2)/2)*V13*Y13*VLOOKUP('Données projet'!$B$9,Paramètres!$A$1:$I$89,3,0)*0.475*44/12</f>
        <v>3.6782830649742295</v>
      </c>
      <c r="AC13" s="22">
        <f t="shared" si="3"/>
        <v>4.653325890431435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7.1333333333333337</v>
      </c>
      <c r="AI13" s="13">
        <f>IF('Données projet'!$A$62&gt;35,AI12+AH13-AQ12,IF(A13&lt;'Données projet'!$A$62,$AF$205^A13,IF(A13='Données projet'!$A$62,'Données projet'!$B$62,AI12+AH13-AQ12)))</f>
        <v>22.538370740628146</v>
      </c>
      <c r="AJ13" s="13">
        <f>AI13*VLOOKUP('Données projet'!$B$10,Paramètres!$A$1:$I$89,3,0)*VLOOKUP('Données projet'!$B$10,Paramètres!$A$1:$I$89,5,0)</f>
        <v>19.689520679012752</v>
      </c>
      <c r="AK13" s="13">
        <f t="shared" si="35"/>
        <v>6.414137090520053</v>
      </c>
      <c r="AL13" s="20">
        <f t="shared" si="4"/>
        <v>45.463870615269634</v>
      </c>
      <c r="AM13" s="59">
        <f t="shared" si="5"/>
        <v>314.35275950415848</v>
      </c>
      <c r="AN13" s="59">
        <f ca="1">AVERAGE(OFFSET($AM$3,0,0,'Données projet'!$E$10+1,1))-AVERAGE(OFFSET($H$3,0,0,'Données projet'!$E$10+1,1))</f>
        <v>304.32767345253382</v>
      </c>
      <c r="AO13" s="59">
        <f t="shared" si="36"/>
        <v>427.16091343339173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3.95</v>
      </c>
      <c r="BD13" s="12">
        <f>IF('Données projet'!$A$88&gt;35,BD12+BC13-BL12,IF(A13&lt;'Données projet'!$A$88,$BA$205^A13,IF(A13='Données projet'!$A$88,'Données projet'!$B$88,BD12+BC13-BL12)))</f>
        <v>8.8881944173155834</v>
      </c>
      <c r="BE13" s="13">
        <f>BD13*VLOOKUP('Données projet'!$B$11,Paramètres!$A$1:$I$89,3,0)*VLOOKUP('Données projet'!$B$11,Paramètres!$A$1:$I$89,5,0)</f>
        <v>7.7647266429668944</v>
      </c>
      <c r="BF13" s="13">
        <f t="shared" si="37"/>
        <v>2.8188213327881941</v>
      </c>
      <c r="BG13" s="20">
        <f t="shared" si="7"/>
        <v>18.433012724440111</v>
      </c>
      <c r="BH13" s="59">
        <f t="shared" si="8"/>
        <v>287.32190161332898</v>
      </c>
      <c r="BI13" s="59">
        <f ca="1">AVERAGE(OFFSET($BH$3,0,0,'Données projet'!$E$11+1,1))-AVERAGE(OFFSET($H$3,0,0,'Données projet'!$E$11+1,1))</f>
        <v>268.31928207836495</v>
      </c>
      <c r="BJ13" s="59">
        <f t="shared" si="38"/>
        <v>277.61304526670204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0.6</v>
      </c>
      <c r="BY13" s="12">
        <f>IF('Données projet'!$A$114&gt;35,BY12+BX13-CG12,IF(A13&lt;'Données projet'!$A$114,$BV$205^A13,IF(A13='Données projet'!$A$114,'Données projet'!$B$114,BY12+BX13-CG12)))</f>
        <v>4.3267487109222253</v>
      </c>
      <c r="BZ13" s="13">
        <f>BY13*VLOOKUP('Données projet'!$B$12,Paramètres!$A$1:$I$89,3,0)*VLOOKUP('Données projet'!$B$12,Paramètres!$A$1:$I$89,5,0)</f>
        <v>3.4423612744097229</v>
      </c>
      <c r="CA13" s="13">
        <f t="shared" si="39"/>
        <v>1.3737838981893231</v>
      </c>
      <c r="CB13" s="20">
        <f t="shared" si="10"/>
        <v>8.3881195089433387</v>
      </c>
      <c r="CC13" s="59">
        <f t="shared" si="11"/>
        <v>277.27700839783222</v>
      </c>
      <c r="CD13" s="59">
        <f ca="1">AVERAGE(OFFSET($CC$3,0,0,'Données projet'!$E$12+1,1))-AVERAGE(OFFSET($H$3,0,0,'Données projet'!$E$12+1,1))</f>
        <v>241.67556898455945</v>
      </c>
      <c r="CE13" s="59">
        <f t="shared" si="40"/>
        <v>237.71070965292648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14.6</v>
      </c>
      <c r="N14" s="13">
        <f>IF('Données projet'!$A$36&gt;35,N13+M14-V13,IF(A14&lt;'Données projet'!$A$36,$K$205^A14,IF(A14='Données projet'!$A$36,'Données projet'!$B$36,N13+M14-V13)))</f>
        <v>26.6</v>
      </c>
      <c r="O14" s="13">
        <f>N14*VLOOKUP('Données projet'!$B$9,Paramètres!$A$1:$I$89,3,0)*VLOOKUP('Données projet'!$B$9,Paramètres!$A$1:$I$89,5,0)</f>
        <v>21.162960000000002</v>
      </c>
      <c r="P14" s="13">
        <f t="shared" si="33"/>
        <v>6.8364616466980515</v>
      </c>
      <c r="Q14" s="20">
        <f t="shared" si="2"/>
        <v>48.765659367999113</v>
      </c>
      <c r="R14" s="59">
        <f t="shared" si="0"/>
        <v>318.87677047911023</v>
      </c>
      <c r="S14" s="59">
        <f ca="1">AVERAGE(OFFSET($R$3,0,0,'Données projet'!$E$9+1,1))-AVERAGE(OFFSET($H$3,0,0,'Données projet'!$E$9+1,1))</f>
        <v>405.40026823646758</v>
      </c>
      <c r="T14" s="59">
        <f t="shared" si="34"/>
        <v>393.0787141050053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0.9483802281198046</v>
      </c>
      <c r="AB14" s="21">
        <f>EXP(-LN(2)/2)*AB13+(1-EXP(-LN(2)/2))/(LN(2)/2)*V14*Y14*VLOOKUP('Données projet'!$B$9,Paramètres!$A$1:$I$89,3,0)*0.475*44/12</f>
        <v>2.6009388983669162</v>
      </c>
      <c r="AC14" s="22">
        <f t="shared" si="3"/>
        <v>3.5493191264867208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7.1333333333333337</v>
      </c>
      <c r="AI14" s="13">
        <f>IF('Données projet'!$A$62&gt;35,AI13+AH14-AQ13,IF(A14&lt;'Données projet'!$A$62,$AF$205^A14,IF(A14='Données projet'!$A$62,'Données projet'!$B$62,AI13+AH14-AQ13)))</f>
        <v>30.776184035554262</v>
      </c>
      <c r="AJ14" s="13">
        <f>AI14*VLOOKUP('Données projet'!$B$10,Paramètres!$A$1:$I$89,3,0)*VLOOKUP('Données projet'!$B$10,Paramètres!$A$1:$I$89,5,0)</f>
        <v>26.886074373460207</v>
      </c>
      <c r="AK14" s="13">
        <f t="shared" si="35"/>
        <v>8.4466105725279856</v>
      </c>
      <c r="AL14" s="20">
        <f t="shared" si="4"/>
        <v>61.537759614262761</v>
      </c>
      <c r="AM14" s="59">
        <f t="shared" si="5"/>
        <v>331.64887072537391</v>
      </c>
      <c r="AN14" s="59">
        <f ca="1">AVERAGE(OFFSET($AM$3,0,0,'Données projet'!$E$10+1,1))-AVERAGE(OFFSET($H$3,0,0,'Données projet'!$E$10+1,1))</f>
        <v>304.32767345253382</v>
      </c>
      <c r="AO14" s="59">
        <f t="shared" si="36"/>
        <v>427.16091343339173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3.95</v>
      </c>
      <c r="BD14" s="12">
        <f>IF('Données projet'!$A$88&gt;35,BD13+BC14-BL13,IF(A14&lt;'Données projet'!$A$88,$BA$205^A14,IF(A14='Données projet'!$A$88,'Données projet'!$B$88,BD13+BC14-BL13)))</f>
        <v>11.058466336099752</v>
      </c>
      <c r="BE14" s="13">
        <f>BD14*VLOOKUP('Données projet'!$B$11,Paramètres!$A$1:$I$89,3,0)*VLOOKUP('Données projet'!$B$11,Paramètres!$A$1:$I$89,5,0)</f>
        <v>9.6606761912167443</v>
      </c>
      <c r="BF14" s="13">
        <f t="shared" si="37"/>
        <v>3.4190441940945626</v>
      </c>
      <c r="BG14" s="20">
        <f t="shared" si="7"/>
        <v>22.780513004417188</v>
      </c>
      <c r="BH14" s="59">
        <f t="shared" si="8"/>
        <v>292.89162411552832</v>
      </c>
      <c r="BI14" s="59">
        <f ca="1">AVERAGE(OFFSET($BH$3,0,0,'Données projet'!$E$11+1,1))-AVERAGE(OFFSET($H$3,0,0,'Données projet'!$E$11+1,1))</f>
        <v>268.31928207836495</v>
      </c>
      <c r="BJ14" s="59">
        <f t="shared" si="38"/>
        <v>277.61304526670204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0.6</v>
      </c>
      <c r="BY14" s="12">
        <f>IF('Données projet'!$A$114&gt;35,BY13+BX14-CG13,IF(A14&lt;'Données projet'!$A$114,$BV$205^A14,IF(A14='Données projet'!$A$114,'Données projet'!$B$114,BY13+BX14-CG13)))</f>
        <v>5.0093092101266317</v>
      </c>
      <c r="BZ14" s="13">
        <f>BY14*VLOOKUP('Données projet'!$B$12,Paramètres!$A$1:$I$89,3,0)*VLOOKUP('Données projet'!$B$12,Paramètres!$A$1:$I$89,5,0)</f>
        <v>3.9854064075767486</v>
      </c>
      <c r="CA14" s="13">
        <f t="shared" si="39"/>
        <v>1.5636144210313476</v>
      </c>
      <c r="CB14" s="20">
        <f t="shared" si="10"/>
        <v>9.6645446098257679</v>
      </c>
      <c r="CC14" s="59">
        <f t="shared" si="11"/>
        <v>279.77565572093692</v>
      </c>
      <c r="CD14" s="59">
        <f ca="1">AVERAGE(OFFSET($CC$3,0,0,'Données projet'!$E$12+1,1))-AVERAGE(OFFSET($H$3,0,0,'Données projet'!$E$12+1,1))</f>
        <v>241.67556898455945</v>
      </c>
      <c r="CE14" s="59">
        <f t="shared" si="40"/>
        <v>237.71070965292648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14.6</v>
      </c>
      <c r="N15" s="13">
        <f>IF('Données projet'!$A$36&gt;35,N14+M15-V14,IF(A15&lt;'Données projet'!$A$36,$K$205^A15,IF(A15='Données projet'!$A$36,'Données projet'!$B$36,N14+M15-V14)))</f>
        <v>41.2</v>
      </c>
      <c r="O15" s="13">
        <f>N15*VLOOKUP('Données projet'!$B$9,Paramètres!$A$1:$I$89,3,0)*VLOOKUP('Données projet'!$B$9,Paramètres!$A$1:$I$89,5,0)</f>
        <v>32.77872</v>
      </c>
      <c r="P15" s="13">
        <f t="shared" si="33"/>
        <v>10.063038810723747</v>
      </c>
      <c r="Q15" s="20">
        <f t="shared" si="2"/>
        <v>74.616063262010528</v>
      </c>
      <c r="R15" s="59">
        <f t="shared" si="0"/>
        <v>345.94939659534384</v>
      </c>
      <c r="S15" s="59">
        <f ca="1">AVERAGE(OFFSET($R$3,0,0,'Données projet'!$E$9+1,1))-AVERAGE(OFFSET($H$3,0,0,'Données projet'!$E$9+1,1))</f>
        <v>405.40026823646758</v>
      </c>
      <c r="T15" s="59">
        <f t="shared" si="34"/>
        <v>393.0787141050053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0.92244672090871993</v>
      </c>
      <c r="AB15" s="21">
        <f>EXP(-LN(2)/2)*AB14+(1-EXP(-LN(2)/2))/(LN(2)/2)*V15*Y15*VLOOKUP('Données projet'!$B$9,Paramètres!$A$1:$I$89,3,0)*0.475*44/12</f>
        <v>1.839141532487115</v>
      </c>
      <c r="AC15" s="22">
        <f t="shared" si="3"/>
        <v>2.7615882533958347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7.1333333333333337</v>
      </c>
      <c r="AI15" s="13">
        <f>IF('Données projet'!$A$62&gt;35,AI14+AH15-AQ14,IF(A15&lt;'Données projet'!$A$62,$AF$205^A15,IF(A15='Données projet'!$A$62,'Données projet'!$B$62,AI14+AH15-AQ14)))</f>
        <v>42.024932267304926</v>
      </c>
      <c r="AJ15" s="13">
        <f>AI15*VLOOKUP('Données projet'!$B$10,Paramètres!$A$1:$I$89,3,0)*VLOOKUP('Données projet'!$B$10,Paramètres!$A$1:$I$89,5,0)</f>
        <v>36.71298082871759</v>
      </c>
      <c r="AK15" s="13">
        <f t="shared" si="35"/>
        <v>11.123122121818724</v>
      </c>
      <c r="AL15" s="20">
        <f t="shared" si="4"/>
        <v>83.314545972184078</v>
      </c>
      <c r="AM15" s="59">
        <f t="shared" si="5"/>
        <v>354.64787930551739</v>
      </c>
      <c r="AN15" s="59">
        <f ca="1">AVERAGE(OFFSET($AM$3,0,0,'Données projet'!$E$10+1,1))-AVERAGE(OFFSET($H$3,0,0,'Données projet'!$E$10+1,1))</f>
        <v>304.32767345253382</v>
      </c>
      <c r="AO15" s="59">
        <f t="shared" si="36"/>
        <v>427.16091343339173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3.95</v>
      </c>
      <c r="BD15" s="12">
        <f>IF('Données projet'!$A$88&gt;35,BD14+BC15-BL14,IF(A15&lt;'Données projet'!$A$88,$BA$205^A15,IF(A15='Données projet'!$A$88,'Données projet'!$B$88,BD14+BC15-BL14)))</f>
        <v>13.758663679589656</v>
      </c>
      <c r="BE15" s="13">
        <f>BD15*VLOOKUP('Données projet'!$B$11,Paramètres!$A$1:$I$89,3,0)*VLOOKUP('Données projet'!$B$11,Paramètres!$A$1:$I$89,5,0)</f>
        <v>12.019568590489525</v>
      </c>
      <c r="BF15" s="13">
        <f t="shared" si="37"/>
        <v>4.1470749015542889</v>
      </c>
      <c r="BG15" s="20">
        <f t="shared" si="7"/>
        <v>28.156904081976307</v>
      </c>
      <c r="BH15" s="59">
        <f t="shared" si="8"/>
        <v>299.49023741530959</v>
      </c>
      <c r="BI15" s="59">
        <f ca="1">AVERAGE(OFFSET($BH$3,0,0,'Données projet'!$E$11+1,1))-AVERAGE(OFFSET($H$3,0,0,'Données projet'!$E$11+1,1))</f>
        <v>268.31928207836495</v>
      </c>
      <c r="BJ15" s="59">
        <f t="shared" si="38"/>
        <v>277.61304526670204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0.6</v>
      </c>
      <c r="BY15" s="12">
        <f>IF('Données projet'!$A$114&gt;35,BY14+BX15-CG14,IF(A15&lt;'Données projet'!$A$114,$BV$205^A15,IF(A15='Données projet'!$A$114,'Données projet'!$B$114,BY14+BX15-CG14)))</f>
        <v>5.799546134795289</v>
      </c>
      <c r="BZ15" s="13">
        <f>BY15*VLOOKUP('Données projet'!$B$12,Paramètres!$A$1:$I$89,3,0)*VLOOKUP('Données projet'!$B$12,Paramètres!$A$1:$I$89,5,0)</f>
        <v>4.6141189048431315</v>
      </c>
      <c r="CA15" s="13">
        <f t="shared" si="39"/>
        <v>1.7796758725150397</v>
      </c>
      <c r="CB15" s="20">
        <f t="shared" si="10"/>
        <v>11.135859237232149</v>
      </c>
      <c r="CC15" s="59">
        <f t="shared" si="11"/>
        <v>282.46919257056544</v>
      </c>
      <c r="CD15" s="59">
        <f ca="1">AVERAGE(OFFSET($CC$3,0,0,'Données projet'!$E$12+1,1))-AVERAGE(OFFSET($H$3,0,0,'Données projet'!$E$12+1,1))</f>
        <v>241.67556898455945</v>
      </c>
      <c r="CE15" s="59">
        <f t="shared" si="40"/>
        <v>237.71070965292648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14.6</v>
      </c>
      <c r="N16" s="13">
        <f>IF('Données projet'!$A$36&gt;35,N15+M16-V15,IF(A16&lt;'Données projet'!$A$36,$K$205^A16,IF(A16='Données projet'!$A$36,'Données projet'!$B$36,N15+M16-V15)))</f>
        <v>55.800000000000004</v>
      </c>
      <c r="O16" s="13">
        <f>N16*VLOOKUP('Données projet'!$B$9,Paramètres!$A$1:$I$89,3,0)*VLOOKUP('Données projet'!$B$9,Paramètres!$A$1:$I$89,5,0)</f>
        <v>44.394480000000001</v>
      </c>
      <c r="P16" s="13">
        <f t="shared" si="33"/>
        <v>13.1562447968447</v>
      </c>
      <c r="Q16" s="20">
        <f t="shared" si="2"/>
        <v>100.2341790211712</v>
      </c>
      <c r="R16" s="59">
        <f t="shared" si="0"/>
        <v>372.78973457672674</v>
      </c>
      <c r="S16" s="59">
        <f ca="1">AVERAGE(OFFSET($R$3,0,0,'Données projet'!$E$9+1,1))-AVERAGE(OFFSET($H$3,0,0,'Données projet'!$E$9+1,1))</f>
        <v>405.40026823646758</v>
      </c>
      <c r="T16" s="59">
        <f t="shared" si="34"/>
        <v>393.0787141050053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0.89722236681610623</v>
      </c>
      <c r="AB16" s="21">
        <f>EXP(-LN(2)/2)*AB15+(1-EXP(-LN(2)/2))/(LN(2)/2)*V16*Y16*VLOOKUP('Données projet'!$B$9,Paramètres!$A$1:$I$89,3,0)*0.475*44/12</f>
        <v>1.3004694491834581</v>
      </c>
      <c r="AC16" s="22">
        <f t="shared" si="3"/>
        <v>2.1976918159995642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7.1333333333333337</v>
      </c>
      <c r="AI16" s="13">
        <f>IF('Données projet'!$A$62&gt;35,AI15+AH16-AQ15,IF(A16&lt;'Données projet'!$A$62,$AF$205^A16,IF(A16='Données projet'!$A$62,'Données projet'!$B$62,AI15+AH16-AQ15)))</f>
        <v>57.385117337200782</v>
      </c>
      <c r="AJ16" s="13">
        <f>AI16*VLOOKUP('Données projet'!$B$10,Paramètres!$A$1:$I$89,3,0)*VLOOKUP('Données projet'!$B$10,Paramètres!$A$1:$I$89,5,0)</f>
        <v>50.131638505778611</v>
      </c>
      <c r="AK16" s="13">
        <f t="shared" si="35"/>
        <v>14.647750677567194</v>
      </c>
      <c r="AL16" s="20">
        <f t="shared" si="4"/>
        <v>112.82410282766058</v>
      </c>
      <c r="AM16" s="59">
        <f t="shared" si="5"/>
        <v>385.37965838321611</v>
      </c>
      <c r="AN16" s="59">
        <f ca="1">AVERAGE(OFFSET($AM$3,0,0,'Données projet'!$E$10+1,1))-AVERAGE(OFFSET($H$3,0,0,'Données projet'!$E$10+1,1))</f>
        <v>304.32767345253382</v>
      </c>
      <c r="AO16" s="59">
        <f t="shared" si="36"/>
        <v>427.16091343339173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3.95</v>
      </c>
      <c r="BD16" s="12">
        <f>IF('Données projet'!$A$88&gt;35,BD15+BC16-BL15,IF(A16&lt;'Données projet'!$A$88,$BA$205^A16,IF(A16='Données projet'!$A$88,'Données projet'!$B$88,BD15+BC16-BL15)))</f>
        <v>17.118180812297407</v>
      </c>
      <c r="BE16" s="13">
        <f>BD16*VLOOKUP('Données projet'!$B$11,Paramètres!$A$1:$I$89,3,0)*VLOOKUP('Données projet'!$B$11,Paramètres!$A$1:$I$89,5,0)</f>
        <v>14.954442757623017</v>
      </c>
      <c r="BF16" s="13">
        <f t="shared" si="37"/>
        <v>5.0301280892498079</v>
      </c>
      <c r="BG16" s="20">
        <f t="shared" si="7"/>
        <v>34.806460891636839</v>
      </c>
      <c r="BH16" s="59">
        <f t="shared" si="8"/>
        <v>307.36201644719239</v>
      </c>
      <c r="BI16" s="59">
        <f ca="1">AVERAGE(OFFSET($BH$3,0,0,'Données projet'!$E$11+1,1))-AVERAGE(OFFSET($H$3,0,0,'Données projet'!$E$11+1,1))</f>
        <v>268.31928207836495</v>
      </c>
      <c r="BJ16" s="59">
        <f t="shared" si="38"/>
        <v>277.61304526670204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0.6</v>
      </c>
      <c r="BY16" s="12">
        <f>IF('Données projet'!$A$114&gt;35,BY15+BX16-CG15,IF(A16&lt;'Données projet'!$A$114,$BV$205^A16,IF(A16='Données projet'!$A$114,'Données projet'!$B$114,BY15+BX16-CG15)))</f>
        <v>6.7144458364886441</v>
      </c>
      <c r="BZ16" s="13">
        <f>BY16*VLOOKUP('Données projet'!$B$12,Paramètres!$A$1:$I$89,3,0)*VLOOKUP('Données projet'!$B$12,Paramètres!$A$1:$I$89,5,0)</f>
        <v>5.3420131075103656</v>
      </c>
      <c r="CA16" s="13">
        <f t="shared" si="39"/>
        <v>2.0255928626720379</v>
      </c>
      <c r="CB16" s="20">
        <f t="shared" si="10"/>
        <v>12.831913731401018</v>
      </c>
      <c r="CC16" s="59">
        <f t="shared" si="11"/>
        <v>285.38746928695656</v>
      </c>
      <c r="CD16" s="59">
        <f ca="1">AVERAGE(OFFSET($CC$3,0,0,'Données projet'!$E$12+1,1))-AVERAGE(OFFSET($H$3,0,0,'Données projet'!$E$12+1,1))</f>
        <v>241.67556898455945</v>
      </c>
      <c r="CE16" s="59">
        <f t="shared" si="40"/>
        <v>237.71070965292648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14.6</v>
      </c>
      <c r="N17" s="13">
        <f>IF('Données projet'!$A$36&gt;35,N16+M17-V16,IF(A17&lt;'Données projet'!$A$36,$K$205^A17,IF(A17='Données projet'!$A$36,'Données projet'!$B$36,N16+M17-V16)))</f>
        <v>70.400000000000006</v>
      </c>
      <c r="O17" s="13">
        <f>N17*VLOOKUP('Données projet'!$B$9,Paramètres!$A$1:$I$89,3,0)*VLOOKUP('Données projet'!$B$9,Paramètres!$A$1:$I$89,5,0)</f>
        <v>56.01024000000001</v>
      </c>
      <c r="P17" s="13">
        <f t="shared" si="33"/>
        <v>16.155528478402793</v>
      </c>
      <c r="Q17" s="20">
        <f t="shared" si="2"/>
        <v>125.68871343321821</v>
      </c>
      <c r="R17" s="59">
        <f t="shared" si="0"/>
        <v>399.46649121099597</v>
      </c>
      <c r="S17" s="59">
        <f ca="1">AVERAGE(OFFSET($R$3,0,0,'Données projet'!$E$9+1,1))-AVERAGE(OFFSET($H$3,0,0,'Données projet'!$E$9+1,1))</f>
        <v>405.40026823646758</v>
      </c>
      <c r="T17" s="59">
        <f t="shared" si="34"/>
        <v>393.0787141050053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0.87268777401264619</v>
      </c>
      <c r="AB17" s="21">
        <f>EXP(-LN(2)/2)*AB16+(1-EXP(-LN(2)/2))/(LN(2)/2)*V17*Y17*VLOOKUP('Données projet'!$B$9,Paramètres!$A$1:$I$89,3,0)*0.475*44/12</f>
        <v>0.91957076624355749</v>
      </c>
      <c r="AC17" s="22">
        <f t="shared" si="3"/>
        <v>1.7922585402562037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7.1333333333333337</v>
      </c>
      <c r="AI17" s="13">
        <f>IF('Données projet'!$A$62&gt;35,AI16+AH17-AQ16,IF(A17&lt;'Données projet'!$A$62,$AF$205^A17,IF(A17='Données projet'!$A$62,'Données projet'!$B$62,AI16+AH17-AQ16)))</f>
        <v>78.35947648549265</v>
      </c>
      <c r="AJ17" s="13">
        <f>AI17*VLOOKUP('Données projet'!$B$10,Paramètres!$A$1:$I$89,3,0)*VLOOKUP('Données projet'!$B$10,Paramètres!$A$1:$I$89,5,0)</f>
        <v>68.454838657726384</v>
      </c>
      <c r="AK17" s="13">
        <f t="shared" si="35"/>
        <v>19.289242495261615</v>
      </c>
      <c r="AL17" s="20">
        <f t="shared" si="4"/>
        <v>152.8209413414541</v>
      </c>
      <c r="AM17" s="59">
        <f t="shared" si="5"/>
        <v>426.59871911923187</v>
      </c>
      <c r="AN17" s="59">
        <f ca="1">AVERAGE(OFFSET($AM$3,0,0,'Données projet'!$E$10+1,1))-AVERAGE(OFFSET($H$3,0,0,'Données projet'!$E$10+1,1))</f>
        <v>304.32767345253382</v>
      </c>
      <c r="AO17" s="59">
        <f t="shared" si="36"/>
        <v>427.16091343339173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3.95</v>
      </c>
      <c r="BD17" s="12">
        <f>IF('Données projet'!$A$88&gt;35,BD16+BC17-BL16,IF(A17&lt;'Données projet'!$A$88,$BA$205^A17,IF(A17='Données projet'!$A$88,'Données projet'!$B$88,BD16+BC17-BL16)))</f>
        <v>21.298006924699145</v>
      </c>
      <c r="BE17" s="13">
        <f>BD17*VLOOKUP('Données projet'!$B$11,Paramètres!$A$1:$I$89,3,0)*VLOOKUP('Données projet'!$B$11,Paramètres!$A$1:$I$89,5,0)</f>
        <v>18.605938849417175</v>
      </c>
      <c r="BF17" s="13">
        <f t="shared" si="37"/>
        <v>6.1012133117674976</v>
      </c>
      <c r="BG17" s="20">
        <f t="shared" si="7"/>
        <v>43.031623347396639</v>
      </c>
      <c r="BH17" s="59">
        <f t="shared" si="8"/>
        <v>316.80940112517442</v>
      </c>
      <c r="BI17" s="59">
        <f ca="1">AVERAGE(OFFSET($BH$3,0,0,'Données projet'!$E$11+1,1))-AVERAGE(OFFSET($H$3,0,0,'Données projet'!$E$11+1,1))</f>
        <v>268.31928207836495</v>
      </c>
      <c r="BJ17" s="59">
        <f t="shared" si="38"/>
        <v>277.61304526670204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0.6</v>
      </c>
      <c r="BY17" s="12">
        <f>IF('Données projet'!$A$114&gt;35,BY16+BX17-CG16,IF(A17&lt;'Données projet'!$A$114,$BV$205^A17,IF(A17='Données projet'!$A$114,'Données projet'!$B$114,BY16+BX17-CG16)))</f>
        <v>7.7736743261084582</v>
      </c>
      <c r="BZ17" s="13">
        <f>BY17*VLOOKUP('Données projet'!$B$12,Paramètres!$A$1:$I$89,3,0)*VLOOKUP('Données projet'!$B$12,Paramètres!$A$1:$I$89,5,0)</f>
        <v>6.1847352938518894</v>
      </c>
      <c r="CA17" s="13">
        <f t="shared" si="39"/>
        <v>2.3054908529548683</v>
      </c>
      <c r="CB17" s="20">
        <f t="shared" si="10"/>
        <v>14.787143872355102</v>
      </c>
      <c r="CC17" s="59">
        <f t="shared" si="11"/>
        <v>288.56492165013287</v>
      </c>
      <c r="CD17" s="59">
        <f ca="1">AVERAGE(OFFSET($CC$3,0,0,'Données projet'!$E$12+1,1))-AVERAGE(OFFSET($H$3,0,0,'Données projet'!$E$12+1,1))</f>
        <v>241.67556898455945</v>
      </c>
      <c r="CE17" s="59">
        <f t="shared" si="40"/>
        <v>237.71070965292648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85</v>
      </c>
      <c r="L18" s="12">
        <f>VLOOKUP(A18,'Données projet'!$A$35:$I$55,9,0)</f>
        <v>14.6</v>
      </c>
      <c r="M18" s="12">
        <f t="array" ref="M18">INDEX(L:L,MIN(IF(ISNUMBER(L18:L214),ROW(L18:L214),"")))</f>
        <v>14.6</v>
      </c>
      <c r="N18" s="13">
        <f>IF('Données projet'!$A$36&gt;35,N17+M18-V17,IF(A18&lt;'Données projet'!$A$36,$K$205^A18,IF(A18='Données projet'!$A$36,'Données projet'!$B$36,N17+M18-V17)))</f>
        <v>85</v>
      </c>
      <c r="O18" s="13">
        <f>N18*VLOOKUP('Données projet'!$B$9,Paramètres!$A$1:$I$89,3,0)*VLOOKUP('Données projet'!$B$9,Paramètres!$A$1:$I$89,5,0)</f>
        <v>67.626000000000005</v>
      </c>
      <c r="P18" s="13">
        <f t="shared" si="33"/>
        <v>19.082731089464875</v>
      </c>
      <c r="Q18" s="20">
        <f t="shared" si="2"/>
        <v>151.01770664748466</v>
      </c>
      <c r="R18" s="59">
        <f t="shared" si="0"/>
        <v>426.01770664748466</v>
      </c>
      <c r="S18" s="59">
        <f ca="1">AVERAGE(OFFSET($R$3,0,0,'Données projet'!$E$9+1,1))-AVERAGE(OFFSET($H$3,0,0,'Données projet'!$E$9+1,1))</f>
        <v>405.40026823646758</v>
      </c>
      <c r="T18" s="59">
        <f t="shared" si="34"/>
        <v>393.0787141050053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42</v>
      </c>
      <c r="W18" s="16">
        <f>IF(ISNA(VLOOKUP(A18,'Données projet'!$A$35:$I$55,5,0)),0%,VLOOKUP(A18,'Données projet'!$A$35:$I$55,5,0)*VLOOKUP('Données projet'!$B$9,Paramètres!$A$1:$I$89,7,0))</f>
        <v>0.10600000000000001</v>
      </c>
      <c r="X18" s="16">
        <f>IF(ISNA(VLOOKUP(A18,'Données projet'!$A$35:$I$55,6,0)),0%,VLOOKUP(A18,'Données projet'!$A$35:$I$55,6,0)*VLOOKUP('Données projet'!$B$9,Paramètres!$A$1:$I$89,7,0))</f>
        <v>0.10600000000000001</v>
      </c>
      <c r="Y18" s="16">
        <f>IF(ISNA(VLOOKUP(A18,'Données projet'!$A$35:$I$55,7,0)),0%,VLOOKUP(A18,'Données projet'!$A$35:$I$55,7,0))</f>
        <v>0.6</v>
      </c>
      <c r="Z18" s="21">
        <f>EXP(-LN(2)/35)*Z17+(1-EXP(-LN(2)/35))/(LN(2)/35)*V18*W18*VLOOKUP('Données projet'!$B$9,Paramètres!$A$1:$I$89,3,0)*0.475*44/12</f>
        <v>3.9155884655739612</v>
      </c>
      <c r="AA18" s="21">
        <f>EXP(-LN(2)/25)*AA17+(1-EXP(-LN(2)/25))/(LN(2)/25)*Calculateur!V18*Calculateur!X18*VLOOKUP('Données projet'!$B$9,Paramètres!$A$1:$I$89,3,0)*0.475*44/12</f>
        <v>4.7489953827684372</v>
      </c>
      <c r="AB18" s="21">
        <f>EXP(-LN(2)/2)*AB17+(1-EXP(-LN(2)/2))/(LN(2)/2)*V18*Y18*VLOOKUP('Données projet'!$B$9,Paramètres!$A$1:$I$89,3,0)*0.475*44/12</f>
        <v>19.567119058744911</v>
      </c>
      <c r="AC18" s="22">
        <f t="shared" si="3"/>
        <v>28.23170290708731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107</v>
      </c>
      <c r="AG18" s="12">
        <f>VLOOKUP(A18,'Données projet'!$A$61:$I$81,9,0)</f>
        <v>7.1333333333333337</v>
      </c>
      <c r="AH18" s="12">
        <f t="array" ref="AH18">INDEX(AG:AG,MIN(IF(ISNUMBER(AG18:AG214),ROW(AG18:AG214),"")))</f>
        <v>7.1333333333333337</v>
      </c>
      <c r="AI18" s="13">
        <f>IF('Données projet'!$A$62&gt;35,AI17+AH18-AQ17,IF(A18&lt;'Données projet'!$A$62,$AF$205^A18,IF(A18='Données projet'!$A$62,'Données projet'!$B$62,AI17+AH18-AQ17)))</f>
        <v>107</v>
      </c>
      <c r="AJ18" s="13">
        <f>AI18*VLOOKUP('Données projet'!$B$10,Paramètres!$A$1:$I$89,3,0)*VLOOKUP('Données projet'!$B$10,Paramètres!$A$1:$I$89,5,0)</f>
        <v>93.475200000000015</v>
      </c>
      <c r="AK18" s="13">
        <f t="shared" si="35"/>
        <v>25.401502539965662</v>
      </c>
      <c r="AL18" s="20">
        <f t="shared" si="4"/>
        <v>207.04359025710687</v>
      </c>
      <c r="AM18" s="59">
        <f t="shared" si="5"/>
        <v>482.04359025710687</v>
      </c>
      <c r="AN18" s="59">
        <f ca="1">AVERAGE(OFFSET($AM$3,0,0,'Données projet'!$E$10+1,1))-AVERAGE(OFFSET($H$3,0,0,'Données projet'!$E$10+1,1))</f>
        <v>304.32767345253382</v>
      </c>
      <c r="AO18" s="59">
        <f t="shared" si="36"/>
        <v>427.16091343339173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4.3000000000000003E-2</v>
      </c>
      <c r="AT18" s="16">
        <f>IF(ISNA(VLOOKUP(A18,'Données projet'!$A$61:$I$81,7,0)),0%,VLOOKUP(A18,'Données projet'!$A$61:$I$81,7,0))</f>
        <v>0.5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1.4063510773890098</v>
      </c>
      <c r="AW18" s="21">
        <f>EXP(-LN(2)/2)*AW17+(1-EXP(-LN(2)/2))/(LN(2)/2)*AQ18*AT18*VLOOKUP('Données projet'!$B$10,Paramètres!$A$1:$I$89,3,0)*0.475*44/12</f>
        <v>14.012506914187542</v>
      </c>
      <c r="AX18" s="21">
        <f t="shared" si="6"/>
        <v>15.418857991576552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3.95</v>
      </c>
      <c r="BD18" s="12">
        <f>IF('Données projet'!$A$88&gt;35,BD17+BC18-BL17,IF(A18&lt;'Données projet'!$A$88,$BA$205^A18,IF(A18='Données projet'!$A$88,'Données projet'!$B$88,BD17+BC18-BL17)))</f>
        <v>26.498440689367563</v>
      </c>
      <c r="BE18" s="13">
        <f>BD18*VLOOKUP('Données projet'!$B$11,Paramètres!$A$1:$I$89,3,0)*VLOOKUP('Données projet'!$B$11,Paramètres!$A$1:$I$89,5,0)</f>
        <v>23.149037786231506</v>
      </c>
      <c r="BF18" s="13">
        <f t="shared" si="37"/>
        <v>7.4003689797172942</v>
      </c>
      <c r="BG18" s="20">
        <f t="shared" si="7"/>
        <v>53.206883450694164</v>
      </c>
      <c r="BH18" s="59">
        <f t="shared" si="8"/>
        <v>328.20688345069414</v>
      </c>
      <c r="BI18" s="59">
        <f ca="1">AVERAGE(OFFSET($BH$3,0,0,'Données projet'!$E$11+1,1))-AVERAGE(OFFSET($H$3,0,0,'Données projet'!$E$11+1,1))</f>
        <v>268.31928207836495</v>
      </c>
      <c r="BJ18" s="59">
        <f t="shared" si="38"/>
        <v>277.61304526670204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9</v>
      </c>
      <c r="BW18" s="12">
        <f>VLOOKUP(A18,'Données projet'!$A$113:$I$133,9,0)</f>
        <v>0.6</v>
      </c>
      <c r="BX18" s="12">
        <f t="array" ref="BX18">INDEX(BW:BW,MIN(IF(ISNUMBER(BW18:BW214),ROW(BW18:BW214),"")))</f>
        <v>0.6</v>
      </c>
      <c r="BY18" s="12">
        <f>IF('Données projet'!$A$114&gt;35,BY17+BX18-CG17,IF(A18&lt;'Données projet'!$A$114,$BV$205^A18,IF(A18='Données projet'!$A$114,'Données projet'!$B$114,BY17+BX18-CG17)))</f>
        <v>9</v>
      </c>
      <c r="BZ18" s="13">
        <f>BY18*VLOOKUP('Données projet'!$B$12,Paramètres!$A$1:$I$89,3,0)*VLOOKUP('Données projet'!$B$12,Paramètres!$A$1:$I$89,5,0)</f>
        <v>7.1604000000000001</v>
      </c>
      <c r="CA18" s="13">
        <f t="shared" si="39"/>
        <v>2.624065364274125</v>
      </c>
      <c r="CB18" s="20">
        <f t="shared" si="10"/>
        <v>17.041277176110768</v>
      </c>
      <c r="CC18" s="59">
        <f t="shared" si="11"/>
        <v>292.04127717611078</v>
      </c>
      <c r="CD18" s="59">
        <f ca="1">AVERAGE(OFFSET($CC$3,0,0,'Données projet'!$E$12+1,1))-AVERAGE(OFFSET($H$3,0,0,'Données projet'!$E$12+1,1))</f>
        <v>241.67556898455945</v>
      </c>
      <c r="CE18" s="59">
        <f t="shared" si="40"/>
        <v>237.71070965292648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0.159</v>
      </c>
      <c r="CJ18" s="16">
        <f>IF(ISNA(VLOOKUP(A18,'Données projet'!$A$113:$I$133,7,0)),0%,VLOOKUP(A18,'Données projet'!$A$113:$I$133,7,0))</f>
        <v>0.7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</v>
      </c>
      <c r="N19" s="13">
        <f>IF('Données projet'!$A$36&gt;35,N18+M19-V18,IF(A19&lt;'Données projet'!$A$36,$K$205^A19,IF(A19='Données projet'!$A$36,'Données projet'!$B$36,N18+M19-V18)))</f>
        <v>59</v>
      </c>
      <c r="O19" s="13">
        <f>N19*VLOOKUP('Données projet'!$B$9,Paramètres!$A$1:$I$89,3,0)*VLOOKUP('Données projet'!$B$9,Paramètres!$A$1:$I$89,5,0)</f>
        <v>46.940400000000004</v>
      </c>
      <c r="P19" s="13">
        <f t="shared" si="33"/>
        <v>13.82072434588865</v>
      </c>
      <c r="Q19" s="20">
        <f t="shared" si="2"/>
        <v>105.82562490242275</v>
      </c>
      <c r="R19" s="59">
        <f t="shared" si="0"/>
        <v>382.04784712464499</v>
      </c>
      <c r="S19" s="59">
        <f ca="1">AVERAGE(OFFSET($R$3,0,0,'Données projet'!$E$9+1,1))-AVERAGE(OFFSET($H$3,0,0,'Données projet'!$E$9+1,1))</f>
        <v>405.40026823646758</v>
      </c>
      <c r="T19" s="59">
        <f t="shared" si="34"/>
        <v>393.0787141050053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3.8388061640371975</v>
      </c>
      <c r="AA19" s="21">
        <f>EXP(-LN(2)/25)*AA18+(1-EXP(-LN(2)/25))/(LN(2)/25)*Calculateur!V19*Calculateur!X19*VLOOKUP('Données projet'!$B$9,Paramètres!$A$1:$I$89,3,0)*0.475*44/12</f>
        <v>4.6191338542878215</v>
      </c>
      <c r="AB19" s="21">
        <f>EXP(-LN(2)/2)*AB18+(1-EXP(-LN(2)/2))/(LN(2)/2)*V19*Y19*VLOOKUP('Données projet'!$B$9,Paramètres!$A$1:$I$89,3,0)*0.475*44/12</f>
        <v>13.836042574723063</v>
      </c>
      <c r="AC19" s="22">
        <f t="shared" si="3"/>
        <v>22.293982593048081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16.2</v>
      </c>
      <c r="AI19" s="13">
        <f>IF('Données projet'!$A$62&gt;35,AI18+AH19-AQ18,IF(A19&lt;'Données projet'!$A$62,$AF$205^A19,IF(A19='Données projet'!$A$62,'Données projet'!$B$62,AI18+AH19-AQ18)))</f>
        <v>89.2</v>
      </c>
      <c r="AJ19" s="13">
        <f>AI19*VLOOKUP('Données projet'!$B$10,Paramètres!$A$1:$I$89,3,0)*VLOOKUP('Données projet'!$B$10,Paramètres!$A$1:$I$89,5,0)</f>
        <v>77.925120000000007</v>
      </c>
      <c r="AK19" s="13">
        <f t="shared" si="35"/>
        <v>21.629091902424182</v>
      </c>
      <c r="AL19" s="20">
        <f t="shared" si="4"/>
        <v>173.3902523967221</v>
      </c>
      <c r="AM19" s="59">
        <f t="shared" si="5"/>
        <v>449.61247461894436</v>
      </c>
      <c r="AN19" s="59">
        <f ca="1">AVERAGE(OFFSET($AM$3,0,0,'Données projet'!$E$10+1,1))-AVERAGE(OFFSET($H$3,0,0,'Données projet'!$E$10+1,1))</f>
        <v>304.32767345253382</v>
      </c>
      <c r="AO19" s="59">
        <f t="shared" si="36"/>
        <v>427.16091343339173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1.3678943332210185</v>
      </c>
      <c r="AW19" s="21">
        <f>EXP(-LN(2)/2)*AW18+(1-EXP(-LN(2)/2))/(LN(2)/2)*AQ19*AT19*VLOOKUP('Données projet'!$B$10,Paramètres!$A$1:$I$89,3,0)*0.475*44/12</f>
        <v>9.9083386604453949</v>
      </c>
      <c r="AX19" s="21">
        <f t="shared" si="6"/>
        <v>11.276232993666413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3.95</v>
      </c>
      <c r="BD19" s="12">
        <f>IF('Données projet'!$A$88&gt;35,BD18+BC19-BL18,IF(A19&lt;'Données projet'!$A$88,$BA$205^A19,IF(A19='Données projet'!$A$88,'Données projet'!$B$88,BD18+BC19-BL18)))</f>
        <v>32.968688640702432</v>
      </c>
      <c r="BE19" s="13">
        <f>BD19*VLOOKUP('Données projet'!$B$11,Paramètres!$A$1:$I$89,3,0)*VLOOKUP('Données projet'!$B$11,Paramètres!$A$1:$I$89,5,0)</f>
        <v>28.801446396517651</v>
      </c>
      <c r="BF19" s="13">
        <f t="shared" si="37"/>
        <v>8.9761590420605479</v>
      </c>
      <c r="BG19" s="20">
        <f t="shared" si="7"/>
        <v>65.795996138857035</v>
      </c>
      <c r="BH19" s="59">
        <f t="shared" si="8"/>
        <v>342.01821836107928</v>
      </c>
      <c r="BI19" s="59">
        <f ca="1">AVERAGE(OFFSET($BH$3,0,0,'Données projet'!$E$11+1,1))-AVERAGE(OFFSET($H$3,0,0,'Données projet'!$E$11+1,1))</f>
        <v>268.31928207836495</v>
      </c>
      <c r="BJ19" s="59">
        <f t="shared" si="38"/>
        <v>277.61304526670204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18.600000000000001</v>
      </c>
      <c r="BZ19" s="13">
        <f>BY19*VLOOKUP('Données projet'!$B$12,Paramètres!$A$1:$I$89,3,0)*VLOOKUP('Données projet'!$B$12,Paramètres!$A$1:$I$89,5,0)</f>
        <v>14.798160000000001</v>
      </c>
      <c r="CA19" s="13">
        <f t="shared" si="39"/>
        <v>4.9836508114679425</v>
      </c>
      <c r="CB19" s="20">
        <f t="shared" si="10"/>
        <v>34.453320496639996</v>
      </c>
      <c r="CC19" s="59">
        <f t="shared" si="11"/>
        <v>310.67554271886223</v>
      </c>
      <c r="CD19" s="59">
        <f ca="1">AVERAGE(OFFSET($CC$3,0,0,'Données projet'!$E$12+1,1))-AVERAGE(OFFSET($H$3,0,0,'Données projet'!$E$12+1,1))</f>
        <v>241.67556898455945</v>
      </c>
      <c r="CE19" s="59">
        <f t="shared" si="40"/>
        <v>237.71070965292648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16</v>
      </c>
      <c r="N20" s="13">
        <f>IF('Données projet'!$A$36&gt;35,N19+M20-V19,IF(A20&lt;'Données projet'!$A$36,$K$205^A20,IF(A20='Données projet'!$A$36,'Données projet'!$B$36,N19+M20-V19)))</f>
        <v>75</v>
      </c>
      <c r="O20" s="13">
        <f>N20*VLOOKUP('Données projet'!$B$9,Paramètres!$A$1:$I$89,3,0)*VLOOKUP('Données projet'!$B$9,Paramètres!$A$1:$I$89,5,0)</f>
        <v>59.67</v>
      </c>
      <c r="P20" s="13">
        <f t="shared" si="33"/>
        <v>17.084807896591332</v>
      </c>
      <c r="Q20" s="20">
        <f t="shared" si="2"/>
        <v>133.68129041989656</v>
      </c>
      <c r="R20" s="59">
        <f t="shared" si="0"/>
        <v>411.12573486434098</v>
      </c>
      <c r="S20" s="59">
        <f ca="1">AVERAGE(OFFSET($R$3,0,0,'Données projet'!$E$9+1,1))-AVERAGE(OFFSET($H$3,0,0,'Données projet'!$E$9+1,1))</f>
        <v>405.40026823646758</v>
      </c>
      <c r="T20" s="59">
        <f t="shared" si="34"/>
        <v>393.0787141050053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3.7635295166009901</v>
      </c>
      <c r="AA20" s="21">
        <f>EXP(-LN(2)/25)*AA19+(1-EXP(-LN(2)/25))/(LN(2)/25)*Calculateur!V20*Calculateur!X20*VLOOKUP('Données projet'!$B$9,Paramètres!$A$1:$I$89,3,0)*0.475*44/12</f>
        <v>4.4928233961326285</v>
      </c>
      <c r="AB20" s="21">
        <f>EXP(-LN(2)/2)*AB19+(1-EXP(-LN(2)/2))/(LN(2)/2)*V20*Y20*VLOOKUP('Données projet'!$B$9,Paramètres!$A$1:$I$89,3,0)*0.475*44/12</f>
        <v>9.7835595293724573</v>
      </c>
      <c r="AC20" s="22">
        <f t="shared" si="3"/>
        <v>18.039912442106075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16.2</v>
      </c>
      <c r="AI20" s="13">
        <f>IF('Données projet'!$A$62&gt;35,AI19+AH20-AQ19,IF(A20&lt;'Données projet'!$A$62,$AF$205^A20,IF(A20='Données projet'!$A$62,'Données projet'!$B$62,AI19+AH20-AQ19)))</f>
        <v>105.4</v>
      </c>
      <c r="AJ20" s="13">
        <f>AI20*VLOOKUP('Données projet'!$B$10,Paramètres!$A$1:$I$89,3,0)*VLOOKUP('Données projet'!$B$10,Paramètres!$A$1:$I$89,5,0)</f>
        <v>92.07744000000001</v>
      </c>
      <c r="AK20" s="13">
        <f t="shared" si="35"/>
        <v>25.065586122051112</v>
      </c>
      <c r="AL20" s="20">
        <f t="shared" si="4"/>
        <v>204.02410382923904</v>
      </c>
      <c r="AM20" s="59">
        <f t="shared" si="5"/>
        <v>481.4685482736835</v>
      </c>
      <c r="AN20" s="59">
        <f ca="1">AVERAGE(OFFSET($AM$3,0,0,'Données projet'!$E$10+1,1))-AVERAGE(OFFSET($H$3,0,0,'Données projet'!$E$10+1,1))</f>
        <v>304.32767345253382</v>
      </c>
      <c r="AO20" s="59">
        <f t="shared" si="36"/>
        <v>427.16091343339173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1.3304891907446532</v>
      </c>
      <c r="AW20" s="21">
        <f>EXP(-LN(2)/2)*AW19+(1-EXP(-LN(2)/2))/(LN(2)/2)*AQ20*AT20*VLOOKUP('Données projet'!$B$10,Paramètres!$A$1:$I$89,3,0)*0.475*44/12</f>
        <v>7.0062534570937718</v>
      </c>
      <c r="AX20" s="21">
        <f t="shared" si="6"/>
        <v>8.3367426478384257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3.95</v>
      </c>
      <c r="BD20" s="12">
        <f>IF('Données projet'!$A$88&gt;35,BD19+BC20-BL19,IF(A20&lt;'Données projet'!$A$88,$BA$205^A20,IF(A20='Données projet'!$A$88,'Données projet'!$B$88,BD19+BC20-BL19)))</f>
        <v>41.018807235842807</v>
      </c>
      <c r="BE20" s="13">
        <f>BD20*VLOOKUP('Données projet'!$B$11,Paramètres!$A$1:$I$89,3,0)*VLOOKUP('Données projet'!$B$11,Paramètres!$A$1:$I$89,5,0)</f>
        <v>35.834030001232279</v>
      </c>
      <c r="BF20" s="13">
        <f t="shared" si="37"/>
        <v>10.887488362971231</v>
      </c>
      <c r="BG20" s="20">
        <f t="shared" si="7"/>
        <v>81.373311150987774</v>
      </c>
      <c r="BH20" s="59">
        <f t="shared" si="8"/>
        <v>358.81775559543223</v>
      </c>
      <c r="BI20" s="59">
        <f ca="1">AVERAGE(OFFSET($BH$3,0,0,'Données projet'!$E$11+1,1))-AVERAGE(OFFSET($H$3,0,0,'Données projet'!$E$11+1,1))</f>
        <v>268.31928207836495</v>
      </c>
      <c r="BJ20" s="59">
        <f t="shared" si="38"/>
        <v>277.61304526670204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28.200000000000003</v>
      </c>
      <c r="BZ20" s="13">
        <f>BY20*VLOOKUP('Données projet'!$B$12,Paramètres!$A$1:$I$89,3,0)*VLOOKUP('Données projet'!$B$12,Paramètres!$A$1:$I$89,5,0)</f>
        <v>22.435920000000003</v>
      </c>
      <c r="CA20" s="13">
        <f t="shared" si="39"/>
        <v>7.1985674727914821</v>
      </c>
      <c r="CB20" s="20">
        <f t="shared" si="10"/>
        <v>51.613399015111831</v>
      </c>
      <c r="CC20" s="59">
        <f t="shared" si="11"/>
        <v>329.0578434595563</v>
      </c>
      <c r="CD20" s="59">
        <f ca="1">AVERAGE(OFFSET($CC$3,0,0,'Données projet'!$E$12+1,1))-AVERAGE(OFFSET($H$3,0,0,'Données projet'!$E$12+1,1))</f>
        <v>241.67556898455945</v>
      </c>
      <c r="CE20" s="59">
        <f t="shared" si="40"/>
        <v>237.71070965292648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</v>
      </c>
      <c r="N21" s="13">
        <f>IF('Données projet'!$A$36&gt;35,N20+M21-V20,IF(A21&lt;'Données projet'!$A$36,$K$205^A21,IF(A21='Données projet'!$A$36,'Données projet'!$B$36,N20+M21-V20)))</f>
        <v>91</v>
      </c>
      <c r="O21" s="13">
        <f>N21*VLOOKUP('Données projet'!$B$9,Paramètres!$A$1:$I$89,3,0)*VLOOKUP('Données projet'!$B$9,Paramètres!$A$1:$I$89,5,0)</f>
        <v>72.399600000000007</v>
      </c>
      <c r="P21" s="13">
        <f t="shared" si="33"/>
        <v>20.268188832715463</v>
      </c>
      <c r="Q21" s="20">
        <f t="shared" si="2"/>
        <v>161.39639888364613</v>
      </c>
      <c r="R21" s="59">
        <f t="shared" si="0"/>
        <v>440.06306555031279</v>
      </c>
      <c r="S21" s="59">
        <f ca="1">AVERAGE(OFFSET($R$3,0,0,'Données projet'!$E$9+1,1))-AVERAGE(OFFSET($H$3,0,0,'Données projet'!$E$9+1,1))</f>
        <v>405.40026823646758</v>
      </c>
      <c r="T21" s="59">
        <f t="shared" si="34"/>
        <v>393.0787141050053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3.6897289983067854</v>
      </c>
      <c r="AA21" s="21">
        <f>EXP(-LN(2)/25)*AA20+(1-EXP(-LN(2)/25))/(LN(2)/25)*Calculateur!V21*Calculateur!X21*VLOOKUP('Données projet'!$B$9,Paramètres!$A$1:$I$89,3,0)*0.475*44/12</f>
        <v>4.3699669040980682</v>
      </c>
      <c r="AB21" s="21">
        <f>EXP(-LN(2)/2)*AB20+(1-EXP(-LN(2)/2))/(LN(2)/2)*V21*Y21*VLOOKUP('Données projet'!$B$9,Paramètres!$A$1:$I$89,3,0)*0.475*44/12</f>
        <v>6.9180212873615323</v>
      </c>
      <c r="AC21" s="22">
        <f t="shared" si="3"/>
        <v>14.977717189766388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16.2</v>
      </c>
      <c r="AI21" s="13">
        <f>IF('Données projet'!$A$62&gt;35,AI20+AH21-AQ20,IF(A21&lt;'Données projet'!$A$62,$AF$205^A21,IF(A21='Données projet'!$A$62,'Données projet'!$B$62,AI20+AH21-AQ20)))</f>
        <v>121.60000000000001</v>
      </c>
      <c r="AJ21" s="13">
        <f>AI21*VLOOKUP('Données projet'!$B$10,Paramètres!$A$1:$I$89,3,0)*VLOOKUP('Données projet'!$B$10,Paramètres!$A$1:$I$89,5,0)</f>
        <v>106.22976000000003</v>
      </c>
      <c r="AK21" s="13">
        <f t="shared" si="35"/>
        <v>28.440891625171492</v>
      </c>
      <c r="AL21" s="20">
        <f t="shared" si="4"/>
        <v>234.55138491384039</v>
      </c>
      <c r="AM21" s="59">
        <f t="shared" si="5"/>
        <v>513.21805158050711</v>
      </c>
      <c r="AN21" s="59">
        <f ca="1">AVERAGE(OFFSET($AM$3,0,0,'Données projet'!$E$10+1,1))-AVERAGE(OFFSET($H$3,0,0,'Données projet'!$E$10+1,1))</f>
        <v>304.32767345253382</v>
      </c>
      <c r="AO21" s="59">
        <f t="shared" si="36"/>
        <v>427.16091343339173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1.2941068938563549</v>
      </c>
      <c r="AW21" s="21">
        <f>EXP(-LN(2)/2)*AW20+(1-EXP(-LN(2)/2))/(LN(2)/2)*AQ21*AT21*VLOOKUP('Données projet'!$B$10,Paramètres!$A$1:$I$89,3,0)*0.475*44/12</f>
        <v>4.9541693302226983</v>
      </c>
      <c r="AX21" s="21">
        <f t="shared" si="6"/>
        <v>6.2482762240790528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3.95</v>
      </c>
      <c r="BD21" s="12">
        <f>IF('Données projet'!$A$88&gt;35,BD20+BC21-BL20,IF(A21&lt;'Données projet'!$A$88,$BA$205^A21,IF(A21='Données projet'!$A$88,'Données projet'!$B$88,BD20+BC21-BL20)))</f>
        <v>51.034560864334757</v>
      </c>
      <c r="BE21" s="13">
        <f>BD21*VLOOKUP('Données projet'!$B$11,Paramètres!$A$1:$I$89,3,0)*VLOOKUP('Données projet'!$B$11,Paramètres!$A$1:$I$89,5,0)</f>
        <v>44.583792371082851</v>
      </c>
      <c r="BF21" s="13">
        <f t="shared" si="37"/>
        <v>13.205804654127736</v>
      </c>
      <c r="BG21" s="20">
        <f t="shared" si="7"/>
        <v>100.65021481890842</v>
      </c>
      <c r="BH21" s="59">
        <f t="shared" si="8"/>
        <v>379.3168814855751</v>
      </c>
      <c r="BI21" s="59">
        <f ca="1">AVERAGE(OFFSET($BH$3,0,0,'Données projet'!$E$11+1,1))-AVERAGE(OFFSET($H$3,0,0,'Données projet'!$E$11+1,1))</f>
        <v>268.31928207836495</v>
      </c>
      <c r="BJ21" s="59">
        <f t="shared" si="38"/>
        <v>277.61304526670204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37.800000000000004</v>
      </c>
      <c r="BZ21" s="13">
        <f>BY21*VLOOKUP('Données projet'!$B$12,Paramètres!$A$1:$I$89,3,0)*VLOOKUP('Données projet'!$B$12,Paramètres!$A$1:$I$89,5,0)</f>
        <v>30.073680000000003</v>
      </c>
      <c r="CA21" s="13">
        <f t="shared" si="39"/>
        <v>9.3256201513302699</v>
      </c>
      <c r="CB21" s="20">
        <f t="shared" si="10"/>
        <v>68.620447763566887</v>
      </c>
      <c r="CC21" s="59">
        <f t="shared" si="11"/>
        <v>347.2871144302336</v>
      </c>
      <c r="CD21" s="59">
        <f ca="1">AVERAGE(OFFSET($CC$3,0,0,'Données projet'!$E$12+1,1))-AVERAGE(OFFSET($H$3,0,0,'Données projet'!$E$12+1,1))</f>
        <v>241.67556898455945</v>
      </c>
      <c r="CE21" s="59">
        <f t="shared" si="40"/>
        <v>237.71070965292648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16</v>
      </c>
      <c r="N22" s="13">
        <f>IF('Données projet'!$A$36&gt;35,N21+M22-V21,IF(A22&lt;'Données projet'!$A$36,$K$205^A22,IF(A22='Données projet'!$A$36,'Données projet'!$B$36,N21+M22-V21)))</f>
        <v>107</v>
      </c>
      <c r="O22" s="13">
        <f>N22*VLOOKUP('Données projet'!$B$9,Paramètres!$A$1:$I$89,3,0)*VLOOKUP('Données projet'!$B$9,Paramètres!$A$1:$I$89,5,0)</f>
        <v>85.129199999999997</v>
      </c>
      <c r="P22" s="13">
        <f t="shared" si="33"/>
        <v>23.386728480923388</v>
      </c>
      <c r="Q22" s="20">
        <f t="shared" si="2"/>
        <v>188.99857543760822</v>
      </c>
      <c r="R22" s="59">
        <f t="shared" si="0"/>
        <v>468.88746432649708</v>
      </c>
      <c r="S22" s="59">
        <f ca="1">AVERAGE(OFFSET($R$3,0,0,'Données projet'!$E$9+1,1))-AVERAGE(OFFSET($H$3,0,0,'Données projet'!$E$9+1,1))</f>
        <v>405.40026823646758</v>
      </c>
      <c r="T22" s="59">
        <f t="shared" si="34"/>
        <v>393.0787141050053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3.6173756631624587</v>
      </c>
      <c r="AA22" s="21">
        <f>EXP(-LN(2)/25)*AA21+(1-EXP(-LN(2)/25))/(LN(2)/25)*Calculateur!V22*Calculateur!X22*VLOOKUP('Données projet'!$B$9,Paramètres!$A$1:$I$89,3,0)*0.475*44/12</f>
        <v>4.2504699292989345</v>
      </c>
      <c r="AB22" s="21">
        <f>EXP(-LN(2)/2)*AB21+(1-EXP(-LN(2)/2))/(LN(2)/2)*V22*Y22*VLOOKUP('Données projet'!$B$9,Paramètres!$A$1:$I$89,3,0)*0.475*44/12</f>
        <v>4.8917797646862295</v>
      </c>
      <c r="AC22" s="22">
        <f t="shared" si="3"/>
        <v>12.759625357147623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16.2</v>
      </c>
      <c r="AI22" s="13">
        <f>IF('Données projet'!$A$62&gt;35,AI21+AH22-AQ21,IF(A22&lt;'Données projet'!$A$62,$AF$205^A22,IF(A22='Données projet'!$A$62,'Données projet'!$B$62,AI21+AH22-AQ21)))</f>
        <v>137.80000000000001</v>
      </c>
      <c r="AJ22" s="13">
        <f>AI22*VLOOKUP('Données projet'!$B$10,Paramètres!$A$1:$I$89,3,0)*VLOOKUP('Données projet'!$B$10,Paramètres!$A$1:$I$89,5,0)</f>
        <v>120.38208000000003</v>
      </c>
      <c r="AK22" s="13">
        <f t="shared" si="35"/>
        <v>31.76409668560358</v>
      </c>
      <c r="AL22" s="20">
        <f t="shared" si="4"/>
        <v>264.98792439409294</v>
      </c>
      <c r="AM22" s="59">
        <f t="shared" si="5"/>
        <v>544.87681328298186</v>
      </c>
      <c r="AN22" s="59">
        <f ca="1">AVERAGE(OFFSET($AM$3,0,0,'Données projet'!$E$10+1,1))-AVERAGE(OFFSET($H$3,0,0,'Données projet'!$E$10+1,1))</f>
        <v>304.32767345253382</v>
      </c>
      <c r="AO22" s="59">
        <f t="shared" si="36"/>
        <v>427.16091343339173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1.2587194727897291</v>
      </c>
      <c r="AW22" s="21">
        <f>EXP(-LN(2)/2)*AW21+(1-EXP(-LN(2)/2))/(LN(2)/2)*AQ22*AT22*VLOOKUP('Données projet'!$B$10,Paramètres!$A$1:$I$89,3,0)*0.475*44/12</f>
        <v>3.5031267285468863</v>
      </c>
      <c r="AX22" s="21">
        <f t="shared" si="6"/>
        <v>4.7618462013366152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3.95</v>
      </c>
      <c r="BD22" s="12">
        <f>IF('Données projet'!$A$88&gt;35,BD21+BC22-BL21,IF(A22&lt;'Données projet'!$A$88,$BA$205^A22,IF(A22='Données projet'!$A$88,'Données projet'!$B$88,BD21+BC22-BL21)))</f>
        <v>63.495907807373236</v>
      </c>
      <c r="BE22" s="13">
        <f>BD22*VLOOKUP('Données projet'!$B$11,Paramètres!$A$1:$I$89,3,0)*VLOOKUP('Données projet'!$B$11,Paramètres!$A$1:$I$89,5,0)</f>
        <v>55.470025060521266</v>
      </c>
      <c r="BF22" s="13">
        <f t="shared" si="37"/>
        <v>16.01776927322376</v>
      </c>
      <c r="BG22" s="20">
        <f t="shared" si="7"/>
        <v>124.50790846460593</v>
      </c>
      <c r="BH22" s="59">
        <f t="shared" si="8"/>
        <v>404.39679735349478</v>
      </c>
      <c r="BI22" s="59">
        <f ca="1">AVERAGE(OFFSET($BH$3,0,0,'Données projet'!$E$11+1,1))-AVERAGE(OFFSET($H$3,0,0,'Données projet'!$E$11+1,1))</f>
        <v>268.31928207836495</v>
      </c>
      <c r="BJ22" s="59">
        <f t="shared" si="38"/>
        <v>277.61304526670204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47.400000000000006</v>
      </c>
      <c r="BZ22" s="13">
        <f>BY22*VLOOKUP('Données projet'!$B$12,Paramètres!$A$1:$I$89,3,0)*VLOOKUP('Données projet'!$B$12,Paramètres!$A$1:$I$89,5,0)</f>
        <v>37.711440000000003</v>
      </c>
      <c r="CA22" s="13">
        <f t="shared" si="39"/>
        <v>11.389999638070119</v>
      </c>
      <c r="CB22" s="20">
        <f t="shared" si="10"/>
        <v>85.518340702972125</v>
      </c>
      <c r="CC22" s="59">
        <f t="shared" si="11"/>
        <v>365.40722959186098</v>
      </c>
      <c r="CD22" s="59">
        <f ca="1">AVERAGE(OFFSET($CC$3,0,0,'Données projet'!$E$12+1,1))-AVERAGE(OFFSET($H$3,0,0,'Données projet'!$E$12+1,1))</f>
        <v>241.67556898455945</v>
      </c>
      <c r="CE22" s="59">
        <f t="shared" si="40"/>
        <v>237.71070965292648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123</v>
      </c>
      <c r="L23" s="12">
        <f>VLOOKUP(A23,'Données projet'!$A$35:$I$55,9,0)</f>
        <v>16</v>
      </c>
      <c r="M23" s="12">
        <f t="array" ref="M23">INDEX(L:L,MIN(IF(ISNUMBER(L23:L219),ROW(L23:L219),"")))</f>
        <v>16</v>
      </c>
      <c r="N23" s="13">
        <f>IF('Données projet'!$A$36&gt;35,N22+M23-V22,IF(A23&lt;'Données projet'!$A$36,$K$205^A23,IF(A23='Données projet'!$A$36,'Données projet'!$B$36,N22+M23-V22)))</f>
        <v>123</v>
      </c>
      <c r="O23" s="13">
        <f>N23*VLOOKUP('Données projet'!$B$9,Paramètres!$A$1:$I$89,3,0)*VLOOKUP('Données projet'!$B$9,Paramètres!$A$1:$I$89,5,0)</f>
        <v>97.858800000000016</v>
      </c>
      <c r="P23" s="13">
        <f t="shared" si="33"/>
        <v>26.45124536158788</v>
      </c>
      <c r="Q23" s="20">
        <f t="shared" si="2"/>
        <v>216.50666233809889</v>
      </c>
      <c r="R23" s="59">
        <f t="shared" si="0"/>
        <v>497.61777344921006</v>
      </c>
      <c r="S23" s="59">
        <f ca="1">AVERAGE(OFFSET($R$3,0,0,'Données projet'!$E$9+1,1))-AVERAGE(OFFSET($H$3,0,0,'Données projet'!$E$9+1,1))</f>
        <v>405.40026823646758</v>
      </c>
      <c r="T23" s="59">
        <f t="shared" si="34"/>
        <v>393.0787141050053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42</v>
      </c>
      <c r="W23" s="16">
        <f>IF(ISNA(VLOOKUP(A23,'Données projet'!$A$35:$I$55,5,0)),0%,VLOOKUP(A23,'Données projet'!$A$35:$I$55,5,0)*VLOOKUP('Données projet'!$B$9,Paramètres!$A$1:$I$89,7,0))</f>
        <v>0.10600000000000001</v>
      </c>
      <c r="X23" s="16">
        <f>IF(ISNA(VLOOKUP(A23,'Données projet'!$A$35:$I$55,6,0)),0%,VLOOKUP(A23,'Données projet'!$A$35:$I$55,6,0)*VLOOKUP('Données projet'!$B$9,Paramètres!$A$1:$I$89,7,0))</f>
        <v>0.10600000000000001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7.4620295983630971</v>
      </c>
      <c r="AA23" s="21">
        <f>EXP(-LN(2)/25)*AA22+(1-EXP(-LN(2)/25))/(LN(2)/25)*Calculateur!V23*Calculateur!X23*VLOOKUP('Données projet'!$B$9,Paramètres!$A$1:$I$89,3,0)*0.475*44/12</f>
        <v>8.0344119073885789</v>
      </c>
      <c r="AB23" s="21">
        <f>EXP(-LN(2)/2)*AB22+(1-EXP(-LN(2)/2))/(LN(2)/2)*V23*Y23*VLOOKUP('Données projet'!$B$9,Paramètres!$A$1:$I$89,3,0)*0.475*44/12</f>
        <v>22.375894977833948</v>
      </c>
      <c r="AC23" s="22">
        <f t="shared" si="3"/>
        <v>37.872336483585627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154</v>
      </c>
      <c r="AG23" s="12">
        <f>VLOOKUP(A23,'Données projet'!$A$61:$I$81,9,0)</f>
        <v>16.2</v>
      </c>
      <c r="AH23" s="12">
        <f t="array" ref="AH23">INDEX(AG:AG,MIN(IF(ISNUMBER(AG23:AG219),ROW(AG23:AG219),"")))</f>
        <v>16.2</v>
      </c>
      <c r="AI23" s="13">
        <f>IF('Données projet'!$A$62&gt;35,AI22+AH23-AQ22,IF(A23&lt;'Données projet'!$A$62,$AF$205^A23,IF(A23='Données projet'!$A$62,'Données projet'!$B$62,AI22+AH23-AQ22)))</f>
        <v>154</v>
      </c>
      <c r="AJ23" s="13">
        <f>AI23*VLOOKUP('Données projet'!$B$10,Paramètres!$A$1:$I$89,3,0)*VLOOKUP('Données projet'!$B$10,Paramètres!$A$1:$I$89,5,0)</f>
        <v>134.53440000000001</v>
      </c>
      <c r="AK23" s="13">
        <f t="shared" si="35"/>
        <v>35.042026165482234</v>
      </c>
      <c r="AL23" s="20">
        <f t="shared" si="4"/>
        <v>295.34560890488154</v>
      </c>
      <c r="AM23" s="59">
        <f t="shared" si="5"/>
        <v>576.45672001599269</v>
      </c>
      <c r="AN23" s="59">
        <f ca="1">AVERAGE(OFFSET($AM$3,0,0,'Données projet'!$E$10+1,1))-AVERAGE(OFFSET($H$3,0,0,'Données projet'!$E$10+1,1))</f>
        <v>304.32767345253382</v>
      </c>
      <c r="AO23" s="59">
        <f t="shared" si="36"/>
        <v>427.16091343339173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50</v>
      </c>
      <c r="AR23" s="16">
        <f>IF(ISNA(VLOOKUP(A23,'Données projet'!$A$61:$I$81,5,0)),0%,VLOOKUP(A23,'Données projet'!$A$61:$I$81,5,0)*VLOOKUP('Données projet'!$B$10,Paramètres!$A$1:$I$89,7,0))</f>
        <v>4.3000000000000003E-2</v>
      </c>
      <c r="AS23" s="16">
        <f>IF(ISNA(VLOOKUP(A23,'Données projet'!$A$61:$I$81,6,0)),0%,VLOOKUP(A23,'Données projet'!$A$61:$I$81,6,0)*VLOOKUP('Données projet'!$B$10,Paramètres!$A$1:$I$89,7,0))</f>
        <v>8.6000000000000007E-2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2.0763386856539685</v>
      </c>
      <c r="AV23" s="21">
        <f>EXP(-LN(2)/25)*AV22+(1-EXP(-LN(2)/25))/(LN(2)/25)*Calculateur!AQ23*Calculateur!AS23*VLOOKUP('Données projet'!$B$10,Paramètres!$A$1:$I$89,3,0)*0.475*44/12</f>
        <v>5.3606264208160841</v>
      </c>
      <c r="AW23" s="21">
        <f>EXP(-LN(2)/2)*AW22+(1-EXP(-LN(2)/2))/(LN(2)/2)*AQ23*AT23*VLOOKUP('Données projet'!$B$10,Paramètres!$A$1:$I$89,3,0)*0.475*44/12</f>
        <v>18.962386917096691</v>
      </c>
      <c r="AX23" s="21">
        <f t="shared" si="6"/>
        <v>26.399352023566742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79</v>
      </c>
      <c r="BB23" s="12">
        <f>VLOOKUP(A23,'Données projet'!$A$87:$I$107,9,0)</f>
        <v>3.95</v>
      </c>
      <c r="BC23" s="12">
        <f t="array" ref="BC23">INDEX(BB:BB,MIN(IF(ISNUMBER(BB23:BB219),ROW(BB23:BB219),"")))</f>
        <v>3.95</v>
      </c>
      <c r="BD23" s="12">
        <f>IF('Données projet'!$A$88&gt;35,BD22+BC23-BL22,IF(A23&lt;'Données projet'!$A$88,$BA$205^A23,IF(A23='Données projet'!$A$88,'Données projet'!$B$88,BD22+BC23-BL22)))</f>
        <v>79</v>
      </c>
      <c r="BE23" s="13">
        <f>BD23*VLOOKUP('Données projet'!$B$11,Paramètres!$A$1:$I$89,3,0)*VLOOKUP('Données projet'!$B$11,Paramètres!$A$1:$I$89,5,0)</f>
        <v>69.014400000000009</v>
      </c>
      <c r="BF23" s="13">
        <f t="shared" si="37"/>
        <v>19.428496726251055</v>
      </c>
      <c r="BG23" s="20">
        <f t="shared" si="7"/>
        <v>154.03804513155393</v>
      </c>
      <c r="BH23" s="59">
        <f t="shared" si="8"/>
        <v>435.14915624266507</v>
      </c>
      <c r="BI23" s="59">
        <f ca="1">AVERAGE(OFFSET($BH$3,0,0,'Données projet'!$E$11+1,1))-AVERAGE(OFFSET($H$3,0,0,'Données projet'!$E$11+1,1))</f>
        <v>268.31928207836495</v>
      </c>
      <c r="BJ23" s="59">
        <f t="shared" si="38"/>
        <v>277.61304526670204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4.3000000000000003E-2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0.70317553869450489</v>
      </c>
      <c r="BR23" s="21">
        <f>EXP(-LN(2)/2)*BR22+(1-EXP(-LN(2)/2))/(LN(2)/2)*BL23*BO23*VLOOKUP('Données projet'!$B$11,Paramètres!$A$1:$I$89,3,0)*0.475*44/12</f>
        <v>7.0062534570937709</v>
      </c>
      <c r="BS23" s="22">
        <f t="shared" si="9"/>
        <v>7.7094289957882758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57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57.000000000000007</v>
      </c>
      <c r="BZ23" s="13">
        <f>BY23*VLOOKUP('Données projet'!$B$12,Paramètres!$A$1:$I$89,3,0)*VLOOKUP('Données projet'!$B$12,Paramètres!$A$1:$I$89,5,0)</f>
        <v>45.34920000000001</v>
      </c>
      <c r="CA23" s="13">
        <f t="shared" si="39"/>
        <v>13.405931317559235</v>
      </c>
      <c r="CB23" s="20">
        <f t="shared" si="10"/>
        <v>102.33185371141569</v>
      </c>
      <c r="CC23" s="59">
        <f t="shared" si="11"/>
        <v>383.44296482252685</v>
      </c>
      <c r="CD23" s="59">
        <f ca="1">AVERAGE(OFFSET($CC$3,0,0,'Données projet'!$E$12+1,1))-AVERAGE(OFFSET($H$3,0,0,'Données projet'!$E$12+1,1))</f>
        <v>241.67556898455945</v>
      </c>
      <c r="CE23" s="59">
        <f t="shared" si="40"/>
        <v>237.71070965292648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21</v>
      </c>
      <c r="CH23" s="16">
        <f>IF(ISNA(VLOOKUP(A23,'Données projet'!$A$113:$I$133,5,0)),0%,VLOOKUP(A23,'Données projet'!$A$113:$I$133,5,0)*VLOOKUP('Données projet'!$B$12,Paramètres!$A$1:$I$89,7,0))</f>
        <v>0.10600000000000001</v>
      </c>
      <c r="CI23" s="16">
        <f>IF(ISNA(VLOOKUP(A23,'Données projet'!$A$113:$I$133,6,0)),0%,VLOOKUP(A23,'Données projet'!$A$113:$I$133,6,0)*VLOOKUP('Données projet'!$B$12,Paramètres!$A$1:$I$89,7,0))</f>
        <v>0.10600000000000001</v>
      </c>
      <c r="CJ23" s="16">
        <f>IF(ISNA(VLOOKUP(A23,'Données projet'!$A$113:$I$133,7,0)),0%,VLOOKUP(A23,'Données projet'!$A$113:$I$133,7,0))</f>
        <v>0.6</v>
      </c>
      <c r="CK23" s="21">
        <f>EXP(-LN(2)/35)*CK22+(1-EXP(-LN(2)/35))/(LN(2)/35)*CG23*CH23*VLOOKUP('Données projet'!$B$12,Paramètres!$A$1:$I$89,3,0)*0.475*44/12</f>
        <v>1.9577942327869806</v>
      </c>
      <c r="CL23" s="21">
        <f>EXP(-LN(2)/25)*CL22+(1-EXP(-LN(2)/25))/(LN(2)/25)*Calculateur!CG23*Calculateur!CI23*VLOOKUP('Données projet'!$B$12,Paramètres!$A$1:$I$89,3,0)*0.475*44/12</f>
        <v>1.9500856509144111</v>
      </c>
      <c r="CM23" s="21">
        <f>EXP(-LN(2)/2)*CM22+(1-EXP(-LN(2)/2))/(LN(2)/2)*CG23*CJ23*VLOOKUP('Données projet'!$B$12,Paramètres!$A$1:$I$89,3,0)*0.475*44/12</f>
        <v>9.4584421670765906</v>
      </c>
      <c r="CN23" s="22">
        <f t="shared" si="12"/>
        <v>13.366322050777981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16.8</v>
      </c>
      <c r="N24" s="13">
        <f>IF('Données projet'!$A$36&gt;35,N23+M24-V23,IF(A24&lt;'Données projet'!$A$36,$K$205^A24,IF(A24='Données projet'!$A$36,'Données projet'!$B$36,N23+M24-V23)))</f>
        <v>97.800000000000011</v>
      </c>
      <c r="O24" s="13">
        <f>N24*VLOOKUP('Données projet'!$B$9,Paramètres!$A$1:$I$89,3,0)*VLOOKUP('Données projet'!$B$9,Paramètres!$A$1:$I$89,5,0)</f>
        <v>77.809680000000014</v>
      </c>
      <c r="P24" s="13">
        <f t="shared" si="33"/>
        <v>21.600777311280577</v>
      </c>
      <c r="Q24" s="20">
        <f t="shared" si="2"/>
        <v>173.13987981714703</v>
      </c>
      <c r="R24" s="59">
        <f t="shared" si="0"/>
        <v>455.47321315048032</v>
      </c>
      <c r="S24" s="59">
        <f ca="1">AVERAGE(OFFSET($R$3,0,0,'Données projet'!$E$9+1,1))-AVERAGE(OFFSET($H$3,0,0,'Données projet'!$E$9+1,1))</f>
        <v>405.40026823646758</v>
      </c>
      <c r="T24" s="59">
        <f t="shared" si="34"/>
        <v>393.0787141050053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7.3157037493278398</v>
      </c>
      <c r="AA24" s="21">
        <f>EXP(-LN(2)/25)*AA23+(1-EXP(-LN(2)/25))/(LN(2)/25)*Calculateur!V24*Calculateur!X24*VLOOKUP('Données projet'!$B$9,Paramètres!$A$1:$I$89,3,0)*0.475*44/12</f>
        <v>7.814710491269679</v>
      </c>
      <c r="AB24" s="21">
        <f>EXP(-LN(2)/2)*AB23+(1-EXP(-LN(2)/2))/(LN(2)/2)*V24*Y24*VLOOKUP('Données projet'!$B$9,Paramètres!$A$1:$I$89,3,0)*0.475*44/12</f>
        <v>15.822147073944398</v>
      </c>
      <c r="AC24" s="22">
        <f t="shared" si="3"/>
        <v>30.952561314541917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15.8</v>
      </c>
      <c r="AI24" s="13">
        <f>IF('Données projet'!$A$62&gt;35,AI23+AH24-AQ23,IF(A24&lt;'Données projet'!$A$62,$AF$205^A24,IF(A24='Données projet'!$A$62,'Données projet'!$B$62,AI23+AH24-AQ23)))</f>
        <v>119.80000000000001</v>
      </c>
      <c r="AJ24" s="13">
        <f>AI24*VLOOKUP('Données projet'!$B$10,Paramètres!$A$1:$I$89,3,0)*VLOOKUP('Données projet'!$B$10,Paramètres!$A$1:$I$89,5,0)</f>
        <v>104.65728000000001</v>
      </c>
      <c r="AK24" s="13">
        <f t="shared" si="35"/>
        <v>28.068573730915457</v>
      </c>
      <c r="AL24" s="20">
        <f t="shared" si="4"/>
        <v>231.16419524801108</v>
      </c>
      <c r="AM24" s="59">
        <f t="shared" si="5"/>
        <v>513.49752858134434</v>
      </c>
      <c r="AN24" s="59">
        <f ca="1">AVERAGE(OFFSET($AM$3,0,0,'Données projet'!$E$10+1,1))-AVERAGE(OFFSET($H$3,0,0,'Données projet'!$E$10+1,1))</f>
        <v>304.32767345253382</v>
      </c>
      <c r="AO24" s="59">
        <f t="shared" si="36"/>
        <v>427.16091343339173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2.0356229504698415</v>
      </c>
      <c r="AV24" s="21">
        <f>EXP(-LN(2)/25)*AV23+(1-EXP(-LN(2)/25))/(LN(2)/25)*Calculateur!AQ24*Calculateur!AS24*VLOOKUP('Données projet'!$B$10,Paramètres!$A$1:$I$89,3,0)*0.475*44/12</f>
        <v>5.2140398094357767</v>
      </c>
      <c r="AW24" s="21">
        <f>EXP(-LN(2)/2)*AW23+(1-EXP(-LN(2)/2))/(LN(2)/2)*AQ24*AT24*VLOOKUP('Données projet'!$B$10,Paramètres!$A$1:$I$89,3,0)*0.475*44/12</f>
        <v>13.408432376562143</v>
      </c>
      <c r="AX24" s="21">
        <f t="shared" si="6"/>
        <v>20.658095136467761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71.2</v>
      </c>
      <c r="BE24" s="13">
        <f>BD24*VLOOKUP('Données projet'!$B$11,Paramètres!$A$1:$I$89,3,0)*VLOOKUP('Données projet'!$B$11,Paramètres!$A$1:$I$89,5,0)</f>
        <v>62.200320000000012</v>
      </c>
      <c r="BF24" s="13">
        <f t="shared" si="37"/>
        <v>17.723407501510042</v>
      </c>
      <c r="BG24" s="20">
        <f t="shared" si="7"/>
        <v>139.20049206513002</v>
      </c>
      <c r="BH24" s="59">
        <f t="shared" si="8"/>
        <v>421.53382539846336</v>
      </c>
      <c r="BI24" s="59">
        <f ca="1">AVERAGE(OFFSET($BH$3,0,0,'Données projet'!$E$11+1,1))-AVERAGE(OFFSET($H$3,0,0,'Données projet'!$E$11+1,1))</f>
        <v>268.31928207836495</v>
      </c>
      <c r="BJ24" s="59">
        <f t="shared" si="38"/>
        <v>277.61304526670204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0.68394716661050925</v>
      </c>
      <c r="BR24" s="21">
        <f>EXP(-LN(2)/2)*BR23+(1-EXP(-LN(2)/2))/(LN(2)/2)*BL24*BO24*VLOOKUP('Données projet'!$B$11,Paramètres!$A$1:$I$89,3,0)*0.475*44/12</f>
        <v>4.9541693302226975</v>
      </c>
      <c r="BS24" s="22">
        <f t="shared" si="9"/>
        <v>5.6381164968332067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</v>
      </c>
      <c r="BY24" s="12">
        <f>IF('Données projet'!$A$114&gt;35,BY23+BX24-CG23,IF(A24&lt;'Données projet'!$A$114,$BV$205^A24,IF(A24='Données projet'!$A$114,'Données projet'!$B$114,BY23+BX24-CG23)))</f>
        <v>46</v>
      </c>
      <c r="BZ24" s="13">
        <f>BY24*VLOOKUP('Données projet'!$B$12,Paramètres!$A$1:$I$89,3,0)*VLOOKUP('Données projet'!$B$12,Paramètres!$A$1:$I$89,5,0)</f>
        <v>36.5976</v>
      </c>
      <c r="CA24" s="13">
        <f t="shared" si="39"/>
        <v>11.092227993821965</v>
      </c>
      <c r="CB24" s="20">
        <f t="shared" si="10"/>
        <v>83.059783755906594</v>
      </c>
      <c r="CC24" s="59">
        <f t="shared" si="11"/>
        <v>365.39311708923992</v>
      </c>
      <c r="CD24" s="59">
        <f ca="1">AVERAGE(OFFSET($CC$3,0,0,'Données projet'!$E$12+1,1))-AVERAGE(OFFSET($H$3,0,0,'Données projet'!$E$12+1,1))</f>
        <v>241.67556898455945</v>
      </c>
      <c r="CE24" s="59">
        <f t="shared" si="40"/>
        <v>237.71070965292648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1.9194030820185988</v>
      </c>
      <c r="CL24" s="21">
        <f>EXP(-LN(2)/25)*CL23+(1-EXP(-LN(2)/25))/(LN(2)/25)*Calculateur!CG24*Calculateur!CI24*VLOOKUP('Données projet'!$B$12,Paramètres!$A$1:$I$89,3,0)*0.475*44/12</f>
        <v>1.8967604562396092</v>
      </c>
      <c r="CM24" s="21">
        <f>EXP(-LN(2)/2)*CM23+(1-EXP(-LN(2)/2))/(LN(2)/2)*CG24*CJ24*VLOOKUP('Données projet'!$B$12,Paramètres!$A$1:$I$89,3,0)*0.475*44/12</f>
        <v>6.6881285958006416</v>
      </c>
      <c r="CN24" s="22">
        <f t="shared" si="12"/>
        <v>10.504292134058851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16.8</v>
      </c>
      <c r="N25" s="13">
        <f>IF('Données projet'!$A$36&gt;35,N24+M25-V24,IF(A25&lt;'Données projet'!$A$36,$K$205^A25,IF(A25='Données projet'!$A$36,'Données projet'!$B$36,N24+M25-V24)))</f>
        <v>114.60000000000001</v>
      </c>
      <c r="O25" s="13">
        <f>N25*VLOOKUP('Données projet'!$B$9,Paramètres!$A$1:$I$89,3,0)*VLOOKUP('Données projet'!$B$9,Paramètres!$A$1:$I$89,5,0)</f>
        <v>91.175760000000011</v>
      </c>
      <c r="P25" s="13">
        <f t="shared" si="33"/>
        <v>24.848575433138123</v>
      </c>
      <c r="Q25" s="20">
        <f t="shared" si="2"/>
        <v>202.07571754604893</v>
      </c>
      <c r="R25" s="59">
        <f t="shared" si="0"/>
        <v>485.63127310160451</v>
      </c>
      <c r="S25" s="59">
        <f ca="1">AVERAGE(OFFSET($R$3,0,0,'Données projet'!$E$9+1,1))-AVERAGE(OFFSET($H$3,0,0,'Données projet'!$E$9+1,1))</f>
        <v>405.40026823646758</v>
      </c>
      <c r="T25" s="59">
        <f t="shared" si="34"/>
        <v>393.0787141050053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7.1722472609422088</v>
      </c>
      <c r="AA25" s="21">
        <f>EXP(-LN(2)/25)*AA24+(1-EXP(-LN(2)/25))/(LN(2)/25)*Calculateur!V25*Calculateur!X25*VLOOKUP('Données projet'!$B$9,Paramètres!$A$1:$I$89,3,0)*0.475*44/12</f>
        <v>7.6010168219281455</v>
      </c>
      <c r="AB25" s="21">
        <f>EXP(-LN(2)/2)*AB24+(1-EXP(-LN(2)/2))/(LN(2)/2)*V25*Y25*VLOOKUP('Données projet'!$B$9,Paramètres!$A$1:$I$89,3,0)*0.475*44/12</f>
        <v>11.187947488916976</v>
      </c>
      <c r="AC25" s="22">
        <f t="shared" si="3"/>
        <v>25.961211571787331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15.8</v>
      </c>
      <c r="AI25" s="13">
        <f>IF('Données projet'!$A$62&gt;35,AI24+AH25-AQ24,IF(A25&lt;'Données projet'!$A$62,$AF$205^A25,IF(A25='Données projet'!$A$62,'Données projet'!$B$62,AI24+AH25-AQ24)))</f>
        <v>135.60000000000002</v>
      </c>
      <c r="AJ25" s="13">
        <f>AI25*VLOOKUP('Données projet'!$B$10,Paramètres!$A$1:$I$89,3,0)*VLOOKUP('Données projet'!$B$10,Paramètres!$A$1:$I$89,5,0)</f>
        <v>118.46016000000003</v>
      </c>
      <c r="AK25" s="13">
        <f t="shared" si="35"/>
        <v>31.315587396029674</v>
      </c>
      <c r="AL25" s="20">
        <f t="shared" si="4"/>
        <v>260.85942671475175</v>
      </c>
      <c r="AM25" s="59">
        <f t="shared" si="5"/>
        <v>544.41498227030729</v>
      </c>
      <c r="AN25" s="59">
        <f ca="1">AVERAGE(OFFSET($AM$3,0,0,'Données projet'!$E$10+1,1))-AVERAGE(OFFSET($H$3,0,0,'Données projet'!$E$10+1,1))</f>
        <v>304.32767345253382</v>
      </c>
      <c r="AO25" s="59">
        <f t="shared" si="36"/>
        <v>427.16091343339173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1.9957056260185291</v>
      </c>
      <c r="AV25" s="21">
        <f>EXP(-LN(2)/25)*AV24+(1-EXP(-LN(2)/25))/(LN(2)/25)*Calculateur!AQ25*Calculateur!AS25*VLOOKUP('Données projet'!$B$10,Paramètres!$A$1:$I$89,3,0)*0.475*44/12</f>
        <v>5.0714616166523188</v>
      </c>
      <c r="AW25" s="21">
        <f>EXP(-LN(2)/2)*AW24+(1-EXP(-LN(2)/2))/(LN(2)/2)*AQ25*AT25*VLOOKUP('Données projet'!$B$10,Paramètres!$A$1:$I$89,3,0)*0.475*44/12</f>
        <v>9.4811934585483471</v>
      </c>
      <c r="AX25" s="21">
        <f t="shared" si="6"/>
        <v>16.548360701219195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80.400000000000006</v>
      </c>
      <c r="BE25" s="13">
        <f>BD25*VLOOKUP('Données projet'!$B$11,Paramètres!$A$1:$I$89,3,0)*VLOOKUP('Données projet'!$B$11,Paramètres!$A$1:$I$89,5,0)</f>
        <v>70.237440000000021</v>
      </c>
      <c r="BF25" s="13">
        <f t="shared" si="37"/>
        <v>19.732410665998678</v>
      </c>
      <c r="BG25" s="20">
        <f t="shared" si="7"/>
        <v>156.69748990994773</v>
      </c>
      <c r="BH25" s="59">
        <f t="shared" si="8"/>
        <v>440.25304546550331</v>
      </c>
      <c r="BI25" s="59">
        <f ca="1">AVERAGE(OFFSET($BH$3,0,0,'Données projet'!$E$11+1,1))-AVERAGE(OFFSET($H$3,0,0,'Données projet'!$E$11+1,1))</f>
        <v>268.31928207836495</v>
      </c>
      <c r="BJ25" s="59">
        <f t="shared" si="38"/>
        <v>277.61304526670204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0.66524459537232661</v>
      </c>
      <c r="BR25" s="21">
        <f>EXP(-LN(2)/2)*BR24+(1-EXP(-LN(2)/2))/(LN(2)/2)*BL25*BO25*VLOOKUP('Données projet'!$B$11,Paramètres!$A$1:$I$89,3,0)*0.475*44/12</f>
        <v>3.5031267285468859</v>
      </c>
      <c r="BS25" s="22">
        <f t="shared" si="9"/>
        <v>4.1683713239192128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</v>
      </c>
      <c r="BY25" s="12">
        <f>IF('Données projet'!$A$114&gt;35,BY24+BX25-CG24,IF(A25&lt;'Données projet'!$A$114,$BV$205^A25,IF(A25='Données projet'!$A$114,'Données projet'!$B$114,BY24+BX25-CG24)))</f>
        <v>56</v>
      </c>
      <c r="BZ25" s="13">
        <f>BY25*VLOOKUP('Données projet'!$B$12,Paramètres!$A$1:$I$89,3,0)*VLOOKUP('Données projet'!$B$12,Paramètres!$A$1:$I$89,5,0)</f>
        <v>44.553600000000003</v>
      </c>
      <c r="CA25" s="13">
        <f t="shared" si="39"/>
        <v>13.197902274122358</v>
      </c>
      <c r="CB25" s="20">
        <f t="shared" si="10"/>
        <v>100.5838664607631</v>
      </c>
      <c r="CC25" s="59">
        <f t="shared" si="11"/>
        <v>384.13942201631863</v>
      </c>
      <c r="CD25" s="59">
        <f ca="1">AVERAGE(OFFSET($CC$3,0,0,'Données projet'!$E$12+1,1))-AVERAGE(OFFSET($H$3,0,0,'Données projet'!$E$12+1,1))</f>
        <v>241.67556898455945</v>
      </c>
      <c r="CE25" s="59">
        <f t="shared" si="40"/>
        <v>237.71070965292648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1.8817647583004951</v>
      </c>
      <c r="CL25" s="21">
        <f>EXP(-LN(2)/25)*CL24+(1-EXP(-LN(2)/25))/(LN(2)/25)*Calculateur!CG25*Calculateur!CI25*VLOOKUP('Données projet'!$B$12,Paramètres!$A$1:$I$89,3,0)*0.475*44/12</f>
        <v>1.8448934418174399</v>
      </c>
      <c r="CM25" s="21">
        <f>EXP(-LN(2)/2)*CM24+(1-EXP(-LN(2)/2))/(LN(2)/2)*CG25*CJ25*VLOOKUP('Données projet'!$B$12,Paramètres!$A$1:$I$89,3,0)*0.475*44/12</f>
        <v>4.7292210835382962</v>
      </c>
      <c r="CN25" s="22">
        <f t="shared" si="12"/>
        <v>8.4558792836562304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16.8</v>
      </c>
      <c r="N26" s="13">
        <f>IF('Données projet'!$A$36&gt;35,N25+M26-V25,IF(A26&lt;'Données projet'!$A$36,$K$205^A26,IF(A26='Données projet'!$A$36,'Données projet'!$B$36,N25+M26-V25)))</f>
        <v>131.4</v>
      </c>
      <c r="O26" s="13">
        <f>N26*VLOOKUP('Données projet'!$B$9,Paramètres!$A$1:$I$89,3,0)*VLOOKUP('Données projet'!$B$9,Paramètres!$A$1:$I$89,5,0)</f>
        <v>104.54184000000002</v>
      </c>
      <c r="P26" s="13">
        <f t="shared" si="33"/>
        <v>28.041215323191079</v>
      </c>
      <c r="Q26" s="20">
        <f t="shared" si="2"/>
        <v>230.91548802122449</v>
      </c>
      <c r="R26" s="59">
        <f t="shared" si="0"/>
        <v>515.69326579900223</v>
      </c>
      <c r="S26" s="59">
        <f ca="1">AVERAGE(OFFSET($R$3,0,0,'Données projet'!$E$9+1,1))-AVERAGE(OFFSET($H$3,0,0,'Données projet'!$E$9+1,1))</f>
        <v>405.40026823646758</v>
      </c>
      <c r="T26" s="59">
        <f t="shared" si="34"/>
        <v>393.0787141050053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7.0316038667940015</v>
      </c>
      <c r="AA26" s="21">
        <f>EXP(-LN(2)/25)*AA25+(1-EXP(-LN(2)/25))/(LN(2)/25)*Calculateur!V26*Calculateur!X26*VLOOKUP('Données projet'!$B$9,Paramètres!$A$1:$I$89,3,0)*0.475*44/12</f>
        <v>7.393166617212418</v>
      </c>
      <c r="AB26" s="21">
        <f>EXP(-LN(2)/2)*AB25+(1-EXP(-LN(2)/2))/(LN(2)/2)*V26*Y26*VLOOKUP('Données projet'!$B$9,Paramètres!$A$1:$I$89,3,0)*0.475*44/12</f>
        <v>7.9110735369722001</v>
      </c>
      <c r="AC26" s="22">
        <f t="shared" si="3"/>
        <v>22.33584402097862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15.8</v>
      </c>
      <c r="AI26" s="13">
        <f>IF('Données projet'!$A$62&gt;35,AI25+AH26-AQ25,IF(A26&lt;'Données projet'!$A$62,$AF$205^A26,IF(A26='Données projet'!$A$62,'Données projet'!$B$62,AI25+AH26-AQ25)))</f>
        <v>151.40000000000003</v>
      </c>
      <c r="AJ26" s="13">
        <f>AI26*VLOOKUP('Données projet'!$B$10,Paramètres!$A$1:$I$89,3,0)*VLOOKUP('Données projet'!$B$10,Paramètres!$A$1:$I$89,5,0)</f>
        <v>132.26304000000005</v>
      </c>
      <c r="AK26" s="13">
        <f t="shared" si="35"/>
        <v>34.518755036434833</v>
      </c>
      <c r="AL26" s="20">
        <f t="shared" si="4"/>
        <v>290.47829302179076</v>
      </c>
      <c r="AM26" s="59">
        <f t="shared" si="5"/>
        <v>575.25607079956853</v>
      </c>
      <c r="AN26" s="59">
        <f ca="1">AVERAGE(OFFSET($AM$3,0,0,'Données projet'!$E$10+1,1))-AVERAGE(OFFSET($H$3,0,0,'Données projet'!$E$10+1,1))</f>
        <v>304.32767345253382</v>
      </c>
      <c r="AO26" s="59">
        <f t="shared" si="36"/>
        <v>427.16091343339173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1.9565710559525431</v>
      </c>
      <c r="AV26" s="21">
        <f>EXP(-LN(2)/25)*AV25+(1-EXP(-LN(2)/25))/(LN(2)/25)*Calculateur!AQ26*Calculateur!AS26*VLOOKUP('Données projet'!$B$10,Paramètres!$A$1:$I$89,3,0)*0.475*44/12</f>
        <v>4.9327822320483854</v>
      </c>
      <c r="AW26" s="21">
        <f>EXP(-LN(2)/2)*AW25+(1-EXP(-LN(2)/2))/(LN(2)/2)*AQ26*AT26*VLOOKUP('Données projet'!$B$10,Paramètres!$A$1:$I$89,3,0)*0.475*44/12</f>
        <v>6.7042161882810722</v>
      </c>
      <c r="AX26" s="21">
        <f t="shared" si="6"/>
        <v>13.593569476282001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89.600000000000009</v>
      </c>
      <c r="BE26" s="13">
        <f>BD26*VLOOKUP('Données projet'!$B$11,Paramètres!$A$1:$I$89,3,0)*VLOOKUP('Données projet'!$B$11,Paramètres!$A$1:$I$89,5,0)</f>
        <v>78.274560000000022</v>
      </c>
      <c r="BF26" s="13">
        <f t="shared" si="37"/>
        <v>21.714771212170209</v>
      </c>
      <c r="BG26" s="20">
        <f t="shared" si="7"/>
        <v>174.14808519452981</v>
      </c>
      <c r="BH26" s="59">
        <f t="shared" si="8"/>
        <v>458.92586297230758</v>
      </c>
      <c r="BI26" s="59">
        <f ca="1">AVERAGE(OFFSET($BH$3,0,0,'Données projet'!$E$11+1,1))-AVERAGE(OFFSET($H$3,0,0,'Données projet'!$E$11+1,1))</f>
        <v>268.31928207836495</v>
      </c>
      <c r="BJ26" s="59">
        <f t="shared" si="38"/>
        <v>277.61304526670204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0.64705344692817746</v>
      </c>
      <c r="BR26" s="21">
        <f>EXP(-LN(2)/2)*BR25+(1-EXP(-LN(2)/2))/(LN(2)/2)*BL26*BO26*VLOOKUP('Données projet'!$B$11,Paramètres!$A$1:$I$89,3,0)*0.475*44/12</f>
        <v>2.4770846651113492</v>
      </c>
      <c r="BS26" s="22">
        <f t="shared" si="9"/>
        <v>3.1241381120395264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</v>
      </c>
      <c r="BY26" s="12">
        <f>IF('Données projet'!$A$114&gt;35,BY25+BX26-CG25,IF(A26&lt;'Données projet'!$A$114,$BV$205^A26,IF(A26='Données projet'!$A$114,'Données projet'!$B$114,BY25+BX26-CG25)))</f>
        <v>66</v>
      </c>
      <c r="BZ26" s="13">
        <f>BY26*VLOOKUP('Données projet'!$B$12,Paramètres!$A$1:$I$89,3,0)*VLOOKUP('Données projet'!$B$12,Paramètres!$A$1:$I$89,5,0)</f>
        <v>52.509600000000006</v>
      </c>
      <c r="CA26" s="13">
        <f t="shared" si="39"/>
        <v>15.260016001659478</v>
      </c>
      <c r="CB26" s="20">
        <f t="shared" si="10"/>
        <v>118.03208120289027</v>
      </c>
      <c r="CC26" s="59">
        <f t="shared" si="11"/>
        <v>402.80985898066803</v>
      </c>
      <c r="CD26" s="59">
        <f ca="1">AVERAGE(OFFSET($CC$3,0,0,'Données projet'!$E$12+1,1))-AVERAGE(OFFSET($H$3,0,0,'Données projet'!$E$12+1,1))</f>
        <v>241.67556898455945</v>
      </c>
      <c r="CE26" s="59">
        <f t="shared" si="40"/>
        <v>237.71070965292648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1.8448644991533927</v>
      </c>
      <c r="CL26" s="21">
        <f>EXP(-LN(2)/25)*CL25+(1-EXP(-LN(2)/25))/(LN(2)/25)*Calculateur!CG26*Calculateur!CI26*VLOOKUP('Données projet'!$B$12,Paramètres!$A$1:$I$89,3,0)*0.475*44/12</f>
        <v>1.7944447336322125</v>
      </c>
      <c r="CM26" s="21">
        <f>EXP(-LN(2)/2)*CM25+(1-EXP(-LN(2)/2))/(LN(2)/2)*CG26*CJ26*VLOOKUP('Données projet'!$B$12,Paramètres!$A$1:$I$89,3,0)*0.475*44/12</f>
        <v>3.3440642979003212</v>
      </c>
      <c r="CN26" s="22">
        <f t="shared" si="12"/>
        <v>6.9833735306859257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16.8</v>
      </c>
      <c r="N27" s="13">
        <f>IF('Données projet'!$A$36&gt;35,N26+M27-V26,IF(A27&lt;'Données projet'!$A$36,$K$205^A27,IF(A27='Données projet'!$A$36,'Données projet'!$B$36,N26+M27-V26)))</f>
        <v>148.20000000000002</v>
      </c>
      <c r="O27" s="13">
        <f>N27*VLOOKUP('Données projet'!$B$9,Paramètres!$A$1:$I$89,3,0)*VLOOKUP('Données projet'!$B$9,Paramètres!$A$1:$I$89,5,0)</f>
        <v>117.90792000000002</v>
      </c>
      <c r="P27" s="13">
        <f t="shared" si="33"/>
        <v>31.186557651984323</v>
      </c>
      <c r="Q27" s="20">
        <f t="shared" si="2"/>
        <v>259.67288191053939</v>
      </c>
      <c r="R27" s="59">
        <f t="shared" si="0"/>
        <v>545.67288191053945</v>
      </c>
      <c r="S27" s="59">
        <f ca="1">AVERAGE(OFFSET($R$3,0,0,'Données projet'!$E$9+1,1))-AVERAGE(OFFSET($H$3,0,0,'Données projet'!$E$9+1,1))</f>
        <v>405.40026823646758</v>
      </c>
      <c r="T27" s="59">
        <f t="shared" si="34"/>
        <v>393.0787141050053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6.8937184038210404</v>
      </c>
      <c r="AA27" s="21">
        <f>EXP(-LN(2)/25)*AA26+(1-EXP(-LN(2)/25))/(LN(2)/25)*Calculateur!V27*Calculateur!X27*VLOOKUP('Données projet'!$B$9,Paramètres!$A$1:$I$89,3,0)*0.475*44/12</f>
        <v>7.1910000872750093</v>
      </c>
      <c r="AB27" s="21">
        <f>EXP(-LN(2)/2)*AB26+(1-EXP(-LN(2)/2))/(LN(2)/2)*V27*Y27*VLOOKUP('Données projet'!$B$9,Paramètres!$A$1:$I$89,3,0)*0.475*44/12</f>
        <v>5.5939737444584887</v>
      </c>
      <c r="AC27" s="22">
        <f t="shared" si="3"/>
        <v>19.678692235554539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15.8</v>
      </c>
      <c r="AI27" s="13">
        <f>IF('Données projet'!$A$62&gt;35,AI26+AH27-AQ26,IF(A27&lt;'Données projet'!$A$62,$AF$205^A27,IF(A27='Données projet'!$A$62,'Données projet'!$B$62,AI26+AH27-AQ26)))</f>
        <v>167.20000000000005</v>
      </c>
      <c r="AJ27" s="13">
        <f>AI27*VLOOKUP('Données projet'!$B$10,Paramètres!$A$1:$I$89,3,0)*VLOOKUP('Données projet'!$B$10,Paramètres!$A$1:$I$89,5,0)</f>
        <v>146.06592000000006</v>
      </c>
      <c r="AK27" s="13">
        <f t="shared" si="35"/>
        <v>37.683173643014399</v>
      </c>
      <c r="AL27" s="20">
        <f t="shared" si="4"/>
        <v>320.0296714282502</v>
      </c>
      <c r="AM27" s="59">
        <f t="shared" si="5"/>
        <v>606.02967142825014</v>
      </c>
      <c r="AN27" s="59">
        <f ca="1">AVERAGE(OFFSET($AM$3,0,0,'Données projet'!$E$10+1,1))-AVERAGE(OFFSET($H$3,0,0,'Données projet'!$E$10+1,1))</f>
        <v>304.32767345253382</v>
      </c>
      <c r="AO27" s="59">
        <f t="shared" si="36"/>
        <v>427.16091343339173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1.9182038909358203</v>
      </c>
      <c r="AV27" s="21">
        <f>EXP(-LN(2)/25)*AV26+(1-EXP(-LN(2)/25))/(LN(2)/25)*Calculateur!AQ27*Calculateur!AS27*VLOOKUP('Données projet'!$B$10,Paramètres!$A$1:$I$89,3,0)*0.475*44/12</f>
        <v>4.7978950425092783</v>
      </c>
      <c r="AW27" s="21">
        <f>EXP(-LN(2)/2)*AW26+(1-EXP(-LN(2)/2))/(LN(2)/2)*AQ27*AT27*VLOOKUP('Données projet'!$B$10,Paramètres!$A$1:$I$89,3,0)*0.475*44/12</f>
        <v>4.7405967292741744</v>
      </c>
      <c r="AX27" s="21">
        <f t="shared" si="6"/>
        <v>11.456695662719273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98.800000000000011</v>
      </c>
      <c r="BE27" s="13">
        <f>BD27*VLOOKUP('Données projet'!$B$11,Paramètres!$A$1:$I$89,3,0)*VLOOKUP('Données projet'!$B$11,Paramètres!$A$1:$I$89,5,0)</f>
        <v>86.311680000000024</v>
      </c>
      <c r="BF27" s="13">
        <f t="shared" si="37"/>
        <v>23.673536308765961</v>
      </c>
      <c r="BG27" s="20">
        <f t="shared" si="7"/>
        <v>191.55758507110076</v>
      </c>
      <c r="BH27" s="59">
        <f t="shared" si="8"/>
        <v>477.55758507110079</v>
      </c>
      <c r="BI27" s="59">
        <f ca="1">AVERAGE(OFFSET($BH$3,0,0,'Données projet'!$E$11+1,1))-AVERAGE(OFFSET($H$3,0,0,'Données projet'!$E$11+1,1))</f>
        <v>268.31928207836495</v>
      </c>
      <c r="BJ27" s="59">
        <f t="shared" si="38"/>
        <v>277.61304526670204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0.62935973639486453</v>
      </c>
      <c r="BR27" s="21">
        <f>EXP(-LN(2)/2)*BR26+(1-EXP(-LN(2)/2))/(LN(2)/2)*BL27*BO27*VLOOKUP('Données projet'!$B$11,Paramètres!$A$1:$I$89,3,0)*0.475*44/12</f>
        <v>1.7515633642734432</v>
      </c>
      <c r="BS27" s="22">
        <f t="shared" si="9"/>
        <v>2.3809231006683076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</v>
      </c>
      <c r="BY27" s="12">
        <f>IF('Données projet'!$A$114&gt;35,BY26+BX27-CG26,IF(A27&lt;'Données projet'!$A$114,$BV$205^A27,IF(A27='Données projet'!$A$114,'Données projet'!$B$114,BY26+BX27-CG26)))</f>
        <v>76</v>
      </c>
      <c r="BZ27" s="13">
        <f>BY27*VLOOKUP('Données projet'!$B$12,Paramètres!$A$1:$I$89,3,0)*VLOOKUP('Données projet'!$B$12,Paramètres!$A$1:$I$89,5,0)</f>
        <v>60.465600000000002</v>
      </c>
      <c r="CA27" s="13">
        <f t="shared" si="39"/>
        <v>17.28593428824821</v>
      </c>
      <c r="CB27" s="20">
        <f t="shared" si="10"/>
        <v>135.41725555203229</v>
      </c>
      <c r="CC27" s="59">
        <f t="shared" si="11"/>
        <v>421.41725555203232</v>
      </c>
      <c r="CD27" s="59">
        <f ca="1">AVERAGE(OFFSET($CC$3,0,0,'Données projet'!$E$12+1,1))-AVERAGE(OFFSET($H$3,0,0,'Données projet'!$E$12+1,1))</f>
        <v>241.67556898455945</v>
      </c>
      <c r="CE27" s="59">
        <f t="shared" si="40"/>
        <v>237.71070965292648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1.8086878315812294</v>
      </c>
      <c r="CL27" s="21">
        <f>EXP(-LN(2)/25)*CL26+(1-EXP(-LN(2)/25))/(LN(2)/25)*Calculateur!CG27*Calculateur!CI27*VLOOKUP('Données projet'!$B$12,Paramètres!$A$1:$I$89,3,0)*0.475*44/12</f>
        <v>1.7453755480252924</v>
      </c>
      <c r="CM27" s="21">
        <f>EXP(-LN(2)/2)*CM26+(1-EXP(-LN(2)/2))/(LN(2)/2)*CG27*CJ27*VLOOKUP('Données projet'!$B$12,Paramètres!$A$1:$I$89,3,0)*0.475*44/12</f>
        <v>2.3646105417691481</v>
      </c>
      <c r="CN27" s="22">
        <f t="shared" si="12"/>
        <v>5.9186739213756692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165</v>
      </c>
      <c r="L28" s="12">
        <f>VLOOKUP(A28,'Données projet'!$A$35:$I$55,9,0)</f>
        <v>16.8</v>
      </c>
      <c r="M28" s="12">
        <f t="array" ref="M28">INDEX(L:L,MIN(IF(ISNUMBER(L28:L224),ROW(L28:L224),"")))</f>
        <v>16.8</v>
      </c>
      <c r="N28" s="13">
        <f>IF('Données projet'!$A$36&gt;35,N27+M28-V27,IF(A28&lt;'Données projet'!$A$36,$K$205^A28,IF(A28='Données projet'!$A$36,'Données projet'!$B$36,N27+M28-V27)))</f>
        <v>165.00000000000003</v>
      </c>
      <c r="O28" s="13">
        <f>N28*VLOOKUP('Données projet'!$B$9,Paramètres!$A$1:$I$89,3,0)*VLOOKUP('Données projet'!$B$9,Paramètres!$A$1:$I$89,5,0)</f>
        <v>131.27400000000003</v>
      </c>
      <c r="P28" s="13">
        <f t="shared" si="33"/>
        <v>34.290576031111669</v>
      </c>
      <c r="Q28" s="20">
        <f t="shared" si="2"/>
        <v>288.35830325418618</v>
      </c>
      <c r="R28" s="59">
        <f t="shared" si="0"/>
        <v>575.58052547640841</v>
      </c>
      <c r="S28" s="59">
        <f ca="1">AVERAGE(OFFSET($R$3,0,0,'Données projet'!$E$9+1,1))-AVERAGE(OFFSET($H$3,0,0,'Données projet'!$E$9+1,1))</f>
        <v>405.40026823646758</v>
      </c>
      <c r="T28" s="59">
        <f t="shared" si="34"/>
        <v>393.0787141050053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42</v>
      </c>
      <c r="W28" s="16">
        <f>IF(ISNA(VLOOKUP(A28,'Données projet'!$A$35:$I$55,5,0)),0%,VLOOKUP(A28,'Données projet'!$A$35:$I$55,5,0)*VLOOKUP('Données projet'!$B$9,Paramètres!$A$1:$I$89,7,0))</f>
        <v>0.159</v>
      </c>
      <c r="X28" s="16">
        <f>IF(ISNA(VLOOKUP(A28,'Données projet'!$A$35:$I$55,6,0)),0%,VLOOKUP(A28,'Données projet'!$A$35:$I$55,6,0)*VLOOKUP('Données projet'!$B$9,Paramètres!$A$1:$I$89,7,0))</f>
        <v>0.21200000000000002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12.631919489036093</v>
      </c>
      <c r="AA28" s="21">
        <f>EXP(-LN(2)/25)*AA27+(1-EXP(-LN(2)/25))/(LN(2)/25)*Calculateur!V28*Calculateur!X28*VLOOKUP('Données projet'!$B$9,Paramètres!$A$1:$I$89,3,0)*0.475*44/12</f>
        <v>14.794704415387859</v>
      </c>
      <c r="AB28" s="21">
        <f>EXP(-LN(2)/2)*AB27+(1-EXP(-LN(2)/2))/(LN(2)/2)*V28*Y28*VLOOKUP('Données projet'!$B$9,Paramètres!$A$1:$I$89,3,0)*0.475*44/12</f>
        <v>13.413978935562692</v>
      </c>
      <c r="AC28" s="22">
        <f t="shared" si="3"/>
        <v>40.840602839986644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183</v>
      </c>
      <c r="AG28" s="12">
        <f>VLOOKUP(A28,'Données projet'!$A$61:$I$81,9,0)</f>
        <v>15.8</v>
      </c>
      <c r="AH28" s="12">
        <f t="array" ref="AH28">INDEX(AG:AG,MIN(IF(ISNUMBER(AG28:AG224),ROW(AG28:AG224),"")))</f>
        <v>15.8</v>
      </c>
      <c r="AI28" s="13">
        <f>IF('Données projet'!$A$62&gt;35,AI27+AH28-AQ27,IF(A28&lt;'Données projet'!$A$62,$AF$205^A28,IF(A28='Données projet'!$A$62,'Données projet'!$B$62,AI27+AH28-AQ27)))</f>
        <v>183.00000000000006</v>
      </c>
      <c r="AJ28" s="13">
        <f>AI28*VLOOKUP('Données projet'!$B$10,Paramètres!$A$1:$I$89,3,0)*VLOOKUP('Données projet'!$B$10,Paramètres!$A$1:$I$89,5,0)</f>
        <v>159.86880000000008</v>
      </c>
      <c r="AK28" s="13">
        <f t="shared" si="35"/>
        <v>40.812921467768035</v>
      </c>
      <c r="AL28" s="20">
        <f t="shared" si="4"/>
        <v>349.52066488969609</v>
      </c>
      <c r="AM28" s="59">
        <f t="shared" si="5"/>
        <v>636.74288711191832</v>
      </c>
      <c r="AN28" s="59">
        <f ca="1">AVERAGE(OFFSET($AM$3,0,0,'Données projet'!$E$10+1,1))-AVERAGE(OFFSET($H$3,0,0,'Données projet'!$E$10+1,1))</f>
        <v>304.32767345253382</v>
      </c>
      <c r="AO28" s="59">
        <f t="shared" si="36"/>
        <v>427.16091343339173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52</v>
      </c>
      <c r="AR28" s="16">
        <f>IF(ISNA(VLOOKUP(A28,'Données projet'!$A$61:$I$81,5,0)),0%,VLOOKUP(A28,'Données projet'!$A$61:$I$81,5,0)*VLOOKUP('Données projet'!$B$10,Paramètres!$A$1:$I$89,7,0))</f>
        <v>4.3000000000000003E-2</v>
      </c>
      <c r="AS28" s="16">
        <f>IF(ISNA(VLOOKUP(A28,'Données projet'!$A$61:$I$81,6,0)),0%,VLOOKUP(A28,'Données projet'!$A$61:$I$81,6,0)*VLOOKUP('Données projet'!$B$10,Paramètres!$A$1:$I$89,7,0))</f>
        <v>0.129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4.0399813157035434</v>
      </c>
      <c r="AV28" s="21">
        <f>EXP(-LN(2)/25)*AV27+(1-EXP(-LN(2)/25))/(LN(2)/25)*Calculateur!AQ28*Calculateur!AS28*VLOOKUP('Données projet'!$B$10,Paramètres!$A$1:$I$89,3,0)*0.475*44/12</f>
        <v>11.119365999458159</v>
      </c>
      <c r="AW28" s="21">
        <f>EXP(-LN(2)/2)*AW27+(1-EXP(-LN(2)/2))/(LN(2)/2)*AQ28*AT28*VLOOKUP('Données projet'!$B$10,Paramètres!$A$1:$I$89,3,0)*0.475*44/12</f>
        <v>16.210643850689102</v>
      </c>
      <c r="AX28" s="21">
        <f t="shared" si="6"/>
        <v>31.369991165850806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108</v>
      </c>
      <c r="BB28" s="12">
        <f>VLOOKUP(A28,'Données projet'!$A$87:$I$107,9,0)</f>
        <v>9.1999999999999993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94.348800000000026</v>
      </c>
      <c r="BF28" s="13">
        <f t="shared" si="37"/>
        <v>25.611153022386485</v>
      </c>
      <c r="BG28" s="20">
        <f t="shared" si="7"/>
        <v>208.93025151398982</v>
      </c>
      <c r="BH28" s="59">
        <f t="shared" si="8"/>
        <v>496.15247373621207</v>
      </c>
      <c r="BI28" s="59">
        <f ca="1">AVERAGE(OFFSET($BH$3,0,0,'Données projet'!$E$11+1,1))-AVERAGE(OFFSET($H$3,0,0,'Données projet'!$E$11+1,1))</f>
        <v>268.31928207836495</v>
      </c>
      <c r="BJ28" s="59">
        <f t="shared" si="38"/>
        <v>277.61304526670204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4.3000000000000003E-2</v>
      </c>
      <c r="BN28" s="16">
        <f>IF(ISNA(VLOOKUP(A28,'Données projet'!$A$87:$I$107,6,0)),0%,VLOOKUP(A28,'Données projet'!$A$87:$I$107,6,0)*VLOOKUP('Données projet'!$B$11,Paramètres!$A$1:$I$89,7,0))</f>
        <v>8.6000000000000007E-2</v>
      </c>
      <c r="BO28" s="16">
        <f>IF(ISNA(VLOOKUP(A28,'Données projet'!$A$87:$I$107,7,0)),0%,VLOOKUP(A28,'Données projet'!$A$87:$I$107,7,0))</f>
        <v>0.4</v>
      </c>
      <c r="BP28" s="21">
        <f>EXP(-LN(2)/35)*BP27+(1-EXP(-LN(2)/35))/(LN(2)/35)*BL28*BM28*VLOOKUP('Données projet'!$B$11,Paramètres!$A$1:$I$89,3,0)*0.475*44/12</f>
        <v>1.0796961165400638</v>
      </c>
      <c r="BQ28" s="21">
        <f>EXP(-LN(2)/25)*BQ27+(1-EXP(-LN(2)/25))/(LN(2)/25)*Calculateur!BL28*Calculateur!BN28*VLOOKUP('Données projet'!$B$11,Paramètres!$A$1:$I$89,3,0)*0.475*44/12</f>
        <v>2.7630397443721009</v>
      </c>
      <c r="BR28" s="21">
        <f>EXP(-LN(2)/2)*BR27+(1-EXP(-LN(2)/2))/(LN(2)/2)*BL28*BO28*VLOOKUP('Données projet'!$B$11,Paramètres!$A$1:$I$89,3,0)*0.475*44/12</f>
        <v>9.8108995035880522</v>
      </c>
      <c r="BS28" s="22">
        <f t="shared" si="9"/>
        <v>13.653635364500218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86</v>
      </c>
      <c r="BW28" s="12">
        <f>VLOOKUP(A28,'Données projet'!$A$113:$I$133,9,0)</f>
        <v>10</v>
      </c>
      <c r="BX28" s="12">
        <f t="array" ref="BX28">INDEX(BW:BW,MIN(IF(ISNUMBER(BW28:BW224),ROW(BW28:BW224),"")))</f>
        <v>10</v>
      </c>
      <c r="BY28" s="12">
        <f>IF('Données projet'!$A$114&gt;35,BY27+BX28-CG27,IF(A28&lt;'Données projet'!$A$114,$BV$205^A28,IF(A28='Données projet'!$A$114,'Données projet'!$B$114,BY27+BX28-CG27)))</f>
        <v>86</v>
      </c>
      <c r="BZ28" s="13">
        <f>BY28*VLOOKUP('Données projet'!$B$12,Paramètres!$A$1:$I$89,3,0)*VLOOKUP('Données projet'!$B$12,Paramètres!$A$1:$I$89,5,0)</f>
        <v>68.421599999999998</v>
      </c>
      <c r="CA28" s="13">
        <f t="shared" si="39"/>
        <v>19.280966457164443</v>
      </c>
      <c r="CB28" s="20">
        <f t="shared" si="10"/>
        <v>152.74863657956141</v>
      </c>
      <c r="CC28" s="59">
        <f t="shared" si="11"/>
        <v>439.97085880178361</v>
      </c>
      <c r="CD28" s="59">
        <f ca="1">AVERAGE(OFFSET($CC$3,0,0,'Données projet'!$E$12+1,1))-AVERAGE(OFFSET($H$3,0,0,'Données projet'!$E$12+1,1))</f>
        <v>241.67556898455945</v>
      </c>
      <c r="CE28" s="59">
        <f t="shared" si="40"/>
        <v>237.71070965292648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21</v>
      </c>
      <c r="CH28" s="16">
        <f>IF(ISNA(VLOOKUP(A28,'Données projet'!$A$113:$I$133,5,0)),0%,VLOOKUP(A28,'Données projet'!$A$113:$I$133,5,0)*VLOOKUP('Données projet'!$B$12,Paramètres!$A$1:$I$89,7,0))</f>
        <v>0.10600000000000001</v>
      </c>
      <c r="CI28" s="16">
        <f>IF(ISNA(VLOOKUP(A28,'Données projet'!$A$113:$I$133,6,0)),0%,VLOOKUP(A28,'Données projet'!$A$113:$I$133,6,0)*VLOOKUP('Données projet'!$B$12,Paramètres!$A$1:$I$89,7,0))</f>
        <v>0.10600000000000001</v>
      </c>
      <c r="CJ28" s="16">
        <f>IF(ISNA(VLOOKUP(A28,'Données projet'!$A$113:$I$133,7,0)),0%,VLOOKUP(A28,'Données projet'!$A$113:$I$133,7,0))</f>
        <v>0.6</v>
      </c>
      <c r="CK28" s="21">
        <f>EXP(-LN(2)/35)*CK27+(1-EXP(-LN(2)/35))/(LN(2)/35)*CG28*CH28*VLOOKUP('Données projet'!$B$12,Paramètres!$A$1:$I$89,3,0)*0.475*44/12</f>
        <v>3.7310147991815485</v>
      </c>
      <c r="CL28" s="21">
        <f>EXP(-LN(2)/25)*CL27+(1-EXP(-LN(2)/25))/(LN(2)/25)*Calculateur!CG28*Calculateur!CI28*VLOOKUP('Données projet'!$B$12,Paramètres!$A$1:$I$89,3,0)*0.475*44/12</f>
        <v>3.647733812793641</v>
      </c>
      <c r="CM28" s="21">
        <f>EXP(-LN(2)/2)*CM27+(1-EXP(-LN(2)/2))/(LN(2)/2)*CG28*CJ28*VLOOKUP('Données projet'!$B$12,Paramètres!$A$1:$I$89,3,0)*0.475*44/12</f>
        <v>11.130474316026751</v>
      </c>
      <c r="CN28" s="22">
        <f t="shared" si="12"/>
        <v>18.50922292800194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16.399999999999999</v>
      </c>
      <c r="N29" s="13">
        <f>IF('Données projet'!$A$36&gt;35,N28+M29-V28,IF(A29&lt;'Données projet'!$A$36,$K$205^A29,IF(A29='Données projet'!$A$36,'Données projet'!$B$36,N28+M29-V28)))</f>
        <v>139.40000000000003</v>
      </c>
      <c r="O29" s="13">
        <f>N29*VLOOKUP('Données projet'!$B$9,Paramètres!$A$1:$I$89,3,0)*VLOOKUP('Données projet'!$B$9,Paramètres!$A$1:$I$89,5,0)</f>
        <v>110.90664000000004</v>
      </c>
      <c r="P29" s="13">
        <f t="shared" si="33"/>
        <v>29.544493872672952</v>
      </c>
      <c r="Q29" s="20">
        <f t="shared" si="2"/>
        <v>244.6190581615721</v>
      </c>
      <c r="R29" s="59">
        <f t="shared" si="0"/>
        <v>533.06350260601653</v>
      </c>
      <c r="S29" s="59">
        <f ca="1">AVERAGE(OFFSET($R$3,0,0,'Données projet'!$E$9+1,1))-AVERAGE(OFFSET($H$3,0,0,'Données projet'!$E$9+1,1))</f>
        <v>405.40026823646758</v>
      </c>
      <c r="T29" s="59">
        <f t="shared" si="34"/>
        <v>393.0787141050053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12.384215252566207</v>
      </c>
      <c r="AA29" s="21">
        <f>EXP(-LN(2)/25)*AA28+(1-EXP(-LN(2)/25))/(LN(2)/25)*Calculateur!V29*Calculateur!X29*VLOOKUP('Données projet'!$B$9,Paramètres!$A$1:$I$89,3,0)*0.475*44/12</f>
        <v>14.390142445129387</v>
      </c>
      <c r="AB29" s="21">
        <f>EXP(-LN(2)/2)*AB28+(1-EXP(-LN(2)/2))/(LN(2)/2)*V29*Y29*VLOOKUP('Données projet'!$B$9,Paramètres!$A$1:$I$89,3,0)*0.475*44/12</f>
        <v>9.4851154680298873</v>
      </c>
      <c r="AC29" s="22">
        <f t="shared" si="3"/>
        <v>36.259473165725481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14.8</v>
      </c>
      <c r="AI29" s="13">
        <f>IF('Données projet'!$A$62&gt;35,AI28+AH29-AQ28,IF(A29&lt;'Données projet'!$A$62,$AF$205^A29,IF(A29='Données projet'!$A$62,'Données projet'!$B$62,AI28+AH29-AQ28)))</f>
        <v>145.80000000000007</v>
      </c>
      <c r="AJ29" s="13">
        <f>AI29*VLOOKUP('Données projet'!$B$10,Paramètres!$A$1:$I$89,3,0)*VLOOKUP('Données projet'!$B$10,Paramètres!$A$1:$I$89,5,0)</f>
        <v>127.37088000000008</v>
      </c>
      <c r="AK29" s="13">
        <f t="shared" si="35"/>
        <v>33.388126388800522</v>
      </c>
      <c r="AL29" s="20">
        <f t="shared" si="4"/>
        <v>279.98860279382774</v>
      </c>
      <c r="AM29" s="59">
        <f t="shared" si="5"/>
        <v>568.43304723827214</v>
      </c>
      <c r="AN29" s="59">
        <f ca="1">AVERAGE(OFFSET($AM$3,0,0,'Données projet'!$E$10+1,1))-AVERAGE(OFFSET($H$3,0,0,'Données projet'!$E$10+1,1))</f>
        <v>304.32767345253382</v>
      </c>
      <c r="AO29" s="59">
        <f t="shared" si="36"/>
        <v>427.16091343339173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3.9607597462478852</v>
      </c>
      <c r="AV29" s="21">
        <f>EXP(-LN(2)/25)*AV28+(1-EXP(-LN(2)/25))/(LN(2)/25)*Calculateur!AQ29*Calculateur!AS29*VLOOKUP('Données projet'!$B$10,Paramètres!$A$1:$I$89,3,0)*0.475*44/12</f>
        <v>10.815306351460931</v>
      </c>
      <c r="AW29" s="21">
        <f>EXP(-LN(2)/2)*AW28+(1-EXP(-LN(2)/2))/(LN(2)/2)*AQ29*AT29*VLOOKUP('Données projet'!$B$10,Paramètres!$A$1:$I$89,3,0)*0.475*44/12</f>
        <v>11.462656194222273</v>
      </c>
      <c r="AX29" s="21">
        <f t="shared" si="6"/>
        <v>26.23872229193109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8.6</v>
      </c>
      <c r="BD29" s="12">
        <f>IF('Données projet'!$A$88&gt;35,BD28+BC29-BL28,IF(A29&lt;'Données projet'!$A$88,$BA$205^A29,IF(A29='Données projet'!$A$88,'Données projet'!$B$88,BD28+BC29-BL28)))</f>
        <v>90.600000000000009</v>
      </c>
      <c r="BE29" s="13">
        <f>BD29*VLOOKUP('Données projet'!$B$11,Paramètres!$A$1:$I$89,3,0)*VLOOKUP('Données projet'!$B$11,Paramètres!$A$1:$I$89,5,0)</f>
        <v>79.148160000000018</v>
      </c>
      <c r="BF29" s="13">
        <f t="shared" si="37"/>
        <v>21.928775232328398</v>
      </c>
      <c r="BG29" s="20">
        <f t="shared" si="7"/>
        <v>176.042328862972</v>
      </c>
      <c r="BH29" s="59">
        <f t="shared" si="8"/>
        <v>464.48677330741646</v>
      </c>
      <c r="BI29" s="59">
        <f ca="1">AVERAGE(OFFSET($BH$3,0,0,'Données projet'!$E$11+1,1))-AVERAGE(OFFSET($H$3,0,0,'Données projet'!$E$11+1,1))</f>
        <v>268.31928207836495</v>
      </c>
      <c r="BJ29" s="59">
        <f t="shared" si="38"/>
        <v>277.61304526670204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1.0585239342443178</v>
      </c>
      <c r="BQ29" s="21">
        <f>EXP(-LN(2)/25)*BQ28+(1-EXP(-LN(2)/25))/(LN(2)/25)*Calculateur!BL29*Calculateur!BN29*VLOOKUP('Données projet'!$B$11,Paramètres!$A$1:$I$89,3,0)*0.475*44/12</f>
        <v>2.6874842772603005</v>
      </c>
      <c r="BR29" s="21">
        <f>EXP(-LN(2)/2)*BR28+(1-EXP(-LN(2)/2))/(LN(2)/2)*BL29*BO29*VLOOKUP('Données projet'!$B$11,Paramètres!$A$1:$I$89,3,0)*0.475*44/12</f>
        <v>6.937353568526845</v>
      </c>
      <c r="BS29" s="22">
        <f t="shared" si="9"/>
        <v>10.683361780031463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74.8</v>
      </c>
      <c r="BZ29" s="13">
        <f>BY29*VLOOKUP('Données projet'!$B$12,Paramètres!$A$1:$I$89,3,0)*VLOOKUP('Données projet'!$B$12,Paramètres!$A$1:$I$89,5,0)</f>
        <v>59.510879999999993</v>
      </c>
      <c r="CA29" s="13">
        <f t="shared" si="39"/>
        <v>17.044545279241799</v>
      </c>
      <c r="CB29" s="20">
        <f t="shared" si="10"/>
        <v>133.33403236134612</v>
      </c>
      <c r="CC29" s="59">
        <f t="shared" si="11"/>
        <v>421.77847680579055</v>
      </c>
      <c r="CD29" s="59">
        <f ca="1">AVERAGE(OFFSET($CC$3,0,0,'Données projet'!$E$12+1,1))-AVERAGE(OFFSET($H$3,0,0,'Données projet'!$E$12+1,1))</f>
        <v>241.67556898455945</v>
      </c>
      <c r="CE29" s="59">
        <f t="shared" si="40"/>
        <v>237.71070965292648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3.6578518746639199</v>
      </c>
      <c r="CL29" s="21">
        <f>EXP(-LN(2)/25)*CL28+(1-EXP(-LN(2)/25))/(LN(2)/25)*Calculateur!CG29*Calculateur!CI29*VLOOKUP('Données projet'!$B$12,Paramètres!$A$1:$I$89,3,0)*0.475*44/12</f>
        <v>3.5479863398568146</v>
      </c>
      <c r="CM29" s="21">
        <f>EXP(-LN(2)/2)*CM28+(1-EXP(-LN(2)/2))/(LN(2)/2)*CG29*CJ29*VLOOKUP('Données projet'!$B$12,Paramètres!$A$1:$I$89,3,0)*0.475*44/12</f>
        <v>7.8704338666852154</v>
      </c>
      <c r="CN29" s="22">
        <f t="shared" si="12"/>
        <v>15.07627208120595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16.399999999999999</v>
      </c>
      <c r="N30" s="13">
        <f>IF('Données projet'!$A$36&gt;35,N29+M30-V29,IF(A30&lt;'Données projet'!$A$36,$K$205^A30,IF(A30='Données projet'!$A$36,'Données projet'!$B$36,N29+M30-V29)))</f>
        <v>155.80000000000004</v>
      </c>
      <c r="O30" s="13">
        <f>N30*VLOOKUP('Données projet'!$B$9,Paramètres!$A$1:$I$89,3,0)*VLOOKUP('Données projet'!$B$9,Paramètres!$A$1:$I$89,5,0)</f>
        <v>123.95448000000005</v>
      </c>
      <c r="P30" s="13">
        <f t="shared" si="33"/>
        <v>32.595569202682604</v>
      </c>
      <c r="Q30" s="20">
        <f t="shared" si="2"/>
        <v>272.65800236133896</v>
      </c>
      <c r="R30" s="59">
        <f t="shared" si="0"/>
        <v>562.3246690280057</v>
      </c>
      <c r="S30" s="59">
        <f ca="1">AVERAGE(OFFSET($R$3,0,0,'Données projet'!$E$9+1,1))-AVERAGE(OFFSET($H$3,0,0,'Données projet'!$E$9+1,1))</f>
        <v>405.40026823646758</v>
      </c>
      <c r="T30" s="59">
        <f t="shared" si="34"/>
        <v>393.0787141050053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12.141368345088829</v>
      </c>
      <c r="AA30" s="21">
        <f>EXP(-LN(2)/25)*AA29+(1-EXP(-LN(2)/25))/(LN(2)/25)*Calculateur!V30*Calculateur!X30*VLOOKUP('Données projet'!$B$9,Paramètres!$A$1:$I$89,3,0)*0.475*44/12</f>
        <v>13.996643243222621</v>
      </c>
      <c r="AB30" s="21">
        <f>EXP(-LN(2)/2)*AB29+(1-EXP(-LN(2)/2))/(LN(2)/2)*V30*Y30*VLOOKUP('Données projet'!$B$9,Paramètres!$A$1:$I$89,3,0)*0.475*44/12</f>
        <v>6.7069894677813471</v>
      </c>
      <c r="AC30" s="22">
        <f t="shared" si="3"/>
        <v>32.845001056092798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14.8</v>
      </c>
      <c r="AI30" s="13">
        <f>IF('Données projet'!$A$62&gt;35,AI29+AH30-AQ29,IF(A30&lt;'Données projet'!$A$62,$AF$205^A30,IF(A30='Données projet'!$A$62,'Données projet'!$B$62,AI29+AH30-AQ29)))</f>
        <v>160.60000000000008</v>
      </c>
      <c r="AJ30" s="13">
        <f>AI30*VLOOKUP('Données projet'!$B$10,Paramètres!$A$1:$I$89,3,0)*VLOOKUP('Données projet'!$B$10,Paramètres!$A$1:$I$89,5,0)</f>
        <v>140.30016000000009</v>
      </c>
      <c r="AK30" s="13">
        <f t="shared" si="35"/>
        <v>36.365759362628388</v>
      </c>
      <c r="AL30" s="20">
        <f t="shared" si="4"/>
        <v>307.69314288991126</v>
      </c>
      <c r="AM30" s="59">
        <f t="shared" si="5"/>
        <v>597.35980955657794</v>
      </c>
      <c r="AN30" s="59">
        <f ca="1">AVERAGE(OFFSET($AM$3,0,0,'Données projet'!$E$10+1,1))-AVERAGE(OFFSET($H$3,0,0,'Données projet'!$E$10+1,1))</f>
        <v>304.32767345253382</v>
      </c>
      <c r="AO30" s="59">
        <f t="shared" si="36"/>
        <v>427.16091343339173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3.8830916634488664</v>
      </c>
      <c r="AV30" s="21">
        <f>EXP(-LN(2)/25)*AV29+(1-EXP(-LN(2)/25))/(LN(2)/25)*Calculateur!AQ30*Calculateur!AS30*VLOOKUP('Données projet'!$B$10,Paramètres!$A$1:$I$89,3,0)*0.475*44/12</f>
        <v>10.519561230527989</v>
      </c>
      <c r="AW30" s="21">
        <f>EXP(-LN(2)/2)*AW29+(1-EXP(-LN(2)/2))/(LN(2)/2)*AQ30*AT30*VLOOKUP('Données projet'!$B$10,Paramètres!$A$1:$I$89,3,0)*0.475*44/12</f>
        <v>8.105321925344553</v>
      </c>
      <c r="AX30" s="21">
        <f t="shared" si="6"/>
        <v>22.507974819321408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8.6</v>
      </c>
      <c r="BD30" s="12">
        <f>IF('Données projet'!$A$88&gt;35,BD29+BC30-BL29,IF(A30&lt;'Données projet'!$A$88,$BA$205^A30,IF(A30='Données projet'!$A$88,'Données projet'!$B$88,BD29+BC30-BL29)))</f>
        <v>99.2</v>
      </c>
      <c r="BE30" s="13">
        <f>BD30*VLOOKUP('Données projet'!$B$11,Paramètres!$A$1:$I$89,3,0)*VLOOKUP('Données projet'!$B$11,Paramètres!$A$1:$I$89,5,0)</f>
        <v>86.661120000000011</v>
      </c>
      <c r="BF30" s="13">
        <f t="shared" si="37"/>
        <v>23.75820438670381</v>
      </c>
      <c r="BG30" s="20">
        <f t="shared" si="7"/>
        <v>192.31365664017582</v>
      </c>
      <c r="BH30" s="59">
        <f t="shared" si="8"/>
        <v>481.98032330684248</v>
      </c>
      <c r="BI30" s="59">
        <f ca="1">AVERAGE(OFFSET($BH$3,0,0,'Données projet'!$E$11+1,1))-AVERAGE(OFFSET($H$3,0,0,'Données projet'!$E$11+1,1))</f>
        <v>268.31928207836495</v>
      </c>
      <c r="BJ30" s="59">
        <f t="shared" si="38"/>
        <v>277.61304526670204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1.0377669255296353</v>
      </c>
      <c r="BQ30" s="21">
        <f>EXP(-LN(2)/25)*BQ29+(1-EXP(-LN(2)/25))/(LN(2)/25)*Calculateur!BL30*Calculateur!BN30*VLOOKUP('Données projet'!$B$11,Paramètres!$A$1:$I$89,3,0)*0.475*44/12</f>
        <v>2.6139948783699616</v>
      </c>
      <c r="BR30" s="21">
        <f>EXP(-LN(2)/2)*BR29+(1-EXP(-LN(2)/2))/(LN(2)/2)*BL30*BO30*VLOOKUP('Données projet'!$B$11,Paramètres!$A$1:$I$89,3,0)*0.475*44/12</f>
        <v>4.905449751794027</v>
      </c>
      <c r="BS30" s="22">
        <f t="shared" si="9"/>
        <v>8.5572115556936232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84.6</v>
      </c>
      <c r="BZ30" s="13">
        <f>BY30*VLOOKUP('Données projet'!$B$12,Paramètres!$A$1:$I$89,3,0)*VLOOKUP('Données projet'!$B$12,Paramètres!$A$1:$I$89,5,0)</f>
        <v>67.307760000000002</v>
      </c>
      <c r="CA30" s="13">
        <f t="shared" si="39"/>
        <v>19.003361078332173</v>
      </c>
      <c r="CB30" s="20">
        <f t="shared" si="10"/>
        <v>150.32520254476188</v>
      </c>
      <c r="CC30" s="59">
        <f t="shared" si="11"/>
        <v>439.99186921142859</v>
      </c>
      <c r="CD30" s="59">
        <f ca="1">AVERAGE(OFFSET($CC$3,0,0,'Données projet'!$E$12+1,1))-AVERAGE(OFFSET($H$3,0,0,'Données projet'!$E$12+1,1))</f>
        <v>241.67556898455945</v>
      </c>
      <c r="CE30" s="59">
        <f t="shared" si="40"/>
        <v>237.71070965292648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3.5861236304711044</v>
      </c>
      <c r="CL30" s="21">
        <f>EXP(-LN(2)/25)*CL29+(1-EXP(-LN(2)/25))/(LN(2)/25)*Calculateur!CG30*Calculateur!CI30*VLOOKUP('Données projet'!$B$12,Paramètres!$A$1:$I$89,3,0)*0.475*44/12</f>
        <v>3.4509664668129374</v>
      </c>
      <c r="CM30" s="21">
        <f>EXP(-LN(2)/2)*CM29+(1-EXP(-LN(2)/2))/(LN(2)/2)*CG30*CJ30*VLOOKUP('Données projet'!$B$12,Paramètres!$A$1:$I$89,3,0)*0.475*44/12</f>
        <v>5.5652371580133764</v>
      </c>
      <c r="CN30" s="22">
        <f t="shared" si="12"/>
        <v>12.602327255297418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16.399999999999999</v>
      </c>
      <c r="N31" s="13">
        <f>IF('Données projet'!$A$36&gt;35,N30+M31-V30,IF(A31&lt;'Données projet'!$A$36,$K$205^A31,IF(A31='Données projet'!$A$36,'Données projet'!$B$36,N30+M31-V30)))</f>
        <v>172.20000000000005</v>
      </c>
      <c r="O31" s="13">
        <f>N31*VLOOKUP('Données projet'!$B$9,Paramètres!$A$1:$I$89,3,0)*VLOOKUP('Données projet'!$B$9,Paramètres!$A$1:$I$89,5,0)</f>
        <v>137.00232000000005</v>
      </c>
      <c r="P31" s="13">
        <f t="shared" si="33"/>
        <v>35.609416420931346</v>
      </c>
      <c r="Q31" s="20">
        <f t="shared" si="2"/>
        <v>300.63210759978887</v>
      </c>
      <c r="R31" s="59">
        <f t="shared" si="0"/>
        <v>591.52099648867772</v>
      </c>
      <c r="S31" s="59">
        <f ca="1">AVERAGE(OFFSET($R$3,0,0,'Données projet'!$E$9+1,1))-AVERAGE(OFFSET($H$3,0,0,'Données projet'!$E$9+1,1))</f>
        <v>405.40026823646758</v>
      </c>
      <c r="T31" s="59">
        <f t="shared" si="34"/>
        <v>393.0787141050053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11.903283517345095</v>
      </c>
      <c r="AA31" s="21">
        <f>EXP(-LN(2)/25)*AA30+(1-EXP(-LN(2)/25))/(LN(2)/25)*Calculateur!V31*Calculateur!X31*VLOOKUP('Données projet'!$B$9,Paramètres!$A$1:$I$89,3,0)*0.475*44/12</f>
        <v>13.61390429768522</v>
      </c>
      <c r="AB31" s="21">
        <f>EXP(-LN(2)/2)*AB30+(1-EXP(-LN(2)/2))/(LN(2)/2)*V31*Y31*VLOOKUP('Données projet'!$B$9,Paramètres!$A$1:$I$89,3,0)*0.475*44/12</f>
        <v>4.7425577340149445</v>
      </c>
      <c r="AC31" s="22">
        <f t="shared" si="3"/>
        <v>30.25974554904526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14.8</v>
      </c>
      <c r="AI31" s="13">
        <f>IF('Données projet'!$A$62&gt;35,AI30+AH31-AQ30,IF(A31&lt;'Données projet'!$A$62,$AF$205^A31,IF(A31='Données projet'!$A$62,'Données projet'!$B$62,AI30+AH31-AQ30)))</f>
        <v>175.40000000000009</v>
      </c>
      <c r="AJ31" s="13">
        <f>AI31*VLOOKUP('Données projet'!$B$10,Paramètres!$A$1:$I$89,3,0)*VLOOKUP('Données projet'!$B$10,Paramètres!$A$1:$I$89,5,0)</f>
        <v>153.2294400000001</v>
      </c>
      <c r="AK31" s="13">
        <f t="shared" si="35"/>
        <v>39.311575138468363</v>
      </c>
      <c r="AL31" s="20">
        <f t="shared" si="4"/>
        <v>335.34226803283252</v>
      </c>
      <c r="AM31" s="59">
        <f t="shared" si="5"/>
        <v>626.23115692172132</v>
      </c>
      <c r="AN31" s="59">
        <f ca="1">AVERAGE(OFFSET($AM$3,0,0,'Données projet'!$E$10+1,1))-AVERAGE(OFFSET($H$3,0,0,'Données projet'!$E$10+1,1))</f>
        <v>304.32767345253382</v>
      </c>
      <c r="AO31" s="59">
        <f t="shared" si="36"/>
        <v>427.16091343339173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3.8069466043806837</v>
      </c>
      <c r="AV31" s="21">
        <f>EXP(-LN(2)/25)*AV30+(1-EXP(-LN(2)/25))/(LN(2)/25)*Calculateur!AQ31*Calculateur!AS31*VLOOKUP('Données projet'!$B$10,Paramètres!$A$1:$I$89,3,0)*0.475*44/12</f>
        <v>10.231903275479519</v>
      </c>
      <c r="AW31" s="21">
        <f>EXP(-LN(2)/2)*AW30+(1-EXP(-LN(2)/2))/(LN(2)/2)*AQ31*AT31*VLOOKUP('Données projet'!$B$10,Paramètres!$A$1:$I$89,3,0)*0.475*44/12</f>
        <v>5.7313280971111373</v>
      </c>
      <c r="AX31" s="21">
        <f t="shared" si="6"/>
        <v>19.77017797697134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8.6</v>
      </c>
      <c r="BD31" s="12">
        <f>IF('Données projet'!$A$88&gt;35,BD30+BC31-BL30,IF(A31&lt;'Données projet'!$A$88,$BA$205^A31,IF(A31='Données projet'!$A$88,'Données projet'!$B$88,BD30+BC31-BL30)))</f>
        <v>107.8</v>
      </c>
      <c r="BE31" s="13">
        <f>BD31*VLOOKUP('Données projet'!$B$11,Paramètres!$A$1:$I$89,3,0)*VLOOKUP('Données projet'!$B$11,Paramètres!$A$1:$I$89,5,0)</f>
        <v>94.174080000000004</v>
      </c>
      <c r="BF31" s="13">
        <f t="shared" si="37"/>
        <v>25.569241067746205</v>
      </c>
      <c r="BG31" s="20">
        <f t="shared" si="7"/>
        <v>208.55295085965795</v>
      </c>
      <c r="BH31" s="59">
        <f t="shared" si="8"/>
        <v>499.44183974854684</v>
      </c>
      <c r="BI31" s="59">
        <f ca="1">AVERAGE(OFFSET($BH$3,0,0,'Données projet'!$E$11+1,1))-AVERAGE(OFFSET($H$3,0,0,'Données projet'!$E$11+1,1))</f>
        <v>268.31928207836495</v>
      </c>
      <c r="BJ31" s="59">
        <f t="shared" si="38"/>
        <v>277.61304526670204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1.0174169490953227</v>
      </c>
      <c r="BQ31" s="21">
        <f>EXP(-LN(2)/25)*BQ30+(1-EXP(-LN(2)/25))/(LN(2)/25)*Calculateur!BL31*Calculateur!BN31*VLOOKUP('Données projet'!$B$11,Paramètres!$A$1:$I$89,3,0)*0.475*44/12</f>
        <v>2.5425150509569185</v>
      </c>
      <c r="BR31" s="21">
        <f>EXP(-LN(2)/2)*BR30+(1-EXP(-LN(2)/2))/(LN(2)/2)*BL31*BO31*VLOOKUP('Données projet'!$B$11,Paramètres!$A$1:$I$89,3,0)*0.475*44/12</f>
        <v>3.468676784263423</v>
      </c>
      <c r="BS31" s="22">
        <f t="shared" si="9"/>
        <v>7.0286087843156642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94.399999999999991</v>
      </c>
      <c r="BZ31" s="13">
        <f>BY31*VLOOKUP('Données projet'!$B$12,Paramètres!$A$1:$I$89,3,0)*VLOOKUP('Données projet'!$B$12,Paramètres!$A$1:$I$89,5,0)</f>
        <v>75.104640000000003</v>
      </c>
      <c r="CA31" s="13">
        <f t="shared" si="39"/>
        <v>20.935880066615336</v>
      </c>
      <c r="CB31" s="20">
        <f t="shared" si="10"/>
        <v>167.27057244935506</v>
      </c>
      <c r="CC31" s="59">
        <f t="shared" si="11"/>
        <v>458.15946133824389</v>
      </c>
      <c r="CD31" s="59">
        <f ca="1">AVERAGE(OFFSET($CC$3,0,0,'Données projet'!$E$12+1,1))-AVERAGE(OFFSET($H$3,0,0,'Données projet'!$E$12+1,1))</f>
        <v>241.67556898455945</v>
      </c>
      <c r="CE31" s="59">
        <f t="shared" si="40"/>
        <v>237.71070965292648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3.5158019333970008</v>
      </c>
      <c r="CL31" s="21">
        <f>EXP(-LN(2)/25)*CL30+(1-EXP(-LN(2)/25))/(LN(2)/25)*Calculateur!CG31*Calculateur!CI31*VLOOKUP('Données projet'!$B$12,Paramètres!$A$1:$I$89,3,0)*0.475*44/12</f>
        <v>3.3565996072994984</v>
      </c>
      <c r="CM31" s="21">
        <f>EXP(-LN(2)/2)*CM30+(1-EXP(-LN(2)/2))/(LN(2)/2)*CG31*CJ31*VLOOKUP('Données projet'!$B$12,Paramètres!$A$1:$I$89,3,0)*0.475*44/12</f>
        <v>3.9352169333426086</v>
      </c>
      <c r="CN31" s="22">
        <f t="shared" si="12"/>
        <v>10.807618474039108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16.399999999999999</v>
      </c>
      <c r="N32" s="13">
        <f>IF('Données projet'!$A$36&gt;35,N31+M32-V31,IF(A32&lt;'Données projet'!$A$36,$K$205^A32,IF(A32='Données projet'!$A$36,'Données projet'!$B$36,N31+M32-V31)))</f>
        <v>188.60000000000005</v>
      </c>
      <c r="O32" s="13">
        <f>N32*VLOOKUP('Données projet'!$B$9,Paramètres!$A$1:$I$89,3,0)*VLOOKUP('Données projet'!$B$9,Paramètres!$A$1:$I$89,5,0)</f>
        <v>150.05016000000003</v>
      </c>
      <c r="P32" s="13">
        <f t="shared" si="33"/>
        <v>38.589984439024605</v>
      </c>
      <c r="Q32" s="20">
        <f t="shared" si="2"/>
        <v>328.5482515646346</v>
      </c>
      <c r="R32" s="59">
        <f t="shared" si="0"/>
        <v>620.6593626757458</v>
      </c>
      <c r="S32" s="59">
        <f ca="1">AVERAGE(OFFSET($R$3,0,0,'Données projet'!$E$9+1,1))-AVERAGE(OFFSET($H$3,0,0,'Données projet'!$E$9+1,1))</f>
        <v>405.40026823646758</v>
      </c>
      <c r="T32" s="59">
        <f t="shared" si="34"/>
        <v>393.0787141050053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11.669867387856009</v>
      </c>
      <c r="AA32" s="21">
        <f>EXP(-LN(2)/25)*AA31+(1-EXP(-LN(2)/25))/(LN(2)/25)*Calculateur!V32*Calculateur!X32*VLOOKUP('Données projet'!$B$9,Paramètres!$A$1:$I$89,3,0)*0.475*44/12</f>
        <v>13.241631368740906</v>
      </c>
      <c r="AB32" s="21">
        <f>EXP(-LN(2)/2)*AB31+(1-EXP(-LN(2)/2))/(LN(2)/2)*V32*Y32*VLOOKUP('Données projet'!$B$9,Paramètres!$A$1:$I$89,3,0)*0.475*44/12</f>
        <v>3.3534947338906744</v>
      </c>
      <c r="AC32" s="22">
        <f t="shared" si="3"/>
        <v>28.264993490487587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</v>
      </c>
      <c r="AI32" s="13">
        <f>IF('Données projet'!$A$62&gt;35,AI31+AH32-AQ31,IF(A32&lt;'Données projet'!$A$62,$AF$205^A32,IF(A32='Données projet'!$A$62,'Données projet'!$B$62,AI31+AH32-AQ31)))</f>
        <v>190.2000000000001</v>
      </c>
      <c r="AJ32" s="13">
        <f>AI32*VLOOKUP('Données projet'!$B$10,Paramètres!$A$1:$I$89,3,0)*VLOOKUP('Données projet'!$B$10,Paramètres!$A$1:$I$89,5,0)</f>
        <v>166.15872000000013</v>
      </c>
      <c r="AK32" s="13">
        <f t="shared" si="35"/>
        <v>42.228563636586422</v>
      </c>
      <c r="AL32" s="20">
        <f t="shared" si="4"/>
        <v>362.94118566705487</v>
      </c>
      <c r="AM32" s="59">
        <f t="shared" si="5"/>
        <v>655.05229677816601</v>
      </c>
      <c r="AN32" s="59">
        <f ca="1">AVERAGE(OFFSET($AM$3,0,0,'Données projet'!$E$10+1,1))-AVERAGE(OFFSET($H$3,0,0,'Données projet'!$E$10+1,1))</f>
        <v>304.32767345253382</v>
      </c>
      <c r="AO32" s="59">
        <f t="shared" si="36"/>
        <v>427.16091343339173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3.7322947034769278</v>
      </c>
      <c r="AV32" s="21">
        <f>EXP(-LN(2)/25)*AV31+(1-EXP(-LN(2)/25))/(LN(2)/25)*Calculateur!AQ32*Calculateur!AS32*VLOOKUP('Données projet'!$B$10,Paramètres!$A$1:$I$89,3,0)*0.475*44/12</f>
        <v>9.9521113423391245</v>
      </c>
      <c r="AW32" s="21">
        <f>EXP(-LN(2)/2)*AW31+(1-EXP(-LN(2)/2))/(LN(2)/2)*AQ32*AT32*VLOOKUP('Données projet'!$B$10,Paramètres!$A$1:$I$89,3,0)*0.475*44/12</f>
        <v>4.0526609626722774</v>
      </c>
      <c r="AX32" s="21">
        <f t="shared" si="6"/>
        <v>17.737067008488332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8.6</v>
      </c>
      <c r="BD32" s="12">
        <f>IF('Données projet'!$A$88&gt;35,BD31+BC32-BL31,IF(A32&lt;'Données projet'!$A$88,$BA$205^A32,IF(A32='Données projet'!$A$88,'Données projet'!$B$88,BD31+BC32-BL31)))</f>
        <v>116.39999999999999</v>
      </c>
      <c r="BE32" s="13">
        <f>BD32*VLOOKUP('Données projet'!$B$11,Paramètres!$A$1:$I$89,3,0)*VLOOKUP('Données projet'!$B$11,Paramètres!$A$1:$I$89,5,0)</f>
        <v>101.68704</v>
      </c>
      <c r="BF32" s="13">
        <f t="shared" si="37"/>
        <v>27.363519398004541</v>
      </c>
      <c r="BG32" s="20">
        <f t="shared" si="7"/>
        <v>224.76305761819125</v>
      </c>
      <c r="BH32" s="59">
        <f t="shared" si="8"/>
        <v>516.87416872930237</v>
      </c>
      <c r="BI32" s="59">
        <f ca="1">AVERAGE(OFFSET($BH$3,0,0,'Données projet'!$E$11+1,1))-AVERAGE(OFFSET($H$3,0,0,'Données projet'!$E$11+1,1))</f>
        <v>268.31928207836495</v>
      </c>
      <c r="BJ32" s="59">
        <f t="shared" si="38"/>
        <v>277.61304526670204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0.99746602328662681</v>
      </c>
      <c r="BQ32" s="21">
        <f>EXP(-LN(2)/25)*BQ31+(1-EXP(-LN(2)/25))/(LN(2)/25)*Calculateur!BL32*Calculateur!BN32*VLOOKUP('Données projet'!$B$11,Paramètres!$A$1:$I$89,3,0)*0.475*44/12</f>
        <v>2.4729898431834463</v>
      </c>
      <c r="BR32" s="21">
        <f>EXP(-LN(2)/2)*BR31+(1-EXP(-LN(2)/2))/(LN(2)/2)*BL32*BO32*VLOOKUP('Données projet'!$B$11,Paramètres!$A$1:$I$89,3,0)*0.475*44/12</f>
        <v>2.4527248758970135</v>
      </c>
      <c r="BS32" s="22">
        <f t="shared" si="9"/>
        <v>5.9231807423670864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104.19999999999999</v>
      </c>
      <c r="BZ32" s="13">
        <f>BY32*VLOOKUP('Données projet'!$B$12,Paramètres!$A$1:$I$89,3,0)*VLOOKUP('Données projet'!$B$12,Paramètres!$A$1:$I$89,5,0)</f>
        <v>82.901519999999991</v>
      </c>
      <c r="CA32" s="13">
        <f t="shared" si="39"/>
        <v>22.845143166728683</v>
      </c>
      <c r="CB32" s="20">
        <f t="shared" si="10"/>
        <v>184.1754383487191</v>
      </c>
      <c r="CC32" s="59">
        <f t="shared" si="11"/>
        <v>476.28654945983021</v>
      </c>
      <c r="CD32" s="59">
        <f ca="1">AVERAGE(OFFSET($CC$3,0,0,'Données projet'!$E$12+1,1))-AVERAGE(OFFSET($H$3,0,0,'Données projet'!$E$12+1,1))</f>
        <v>241.67556898455945</v>
      </c>
      <c r="CE32" s="59">
        <f t="shared" si="40"/>
        <v>237.71070965292648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3.4468592019105202</v>
      </c>
      <c r="CL32" s="21">
        <f>EXP(-LN(2)/25)*CL31+(1-EXP(-LN(2)/25))/(LN(2)/25)*Calculateur!CG32*Calculateur!CI32*VLOOKUP('Données projet'!$B$12,Paramètres!$A$1:$I$89,3,0)*0.475*44/12</f>
        <v>3.2648132145219919</v>
      </c>
      <c r="CM32" s="21">
        <f>EXP(-LN(2)/2)*CM31+(1-EXP(-LN(2)/2))/(LN(2)/2)*CG32*CJ32*VLOOKUP('Données projet'!$B$12,Paramètres!$A$1:$I$89,3,0)*0.475*44/12</f>
        <v>2.7826185790066886</v>
      </c>
      <c r="CN32" s="22">
        <f t="shared" si="12"/>
        <v>9.4942909954392007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205</v>
      </c>
      <c r="L33" s="12">
        <f>VLOOKUP(A33,'Données projet'!$A$35:$I$55,9,0)</f>
        <v>16.399999999999999</v>
      </c>
      <c r="M33" s="12">
        <f t="array" ref="M33">INDEX(L:L,MIN(IF(ISNUMBER(L33:L229),ROW(L33:L229),"")))</f>
        <v>16.399999999999999</v>
      </c>
      <c r="N33" s="13">
        <f>IF('Données projet'!$A$36&gt;35,N32+M33-V32,IF(A33&lt;'Données projet'!$A$36,$K$205^A33,IF(A33='Données projet'!$A$36,'Données projet'!$B$36,N32+M33-V32)))</f>
        <v>205.00000000000006</v>
      </c>
      <c r="O33" s="13">
        <f>N33*VLOOKUP('Données projet'!$B$9,Paramètres!$A$1:$I$89,3,0)*VLOOKUP('Données projet'!$B$9,Paramètres!$A$1:$I$89,5,0)</f>
        <v>163.09800000000004</v>
      </c>
      <c r="P33" s="13">
        <f t="shared" si="33"/>
        <v>41.540496136845142</v>
      </c>
      <c r="Q33" s="20">
        <f t="shared" si="2"/>
        <v>356.41204743833867</v>
      </c>
      <c r="R33" s="59">
        <f t="shared" si="0"/>
        <v>649.74538077167199</v>
      </c>
      <c r="S33" s="59">
        <f ca="1">AVERAGE(OFFSET($R$3,0,0,'Données projet'!$E$9+1,1))-AVERAGE(OFFSET($H$3,0,0,'Données projet'!$E$9+1,1))</f>
        <v>405.40026823646758</v>
      </c>
      <c r="T33" s="59">
        <f t="shared" si="34"/>
        <v>393.0787141050053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42</v>
      </c>
      <c r="W33" s="16">
        <f>IF(ISNA(VLOOKUP(A33,'Données projet'!$A$35:$I$55,5,0)),0%,VLOOKUP(A33,'Données projet'!$A$35:$I$55,5,0)*VLOOKUP('Données projet'!$B$9,Paramètres!$A$1:$I$89,7,0))</f>
        <v>0.159</v>
      </c>
      <c r="X33" s="16">
        <f>IF(ISNA(VLOOKUP(A33,'Données projet'!$A$35:$I$55,6,0)),0%,VLOOKUP(A33,'Données projet'!$A$35:$I$55,6,0)*VLOOKUP('Données projet'!$B$9,Paramètres!$A$1:$I$89,7,0))</f>
        <v>0.21200000000000002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17.314411104657363</v>
      </c>
      <c r="AA33" s="21">
        <f>EXP(-LN(2)/25)*AA32+(1-EXP(-LN(2)/25))/(LN(2)/25)*Calculateur!V33*Calculateur!X33*VLOOKUP('Données projet'!$B$9,Paramètres!$A$1:$I$89,3,0)*0.475*44/12</f>
        <v>20.679880866273201</v>
      </c>
      <c r="AB33" s="21">
        <f>EXP(-LN(2)/2)*AB32+(1-EXP(-LN(2)/2))/(LN(2)/2)*V33*Y33*VLOOKUP('Données projet'!$B$9,Paramètres!$A$1:$I$89,3,0)*0.475*44/12</f>
        <v>11.829721034084063</v>
      </c>
      <c r="AC33" s="22">
        <f t="shared" si="3"/>
        <v>49.824013005014621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14.8</v>
      </c>
      <c r="AH33" s="12">
        <f t="array" ref="AH33">INDEX(AG:AG,MIN(IF(ISNUMBER(AG33:AG229),ROW(AG33:AG229),"")))</f>
        <v>14.8</v>
      </c>
      <c r="AI33" s="13">
        <f>IF('Données projet'!$A$62&gt;35,AI32+AH33-AQ32,IF(A33&lt;'Données projet'!$A$62,$AF$205^A33,IF(A33='Données projet'!$A$62,'Données projet'!$B$62,AI32+AH33-AQ32)))</f>
        <v>205.00000000000011</v>
      </c>
      <c r="AJ33" s="13">
        <f>AI33*VLOOKUP('Données projet'!$B$10,Paramètres!$A$1:$I$89,3,0)*VLOOKUP('Données projet'!$B$10,Paramètres!$A$1:$I$89,5,0)</f>
        <v>179.08800000000011</v>
      </c>
      <c r="AK33" s="13">
        <f t="shared" si="35"/>
        <v>45.119223023956877</v>
      </c>
      <c r="AL33" s="20">
        <f t="shared" si="4"/>
        <v>390.4942467667251</v>
      </c>
      <c r="AM33" s="59">
        <f t="shared" si="5"/>
        <v>683.82758010005841</v>
      </c>
      <c r="AN33" s="59">
        <f ca="1">AVERAGE(OFFSET($AM$3,0,0,'Données projet'!$E$10+1,1))-AVERAGE(OFFSET($H$3,0,0,'Données projet'!$E$10+1,1))</f>
        <v>304.32767345253382</v>
      </c>
      <c r="AO33" s="59">
        <f t="shared" si="36"/>
        <v>427.16091343339173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51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7.8948375995508275</v>
      </c>
      <c r="AV33" s="21">
        <f>EXP(-LN(2)/25)*AV32+(1-EXP(-LN(2)/25))/(LN(2)/25)*Calculateur!AQ33*Calculateur!AS33*VLOOKUP('Données projet'!$B$10,Paramètres!$A$1:$I$89,3,0)*0.475*44/12</f>
        <v>18.11807679865813</v>
      </c>
      <c r="AW33" s="21">
        <f>EXP(-LN(2)/2)*AW32+(1-EXP(-LN(2)/2))/(LN(2)/2)*AQ33*AT33*VLOOKUP('Données projet'!$B$10,Paramètres!$A$1:$I$89,3,0)*0.475*44/12</f>
        <v>11.273168197068093</v>
      </c>
      <c r="AX33" s="21">
        <f t="shared" si="6"/>
        <v>37.286082595277051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125</v>
      </c>
      <c r="BB33" s="12">
        <f>VLOOKUP(A33,'Données projet'!$A$87:$I$107,9,0)</f>
        <v>8.6</v>
      </c>
      <c r="BC33" s="12">
        <f t="array" ref="BC33">INDEX(BB:BB,MIN(IF(ISNUMBER(BB33:BB229),ROW(BB33:BB229),"")))</f>
        <v>8.6</v>
      </c>
      <c r="BD33" s="12">
        <f>IF('Données projet'!$A$88&gt;35,BD32+BC33-BL32,IF(A33&lt;'Données projet'!$A$88,$BA$205^A33,IF(A33='Données projet'!$A$88,'Données projet'!$B$88,BD32+BC33-BL32)))</f>
        <v>124.99999999999999</v>
      </c>
      <c r="BE33" s="13">
        <f>BD33*VLOOKUP('Données projet'!$B$11,Paramètres!$A$1:$I$89,3,0)*VLOOKUP('Données projet'!$B$11,Paramètres!$A$1:$I$89,5,0)</f>
        <v>109.2</v>
      </c>
      <c r="BF33" s="13">
        <f t="shared" si="37"/>
        <v>29.142418334948612</v>
      </c>
      <c r="BG33" s="20">
        <f t="shared" si="7"/>
        <v>240.94637860003544</v>
      </c>
      <c r="BH33" s="59">
        <f t="shared" si="8"/>
        <v>534.27971193336873</v>
      </c>
      <c r="BI33" s="59">
        <f ca="1">AVERAGE(OFFSET($BH$3,0,0,'Données projet'!$E$11+1,1))-AVERAGE(OFFSET($H$3,0,0,'Données projet'!$E$11+1,1))</f>
        <v>268.31928207836495</v>
      </c>
      <c r="BJ33" s="59">
        <f t="shared" si="38"/>
        <v>277.61304526670204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26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0.129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2.0576024395042403</v>
      </c>
      <c r="BQ33" s="21">
        <f>EXP(-LN(2)/25)*BQ32+(1-EXP(-LN(2)/25))/(LN(2)/25)*Calculateur!BL33*Calculateur!BN33*VLOOKUP('Données projet'!$B$11,Paramètres!$A$1:$I$89,3,0)*0.475*44/12</f>
        <v>5.6317006304710269</v>
      </c>
      <c r="BR33" s="21">
        <f>EXP(-LN(2)/2)*BR32+(1-EXP(-LN(2)/2))/(LN(2)/2)*BL33*BO33*VLOOKUP('Données projet'!$B$11,Paramètres!$A$1:$I$89,3,0)*0.475*44/12</f>
        <v>8.163606270405996</v>
      </c>
      <c r="BS33" s="22">
        <f t="shared" si="9"/>
        <v>15.852909340381263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114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113.99999999999999</v>
      </c>
      <c r="BZ33" s="13">
        <f>BY33*VLOOKUP('Données projet'!$B$12,Paramètres!$A$1:$I$89,3,0)*VLOOKUP('Données projet'!$B$12,Paramètres!$A$1:$I$89,5,0)</f>
        <v>90.698399999999992</v>
      </c>
      <c r="CA33" s="13">
        <f t="shared" si="39"/>
        <v>24.733586403594185</v>
      </c>
      <c r="CB33" s="20">
        <f t="shared" si="10"/>
        <v>201.04404298625983</v>
      </c>
      <c r="CC33" s="59">
        <f t="shared" si="11"/>
        <v>494.37737631959317</v>
      </c>
      <c r="CD33" s="59">
        <f ca="1">AVERAGE(OFFSET($CC$3,0,0,'Données projet'!$E$12+1,1))-AVERAGE(OFFSET($H$3,0,0,'Données projet'!$E$12+1,1))</f>
        <v>241.67556898455945</v>
      </c>
      <c r="CE33" s="59">
        <f t="shared" si="40"/>
        <v>237.71070965292648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0.159</v>
      </c>
      <c r="CI33" s="16">
        <f>IF(ISNA(VLOOKUP(A33,'Données projet'!$A$113:$I$133,6,0)),0%,VLOOKUP(A33,'Données projet'!$A$113:$I$133,6,0)*VLOOKUP('Données projet'!$B$12,Paramètres!$A$1:$I$89,7,0))</f>
        <v>0.21200000000000002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6.3159597445180466</v>
      </c>
      <c r="CL33" s="21">
        <f>EXP(-LN(2)/25)*CL32+(1-EXP(-LN(2)/25))/(LN(2)/25)*Calculateur!CG33*Calculateur!CI33*VLOOKUP('Données projet'!$B$12,Paramètres!$A$1:$I$89,3,0)*0.475*44/12</f>
        <v>7.075708027310645</v>
      </c>
      <c r="CM33" s="21">
        <f>EXP(-LN(2)/2)*CM32+(1-EXP(-LN(2)/2))/(LN(2)/2)*CG33*CJ33*VLOOKUP('Données projet'!$B$12,Paramètres!$A$1:$I$89,3,0)*0.475*44/12</f>
        <v>6.6968295502095998</v>
      </c>
      <c r="CN33" s="22">
        <f t="shared" si="12"/>
        <v>20.088497322038293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15.2</v>
      </c>
      <c r="N34" s="13">
        <f>IF('Données projet'!$A$36&gt;35,N33+M34-V33,IF(A34&lt;'Données projet'!$A$36,$K$205^A34,IF(A34='Données projet'!$A$36,'Données projet'!$B$36,N33+M34-V33)))</f>
        <v>178.20000000000005</v>
      </c>
      <c r="O34" s="13">
        <f>N34*VLOOKUP('Données projet'!$B$9,Paramètres!$A$1:$I$89,3,0)*VLOOKUP('Données projet'!$B$9,Paramètres!$A$1:$I$89,5,0)</f>
        <v>141.77592000000004</v>
      </c>
      <c r="P34" s="13">
        <f t="shared" si="33"/>
        <v>36.703544878441981</v>
      </c>
      <c r="Q34" s="20">
        <f t="shared" si="2"/>
        <v>310.85173466328649</v>
      </c>
      <c r="R34" s="59">
        <f t="shared" si="0"/>
        <v>604.18506799661986</v>
      </c>
      <c r="S34" s="59">
        <f ca="1">AVERAGE(OFFSET($R$3,0,0,'Données projet'!$E$9+1,1))-AVERAGE(OFFSET($H$3,0,0,'Données projet'!$E$9+1,1))</f>
        <v>405.40026823646758</v>
      </c>
      <c r="T34" s="59">
        <f t="shared" si="34"/>
        <v>393.0787141050053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16.974886063643019</v>
      </c>
      <c r="AA34" s="21">
        <f>EXP(-LN(2)/25)*AA33+(1-EXP(-LN(2)/25))/(LN(2)/25)*Calculateur!V34*Calculateur!X34*VLOOKUP('Données projet'!$B$9,Paramètres!$A$1:$I$89,3,0)*0.475*44/12</f>
        <v>20.114388436477292</v>
      </c>
      <c r="AB34" s="21">
        <f>EXP(-LN(2)/2)*AB33+(1-EXP(-LN(2)/2))/(LN(2)/2)*V34*Y34*VLOOKUP('Données projet'!$B$9,Paramètres!$A$1:$I$89,3,0)*0.475*44/12</f>
        <v>8.3648759627459786</v>
      </c>
      <c r="AC34" s="22">
        <f t="shared" si="3"/>
        <v>45.454150462866288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13.6</v>
      </c>
      <c r="AI34" s="13">
        <f>IF('Données projet'!$A$62&gt;35,AI33+AH34-AQ33,IF(A34&lt;'Données projet'!$A$62,$AF$205^A34,IF(A34='Données projet'!$A$62,'Données projet'!$B$62,AI33+AH34-AQ33)))</f>
        <v>167.60000000000011</v>
      </c>
      <c r="AJ34" s="13">
        <f>AI34*VLOOKUP('Données projet'!$B$10,Paramètres!$A$1:$I$89,3,0)*VLOOKUP('Données projet'!$B$10,Paramètres!$A$1:$I$89,5,0)</f>
        <v>146.41536000000011</v>
      </c>
      <c r="AK34" s="13">
        <f t="shared" si="35"/>
        <v>37.762820103024502</v>
      </c>
      <c r="AL34" s="20">
        <f t="shared" si="4"/>
        <v>320.77699701276782</v>
      </c>
      <c r="AM34" s="59">
        <f t="shared" si="5"/>
        <v>614.11033034610114</v>
      </c>
      <c r="AN34" s="59">
        <f ca="1">AVERAGE(OFFSET($AM$3,0,0,'Données projet'!$E$10+1,1))-AVERAGE(OFFSET($H$3,0,0,'Données projet'!$E$10+1,1))</f>
        <v>304.32767345253382</v>
      </c>
      <c r="AO34" s="59">
        <f t="shared" si="36"/>
        <v>427.16091343339173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7.7400246495990928</v>
      </c>
      <c r="AV34" s="21">
        <f>EXP(-LN(2)/25)*AV33+(1-EXP(-LN(2)/25))/(LN(2)/25)*Calculateur!AQ34*Calculateur!AS34*VLOOKUP('Données projet'!$B$10,Paramètres!$A$1:$I$89,3,0)*0.475*44/12</f>
        <v>17.622637035810573</v>
      </c>
      <c r="AW34" s="21">
        <f>EXP(-LN(2)/2)*AW33+(1-EXP(-LN(2)/2))/(LN(2)/2)*AQ34*AT34*VLOOKUP('Données projet'!$B$10,Paramètres!$A$1:$I$89,3,0)*0.475*44/12</f>
        <v>7.9713336776033756</v>
      </c>
      <c r="AX34" s="21">
        <f t="shared" si="6"/>
        <v>33.333995363013045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7.8</v>
      </c>
      <c r="BD34" s="12">
        <f>IF('Données projet'!$A$88&gt;35,BD33+BC34-BL33,IF(A34&lt;'Données projet'!$A$88,$BA$205^A34,IF(A34='Données projet'!$A$88,'Données projet'!$B$88,BD33+BC34-BL33)))</f>
        <v>106.79999999999998</v>
      </c>
      <c r="BE34" s="13">
        <f>BD34*VLOOKUP('Données projet'!$B$11,Paramètres!$A$1:$I$89,3,0)*VLOOKUP('Données projet'!$B$11,Paramètres!$A$1:$I$89,5,0)</f>
        <v>93.300479999999993</v>
      </c>
      <c r="BF34" s="13">
        <f t="shared" si="37"/>
        <v>25.35954513622837</v>
      </c>
      <c r="BG34" s="20">
        <f t="shared" si="7"/>
        <v>206.66621044559773</v>
      </c>
      <c r="BH34" s="59">
        <f t="shared" si="8"/>
        <v>499.99954377893107</v>
      </c>
      <c r="BI34" s="59">
        <f ca="1">AVERAGE(OFFSET($BH$3,0,0,'Données projet'!$E$11+1,1))-AVERAGE(OFFSET($H$3,0,0,'Données projet'!$E$11+1,1))</f>
        <v>268.31928207836495</v>
      </c>
      <c r="BJ34" s="59">
        <f t="shared" si="38"/>
        <v>277.61304526670204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2.017254110679128</v>
      </c>
      <c r="BQ34" s="21">
        <f>EXP(-LN(2)/25)*BQ33+(1-EXP(-LN(2)/25))/(LN(2)/25)*Calculateur!BL34*Calculateur!BN34*VLOOKUP('Données projet'!$B$11,Paramètres!$A$1:$I$89,3,0)*0.475*44/12</f>
        <v>5.4777014805725317</v>
      </c>
      <c r="BR34" s="21">
        <f>EXP(-LN(2)/2)*BR33+(1-EXP(-LN(2)/2))/(LN(2)/2)*BL34*BO34*VLOOKUP('Données projet'!$B$11,Paramètres!$A$1:$I$89,3,0)*0.475*44/12</f>
        <v>5.7725413527411007</v>
      </c>
      <c r="BS34" s="22">
        <f t="shared" si="9"/>
        <v>13.267496943992761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8.6</v>
      </c>
      <c r="BY34" s="12">
        <f>IF('Données projet'!$A$114&gt;35,BY33+BX34-CG33,IF(A34&lt;'Données projet'!$A$114,$BV$205^A34,IF(A34='Données projet'!$A$114,'Données projet'!$B$114,BY33+BX34-CG33)))</f>
        <v>101.59999999999998</v>
      </c>
      <c r="BZ34" s="13">
        <f>BY34*VLOOKUP('Données projet'!$B$12,Paramètres!$A$1:$I$89,3,0)*VLOOKUP('Données projet'!$B$12,Paramètres!$A$1:$I$89,5,0)</f>
        <v>80.832959999999986</v>
      </c>
      <c r="CA34" s="13">
        <f t="shared" si="39"/>
        <v>22.340724239136428</v>
      </c>
      <c r="CB34" s="20">
        <f t="shared" si="10"/>
        <v>179.69416671649591</v>
      </c>
      <c r="CC34" s="59">
        <f t="shared" si="11"/>
        <v>473.0275000498292</v>
      </c>
      <c r="CD34" s="59">
        <f ca="1">AVERAGE(OFFSET($CC$3,0,0,'Données projet'!$E$12+1,1))-AVERAGE(OFFSET($H$3,0,0,'Données projet'!$E$12+1,1))</f>
        <v>241.67556898455945</v>
      </c>
      <c r="CE34" s="59">
        <f t="shared" si="40"/>
        <v>237.71070965292648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6.1921076262831036</v>
      </c>
      <c r="CL34" s="21">
        <f>EXP(-LN(2)/25)*CL33+(1-EXP(-LN(2)/25))/(LN(2)/25)*Calculateur!CG34*Calculateur!CI34*VLOOKUP('Données projet'!$B$12,Paramètres!$A$1:$I$89,3,0)*0.475*44/12</f>
        <v>6.8822224192085217</v>
      </c>
      <c r="CM34" s="21">
        <f>EXP(-LN(2)/2)*CM33+(1-EXP(-LN(2)/2))/(LN(2)/2)*CG34*CJ34*VLOOKUP('Données projet'!$B$12,Paramètres!$A$1:$I$89,3,0)*0.475*44/12</f>
        <v>4.7353735874036653</v>
      </c>
      <c r="CN34" s="22">
        <f t="shared" si="12"/>
        <v>17.809703632895289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15.2</v>
      </c>
      <c r="N35" s="13">
        <f>IF('Données projet'!$A$36&gt;35,N34+M35-V34,IF(A35&lt;'Données projet'!$A$36,$K$205^A35,IF(A35='Données projet'!$A$36,'Données projet'!$B$36,N34+M35-V34)))</f>
        <v>193.40000000000003</v>
      </c>
      <c r="O35" s="13">
        <f>N35*VLOOKUP('Données projet'!$B$9,Paramètres!$A$1:$I$89,3,0)*VLOOKUP('Données projet'!$B$9,Paramètres!$A$1:$I$89,5,0)</f>
        <v>153.86904000000004</v>
      </c>
      <c r="P35" s="13">
        <f t="shared" si="33"/>
        <v>39.456531419736123</v>
      </c>
      <c r="Q35" s="20">
        <f t="shared" ref="Q35:Q66" si="53">(O35+P35)*0.475*44/12</f>
        <v>336.70870355604046</v>
      </c>
      <c r="R35" s="59">
        <f t="shared" si="0"/>
        <v>630.04203688937378</v>
      </c>
      <c r="S35" s="59">
        <f ca="1">AVERAGE(OFFSET($R$3,0,0,'Données projet'!$E$9+1,1))-AVERAGE(OFFSET($H$3,0,0,'Données projet'!$E$9+1,1))</f>
        <v>405.40026823646758</v>
      </c>
      <c r="T35" s="59">
        <f t="shared" si="34"/>
        <v>393.0787141050053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16.64201890159314</v>
      </c>
      <c r="AA35" s="21">
        <f>EXP(-LN(2)/25)*AA34+(1-EXP(-LN(2)/25))/(LN(2)/25)*Calculateur!V35*Calculateur!X35*VLOOKUP('Données projet'!$B$9,Paramètres!$A$1:$I$89,3,0)*0.475*44/12</f>
        <v>19.564359426912105</v>
      </c>
      <c r="AB35" s="21">
        <f>EXP(-LN(2)/2)*AB34+(1-EXP(-LN(2)/2))/(LN(2)/2)*V35*Y35*VLOOKUP('Données projet'!$B$9,Paramètres!$A$1:$I$89,3,0)*0.475*44/12</f>
        <v>5.9148605170420323</v>
      </c>
      <c r="AC35" s="22">
        <f t="shared" si="3"/>
        <v>42.121238845547275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13.6</v>
      </c>
      <c r="AI35" s="13">
        <f>IF('Données projet'!$A$62&gt;35,AI34+AH35-AQ34,IF(A35&lt;'Données projet'!$A$62,$AF$205^A35,IF(A35='Données projet'!$A$62,'Données projet'!$B$62,AI34+AH35-AQ34)))</f>
        <v>181.2000000000001</v>
      </c>
      <c r="AJ35" s="13">
        <f>AI35*VLOOKUP('Données projet'!$B$10,Paramètres!$A$1:$I$89,3,0)*VLOOKUP('Données projet'!$B$10,Paramètres!$A$1:$I$89,5,0)</f>
        <v>158.29632000000009</v>
      </c>
      <c r="AK35" s="13">
        <f t="shared" si="35"/>
        <v>40.458006540983739</v>
      </c>
      <c r="AL35" s="20">
        <f t="shared" si="4"/>
        <v>346.16378539221347</v>
      </c>
      <c r="AM35" s="59">
        <f t="shared" si="5"/>
        <v>639.49711872554678</v>
      </c>
      <c r="AN35" s="59">
        <f ca="1">AVERAGE(OFFSET($AM$3,0,0,'Données projet'!$E$10+1,1))-AVERAGE(OFFSET($H$3,0,0,'Données projet'!$E$10+1,1))</f>
        <v>304.32767345253382</v>
      </c>
      <c r="AO35" s="59">
        <f t="shared" si="36"/>
        <v>427.16091343339173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7.5882474871693359</v>
      </c>
      <c r="AV35" s="21">
        <f>EXP(-LN(2)/25)*AV34+(1-EXP(-LN(2)/25))/(LN(2)/25)*Calculateur!AQ35*Calculateur!AS35*VLOOKUP('Données projet'!$B$10,Paramètres!$A$1:$I$89,3,0)*0.475*44/12</f>
        <v>17.140745099332129</v>
      </c>
      <c r="AW35" s="21">
        <f>EXP(-LN(2)/2)*AW34+(1-EXP(-LN(2)/2))/(LN(2)/2)*AQ35*AT35*VLOOKUP('Données projet'!$B$10,Paramètres!$A$1:$I$89,3,0)*0.475*44/12</f>
        <v>5.6365840985340476</v>
      </c>
      <c r="AX35" s="21">
        <f t="shared" si="6"/>
        <v>30.365576685035514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7.8</v>
      </c>
      <c r="BD35" s="12">
        <f>IF('Données projet'!$A$88&gt;35,BD34+BC35-BL34,IF(A35&lt;'Données projet'!$A$88,$BA$205^A35,IF(A35='Données projet'!$A$88,'Données projet'!$B$88,BD34+BC35-BL34)))</f>
        <v>114.59999999999998</v>
      </c>
      <c r="BE35" s="13">
        <f>BD35*VLOOKUP('Données projet'!$B$11,Paramètres!$A$1:$I$89,3,0)*VLOOKUP('Données projet'!$B$11,Paramètres!$A$1:$I$89,5,0)</f>
        <v>100.11456000000001</v>
      </c>
      <c r="BF35" s="13">
        <f t="shared" si="37"/>
        <v>26.989288069695206</v>
      </c>
      <c r="BG35" s="20">
        <f t="shared" si="7"/>
        <v>221.37253538805248</v>
      </c>
      <c r="BH35" s="59">
        <f t="shared" si="8"/>
        <v>514.70586872138574</v>
      </c>
      <c r="BI35" s="59">
        <f ca="1">AVERAGE(OFFSET($BH$3,0,0,'Données projet'!$E$11+1,1))-AVERAGE(OFFSET($H$3,0,0,'Données projet'!$E$11+1,1))</f>
        <v>268.31928207836495</v>
      </c>
      <c r="BJ35" s="59">
        <f t="shared" si="38"/>
        <v>277.61304526670204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1.9776969879722255</v>
      </c>
      <c r="BQ35" s="21">
        <f>EXP(-LN(2)/25)*BQ34+(1-EXP(-LN(2)/25))/(LN(2)/25)*Calculateur!BL35*Calculateur!BN35*VLOOKUP('Données projet'!$B$11,Paramètres!$A$1:$I$89,3,0)*0.475*44/12</f>
        <v>5.3279134455264741</v>
      </c>
      <c r="BR35" s="21">
        <f>EXP(-LN(2)/2)*BR34+(1-EXP(-LN(2)/2))/(LN(2)/2)*BL35*BO35*VLOOKUP('Données projet'!$B$11,Paramètres!$A$1:$I$89,3,0)*0.475*44/12</f>
        <v>4.0818031352029989</v>
      </c>
      <c r="BS35" s="22">
        <f t="shared" si="9"/>
        <v>11.3874135687017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8.6</v>
      </c>
      <c r="BY35" s="12">
        <f>IF('Données projet'!$A$114&gt;35,BY34+BX35-CG34,IF(A35&lt;'Données projet'!$A$114,$BV$205^A35,IF(A35='Données projet'!$A$114,'Données projet'!$B$114,BY34+BX35-CG34)))</f>
        <v>110.19999999999997</v>
      </c>
      <c r="BZ35" s="13">
        <f>BY35*VLOOKUP('Données projet'!$B$12,Paramètres!$A$1:$I$89,3,0)*VLOOKUP('Données projet'!$B$12,Paramètres!$A$1:$I$89,5,0)</f>
        <v>87.675119999999993</v>
      </c>
      <c r="CA35" s="13">
        <f t="shared" si="39"/>
        <v>24.003668728272238</v>
      </c>
      <c r="CB35" s="20">
        <f t="shared" si="10"/>
        <v>194.5072237017408</v>
      </c>
      <c r="CC35" s="59">
        <f t="shared" si="11"/>
        <v>487.84055703507408</v>
      </c>
      <c r="CD35" s="59">
        <f ca="1">AVERAGE(OFFSET($CC$3,0,0,'Données projet'!$E$12+1,1))-AVERAGE(OFFSET($H$3,0,0,'Données projet'!$E$12+1,1))</f>
        <v>241.67556898455945</v>
      </c>
      <c r="CE35" s="59">
        <f t="shared" si="40"/>
        <v>237.71070965292648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6.0706841725444143</v>
      </c>
      <c r="CL35" s="21">
        <f>EXP(-LN(2)/25)*CL34+(1-EXP(-LN(2)/25))/(LN(2)/25)*Calculateur!CG35*Calculateur!CI35*VLOOKUP('Données projet'!$B$12,Paramètres!$A$1:$I$89,3,0)*0.475*44/12</f>
        <v>6.694027685234917</v>
      </c>
      <c r="CM35" s="21">
        <f>EXP(-LN(2)/2)*CM34+(1-EXP(-LN(2)/2))/(LN(2)/2)*CG35*CJ35*VLOOKUP('Données projet'!$B$12,Paramètres!$A$1:$I$89,3,0)*0.475*44/12</f>
        <v>3.3484147751048003</v>
      </c>
      <c r="CN35" s="22">
        <f t="shared" si="12"/>
        <v>16.113126632884132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15.2</v>
      </c>
      <c r="N36" s="13">
        <f>IF('Données projet'!$A$36&gt;35,N35+M36-V35,IF(A36&lt;'Données projet'!$A$36,$K$205^A36,IF(A36='Données projet'!$A$36,'Données projet'!$B$36,N35+M36-V35)))</f>
        <v>208.60000000000002</v>
      </c>
      <c r="O36" s="13">
        <f>N36*VLOOKUP('Données projet'!$B$9,Paramètres!$A$1:$I$89,3,0)*VLOOKUP('Données projet'!$B$9,Paramètres!$A$1:$I$89,5,0)</f>
        <v>165.96216000000001</v>
      </c>
      <c r="P36" s="13">
        <f t="shared" si="33"/>
        <v>42.184420424142857</v>
      </c>
      <c r="Q36" s="20">
        <f t="shared" si="53"/>
        <v>362.52196090538217</v>
      </c>
      <c r="R36" s="59">
        <f t="shared" si="0"/>
        <v>655.85529423871549</v>
      </c>
      <c r="S36" s="59">
        <f ca="1">AVERAGE(OFFSET($R$3,0,0,'Données projet'!$E$9+1,1))-AVERAGE(OFFSET($H$3,0,0,'Données projet'!$E$9+1,1))</f>
        <v>405.40026823646758</v>
      </c>
      <c r="T36" s="59">
        <f t="shared" si="34"/>
        <v>393.0787141050053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16.315679061562136</v>
      </c>
      <c r="AA36" s="21">
        <f>EXP(-LN(2)/25)*AA35+(1-EXP(-LN(2)/25))/(LN(2)/25)*Calculateur!V36*Calculateur!X36*VLOOKUP('Données projet'!$B$9,Paramètres!$A$1:$I$89,3,0)*0.475*44/12</f>
        <v>19.029370989538247</v>
      </c>
      <c r="AB36" s="21">
        <f>EXP(-LN(2)/2)*AB35+(1-EXP(-LN(2)/2))/(LN(2)/2)*V36*Y36*VLOOKUP('Données projet'!$B$9,Paramètres!$A$1:$I$89,3,0)*0.475*44/12</f>
        <v>4.1824379813729902</v>
      </c>
      <c r="AC36" s="22">
        <f t="shared" si="3"/>
        <v>39.527488032473379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13.6</v>
      </c>
      <c r="AI36" s="13">
        <f>IF('Données projet'!$A$62&gt;35,AI35+AH36-AQ35,IF(A36&lt;'Données projet'!$A$62,$AF$205^A36,IF(A36='Données projet'!$A$62,'Données projet'!$B$62,AI35+AH36-AQ35)))</f>
        <v>194.8000000000001</v>
      </c>
      <c r="AJ36" s="13">
        <f>AI36*VLOOKUP('Données projet'!$B$10,Paramètres!$A$1:$I$89,3,0)*VLOOKUP('Données projet'!$B$10,Paramètres!$A$1:$I$89,5,0)</f>
        <v>170.17728000000011</v>
      </c>
      <c r="AK36" s="13">
        <f t="shared" si="35"/>
        <v>43.129725999134671</v>
      </c>
      <c r="AL36" s="20">
        <f t="shared" si="4"/>
        <v>371.50970211515977</v>
      </c>
      <c r="AM36" s="59">
        <f t="shared" si="5"/>
        <v>664.84303544849308</v>
      </c>
      <c r="AN36" s="59">
        <f ca="1">AVERAGE(OFFSET($AM$3,0,0,'Données projet'!$E$10+1,1))-AVERAGE(OFFSET($H$3,0,0,'Données projet'!$E$10+1,1))</f>
        <v>304.32767345253382</v>
      </c>
      <c r="AO36" s="59">
        <f t="shared" si="36"/>
        <v>427.16091343339173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7.4394465823198983</v>
      </c>
      <c r="AV36" s="21">
        <f>EXP(-LN(2)/25)*AV35+(1-EXP(-LN(2)/25))/(LN(2)/25)*Calculateur!AQ36*Calculateur!AS36*VLOOKUP('Données projet'!$B$10,Paramètres!$A$1:$I$89,3,0)*0.475*44/12</f>
        <v>16.672030523198284</v>
      </c>
      <c r="AW36" s="21">
        <f>EXP(-LN(2)/2)*AW35+(1-EXP(-LN(2)/2))/(LN(2)/2)*AQ36*AT36*VLOOKUP('Données projet'!$B$10,Paramètres!$A$1:$I$89,3,0)*0.475*44/12</f>
        <v>3.9856668388016883</v>
      </c>
      <c r="AX36" s="21">
        <f t="shared" si="6"/>
        <v>28.097143944319871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7.8</v>
      </c>
      <c r="BD36" s="12">
        <f>IF('Données projet'!$A$88&gt;35,BD35+BC36-BL35,IF(A36&lt;'Données projet'!$A$88,$BA$205^A36,IF(A36='Données projet'!$A$88,'Données projet'!$B$88,BD35+BC36-BL35)))</f>
        <v>122.39999999999998</v>
      </c>
      <c r="BE36" s="13">
        <f>BD36*VLOOKUP('Données projet'!$B$11,Paramètres!$A$1:$I$89,3,0)*VLOOKUP('Données projet'!$B$11,Paramètres!$A$1:$I$89,5,0)</f>
        <v>106.92864</v>
      </c>
      <c r="BF36" s="13">
        <f t="shared" si="37"/>
        <v>28.606159868782942</v>
      </c>
      <c r="BG36" s="20">
        <f t="shared" si="7"/>
        <v>236.05644310479695</v>
      </c>
      <c r="BH36" s="59">
        <f t="shared" si="8"/>
        <v>529.3897764381303</v>
      </c>
      <c r="BI36" s="59">
        <f ca="1">AVERAGE(OFFSET($BH$3,0,0,'Données projet'!$E$11+1,1))-AVERAGE(OFFSET($H$3,0,0,'Données projet'!$E$11+1,1))</f>
        <v>268.31928207836495</v>
      </c>
      <c r="BJ36" s="59">
        <f t="shared" si="38"/>
        <v>277.61304526670204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1.9389155563141429</v>
      </c>
      <c r="BQ36" s="21">
        <f>EXP(-LN(2)/25)*BQ35+(1-EXP(-LN(2)/25))/(LN(2)/25)*Calculateur!BL36*Calculateur!BN36*VLOOKUP('Données projet'!$B$11,Paramètres!$A$1:$I$89,3,0)*0.475*44/12</f>
        <v>5.1822213721757615</v>
      </c>
      <c r="BR36" s="21">
        <f>EXP(-LN(2)/2)*BR35+(1-EXP(-LN(2)/2))/(LN(2)/2)*BL36*BO36*VLOOKUP('Données projet'!$B$11,Paramètres!$A$1:$I$89,3,0)*0.475*44/12</f>
        <v>2.8862706763705508</v>
      </c>
      <c r="BS36" s="22">
        <f t="shared" si="9"/>
        <v>10.007407604860456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8.6</v>
      </c>
      <c r="BY36" s="12">
        <f>IF('Données projet'!$A$114&gt;35,BY35+BX36-CG35,IF(A36&lt;'Données projet'!$A$114,$BV$205^A36,IF(A36='Données projet'!$A$114,'Données projet'!$B$114,BY35+BX36-CG35)))</f>
        <v>118.79999999999997</v>
      </c>
      <c r="BZ36" s="13">
        <f>BY36*VLOOKUP('Données projet'!$B$12,Paramètres!$A$1:$I$89,3,0)*VLOOKUP('Données projet'!$B$12,Paramètres!$A$1:$I$89,5,0)</f>
        <v>94.517279999999985</v>
      </c>
      <c r="CA36" s="13">
        <f t="shared" si="39"/>
        <v>25.651559566077335</v>
      </c>
      <c r="CB36" s="20">
        <f t="shared" si="10"/>
        <v>209.29406224425134</v>
      </c>
      <c r="CC36" s="59">
        <f t="shared" si="11"/>
        <v>502.62739557758465</v>
      </c>
      <c r="CD36" s="59">
        <f ca="1">AVERAGE(OFFSET($CC$3,0,0,'Données projet'!$E$12+1,1))-AVERAGE(OFFSET($H$3,0,0,'Données projet'!$E$12+1,1))</f>
        <v>241.67556898455945</v>
      </c>
      <c r="CE36" s="59">
        <f t="shared" si="40"/>
        <v>237.71070965292648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5.9516417586725474</v>
      </c>
      <c r="CL36" s="21">
        <f>EXP(-LN(2)/25)*CL35+(1-EXP(-LN(2)/25))/(LN(2)/25)*Calculateur!CG36*Calculateur!CI36*VLOOKUP('Données projet'!$B$12,Paramètres!$A$1:$I$89,3,0)*0.475*44/12</f>
        <v>6.5109791461585518</v>
      </c>
      <c r="CM36" s="21">
        <f>EXP(-LN(2)/2)*CM35+(1-EXP(-LN(2)/2))/(LN(2)/2)*CG36*CJ36*VLOOKUP('Données projet'!$B$12,Paramètres!$A$1:$I$89,3,0)*0.475*44/12</f>
        <v>2.3676867937018331</v>
      </c>
      <c r="CN36" s="22">
        <f t="shared" si="12"/>
        <v>14.830307698532931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15.2</v>
      </c>
      <c r="N37" s="13">
        <f>IF('Données projet'!$A$36&gt;35,N36+M37-V36,IF(A37&lt;'Données projet'!$A$36,$K$205^A37,IF(A37='Données projet'!$A$36,'Données projet'!$B$36,N36+M37-V36)))</f>
        <v>223.8</v>
      </c>
      <c r="O37" s="13">
        <f>N37*VLOOKUP('Données projet'!$B$9,Paramètres!$A$1:$I$89,3,0)*VLOOKUP('Données projet'!$B$9,Paramètres!$A$1:$I$89,5,0)</f>
        <v>178.05528000000001</v>
      </c>
      <c r="P37" s="13">
        <f t="shared" si="33"/>
        <v>44.889248639558041</v>
      </c>
      <c r="Q37" s="20">
        <f t="shared" si="53"/>
        <v>388.29505404723028</v>
      </c>
      <c r="R37" s="59">
        <f t="shared" si="0"/>
        <v>681.62838738056359</v>
      </c>
      <c r="S37" s="59">
        <f ca="1">AVERAGE(OFFSET($R$3,0,0,'Données projet'!$E$9+1,1))-AVERAGE(OFFSET($H$3,0,0,'Données projet'!$E$9+1,1))</f>
        <v>405.40026823646758</v>
      </c>
      <c r="T37" s="59">
        <f t="shared" si="34"/>
        <v>393.0787141050053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15.995738546746493</v>
      </c>
      <c r="AA37" s="21">
        <f>EXP(-LN(2)/25)*AA36+(1-EXP(-LN(2)/25))/(LN(2)/25)*Calculateur!V37*Calculateur!X37*VLOOKUP('Données projet'!$B$9,Paramètres!$A$1:$I$89,3,0)*0.475*44/12</f>
        <v>18.509011839118195</v>
      </c>
      <c r="AB37" s="21">
        <f>EXP(-LN(2)/2)*AB36+(1-EXP(-LN(2)/2))/(LN(2)/2)*V37*Y37*VLOOKUP('Données projet'!$B$9,Paramètres!$A$1:$I$89,3,0)*0.475*44/12</f>
        <v>2.9574302585210166</v>
      </c>
      <c r="AC37" s="22">
        <f t="shared" si="3"/>
        <v>37.462180644385704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13.6</v>
      </c>
      <c r="AI37" s="13">
        <f>IF('Données projet'!$A$62&gt;35,AI36+AH37-AQ36,IF(A37&lt;'Données projet'!$A$62,$AF$205^A37,IF(A37='Données projet'!$A$62,'Données projet'!$B$62,AI36+AH37-AQ36)))</f>
        <v>208.40000000000009</v>
      </c>
      <c r="AJ37" s="13">
        <f>AI37*VLOOKUP('Données projet'!$B$10,Paramètres!$A$1:$I$89,3,0)*VLOOKUP('Données projet'!$B$10,Paramètres!$A$1:$I$89,5,0)</f>
        <v>182.0582400000001</v>
      </c>
      <c r="AK37" s="13">
        <f t="shared" si="35"/>
        <v>45.779803189729343</v>
      </c>
      <c r="AL37" s="20">
        <f t="shared" si="4"/>
        <v>396.81792522211208</v>
      </c>
      <c r="AM37" s="59">
        <f t="shared" si="5"/>
        <v>690.15125855544534</v>
      </c>
      <c r="AN37" s="59">
        <f ca="1">AVERAGE(OFFSET($AM$3,0,0,'Données projet'!$E$10+1,1))-AVERAGE(OFFSET($H$3,0,0,'Données projet'!$E$10+1,1))</f>
        <v>304.32767345253382</v>
      </c>
      <c r="AO37" s="59">
        <f t="shared" si="36"/>
        <v>427.16091343339173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7.2935635724549677</v>
      </c>
      <c r="AV37" s="21">
        <f>EXP(-LN(2)/25)*AV36+(1-EXP(-LN(2)/25))/(LN(2)/25)*Calculateur!AQ37*Calculateur!AS37*VLOOKUP('Données projet'!$B$10,Paramètres!$A$1:$I$89,3,0)*0.475*44/12</f>
        <v>16.216132971797446</v>
      </c>
      <c r="AW37" s="21">
        <f>EXP(-LN(2)/2)*AW36+(1-EXP(-LN(2)/2))/(LN(2)/2)*AQ37*AT37*VLOOKUP('Données projet'!$B$10,Paramètres!$A$1:$I$89,3,0)*0.475*44/12</f>
        <v>2.8182920492670243</v>
      </c>
      <c r="AX37" s="21">
        <f t="shared" si="6"/>
        <v>26.327988593519439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7.8</v>
      </c>
      <c r="BD37" s="12">
        <f>IF('Données projet'!$A$88&gt;35,BD36+BC37-BL36,IF(A37&lt;'Données projet'!$A$88,$BA$205^A37,IF(A37='Données projet'!$A$88,'Données projet'!$B$88,BD36+BC37-BL36)))</f>
        <v>130.19999999999999</v>
      </c>
      <c r="BE37" s="13">
        <f>BD37*VLOOKUP('Données projet'!$B$11,Paramètres!$A$1:$I$89,3,0)*VLOOKUP('Données projet'!$B$11,Paramètres!$A$1:$I$89,5,0)</f>
        <v>113.74272000000002</v>
      </c>
      <c r="BF37" s="13">
        <f t="shared" si="37"/>
        <v>30.211074114233345</v>
      </c>
      <c r="BG37" s="20">
        <f t="shared" si="7"/>
        <v>250.71952474895647</v>
      </c>
      <c r="BH37" s="59">
        <f t="shared" si="8"/>
        <v>544.05285808228973</v>
      </c>
      <c r="BI37" s="59">
        <f ca="1">AVERAGE(OFFSET($BH$3,0,0,'Données projet'!$E$11+1,1))-AVERAGE(OFFSET($H$3,0,0,'Données projet'!$E$11+1,1))</f>
        <v>268.31928207836495</v>
      </c>
      <c r="BJ37" s="59">
        <f t="shared" si="38"/>
        <v>277.61304526670204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1.9008946048765378</v>
      </c>
      <c r="BQ37" s="21">
        <f>EXP(-LN(2)/25)*BQ36+(1-EXP(-LN(2)/25))/(LN(2)/25)*Calculateur!BL37*Calculateur!BN37*VLOOKUP('Données projet'!$B$11,Paramètres!$A$1:$I$89,3,0)*0.475*44/12</f>
        <v>5.0405132562324377</v>
      </c>
      <c r="BR37" s="21">
        <f>EXP(-LN(2)/2)*BR36+(1-EXP(-LN(2)/2))/(LN(2)/2)*BL37*BO37*VLOOKUP('Données projet'!$B$11,Paramètres!$A$1:$I$89,3,0)*0.475*44/12</f>
        <v>2.0409015676014999</v>
      </c>
      <c r="BS37" s="22">
        <f t="shared" si="9"/>
        <v>8.9823094287104759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8.6</v>
      </c>
      <c r="BY37" s="12">
        <f>IF('Données projet'!$A$114&gt;35,BY36+BX37-CG36,IF(A37&lt;'Données projet'!$A$114,$BV$205^A37,IF(A37='Données projet'!$A$114,'Données projet'!$B$114,BY36+BX37-CG36)))</f>
        <v>127.39999999999996</v>
      </c>
      <c r="BZ37" s="13">
        <f>BY37*VLOOKUP('Données projet'!$B$12,Paramètres!$A$1:$I$89,3,0)*VLOOKUP('Données projet'!$B$12,Paramètres!$A$1:$I$89,5,0)</f>
        <v>101.35943999999996</v>
      </c>
      <c r="CA37" s="13">
        <f t="shared" si="39"/>
        <v>27.285610426884961</v>
      </c>
      <c r="CB37" s="20">
        <f t="shared" si="10"/>
        <v>224.05679616015789</v>
      </c>
      <c r="CC37" s="59">
        <f t="shared" si="11"/>
        <v>517.39012949349126</v>
      </c>
      <c r="CD37" s="59">
        <f ca="1">AVERAGE(OFFSET($CC$3,0,0,'Données projet'!$E$12+1,1))-AVERAGE(OFFSET($H$3,0,0,'Données projet'!$E$12+1,1))</f>
        <v>241.67556898455945</v>
      </c>
      <c r="CE37" s="59">
        <f t="shared" si="40"/>
        <v>237.71070965292648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5.8349336939280043</v>
      </c>
      <c r="CL37" s="21">
        <f>EXP(-LN(2)/25)*CL36+(1-EXP(-LN(2)/25))/(LN(2)/25)*Calculateur!CG37*Calculateur!CI37*VLOOKUP('Données projet'!$B$12,Paramètres!$A$1:$I$89,3,0)*0.475*44/12</f>
        <v>6.3329360790093343</v>
      </c>
      <c r="CM37" s="21">
        <f>EXP(-LN(2)/2)*CM36+(1-EXP(-LN(2)/2))/(LN(2)/2)*CG37*CJ37*VLOOKUP('Données projet'!$B$12,Paramètres!$A$1:$I$89,3,0)*0.475*44/12</f>
        <v>1.6742073875524004</v>
      </c>
      <c r="CN37" s="22">
        <f t="shared" si="12"/>
        <v>13.842077160489739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239</v>
      </c>
      <c r="L38" s="12">
        <f>VLOOKUP(A38,'Données projet'!$A$35:$I$55,9,0)</f>
        <v>15.2</v>
      </c>
      <c r="M38" s="12">
        <f t="array" ref="M38">INDEX(L:L,MIN(IF(ISNUMBER(L38:L234),ROW(L38:L234),"")))</f>
        <v>15.2</v>
      </c>
      <c r="N38" s="13">
        <f>IF('Données projet'!$A$36&gt;35,N37+M38-V37,IF(A38&lt;'Données projet'!$A$36,$K$205^A38,IF(A38='Données projet'!$A$36,'Données projet'!$B$36,N37+M38-V37)))</f>
        <v>239</v>
      </c>
      <c r="O38" s="13">
        <f>N38*VLOOKUP('Données projet'!$B$9,Paramètres!$A$1:$I$89,3,0)*VLOOKUP('Données projet'!$B$9,Paramètres!$A$1:$I$89,5,0)</f>
        <v>190.14840000000001</v>
      </c>
      <c r="P38" s="13">
        <f t="shared" si="33"/>
        <v>47.572760493232991</v>
      </c>
      <c r="Q38" s="20">
        <f t="shared" si="53"/>
        <v>414.03102119238082</v>
      </c>
      <c r="R38" s="59">
        <f t="shared" si="0"/>
        <v>707.36435452571413</v>
      </c>
      <c r="S38" s="59">
        <f ca="1">AVERAGE(OFFSET($R$3,0,0,'Données projet'!$E$9+1,1))-AVERAGE(OFFSET($H$3,0,0,'Données projet'!$E$9+1,1))</f>
        <v>405.40026823646758</v>
      </c>
      <c r="T38" s="59">
        <f t="shared" si="34"/>
        <v>393.0787141050053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42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15.682071870281939</v>
      </c>
      <c r="AA38" s="21">
        <f>EXP(-LN(2)/25)*AA37+(1-EXP(-LN(2)/25))/(LN(2)/25)*Calculateur!V38*Calculateur!X38*VLOOKUP('Données projet'!$B$9,Paramètres!$A$1:$I$89,3,0)*0.475*44/12</f>
        <v>18.002881937030878</v>
      </c>
      <c r="AB38" s="21">
        <f>EXP(-LN(2)/2)*AB37+(1-EXP(-LN(2)/2))/(LN(2)/2)*V38*Y38*VLOOKUP('Données projet'!$B$9,Paramètres!$A$1:$I$89,3,0)*0.475*44/12</f>
        <v>2.0912189906864951</v>
      </c>
      <c r="AC38" s="22">
        <f t="shared" si="3"/>
        <v>35.776172797999308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222</v>
      </c>
      <c r="AG38" s="12">
        <f>VLOOKUP(A38,'Données projet'!$A$61:$I$81,9,0)</f>
        <v>13.6</v>
      </c>
      <c r="AH38" s="12">
        <f t="array" ref="AH38">INDEX(AG:AG,MIN(IF(ISNUMBER(AG38:AG234),ROW(AG38:AG234),"")))</f>
        <v>13.6</v>
      </c>
      <c r="AI38" s="13">
        <f>IF('Données projet'!$A$62&gt;35,AI37+AH38-AQ37,IF(A38&lt;'Données projet'!$A$62,$AF$205^A38,IF(A38='Données projet'!$A$62,'Données projet'!$B$62,AI37+AH38-AQ37)))</f>
        <v>222.00000000000009</v>
      </c>
      <c r="AJ38" s="13">
        <f>AI38*VLOOKUP('Données projet'!$B$10,Paramètres!$A$1:$I$89,3,0)*VLOOKUP('Données projet'!$B$10,Paramètres!$A$1:$I$89,5,0)</f>
        <v>193.93920000000011</v>
      </c>
      <c r="AK38" s="13">
        <f t="shared" si="35"/>
        <v>48.409811198069384</v>
      </c>
      <c r="AL38" s="20">
        <f t="shared" si="4"/>
        <v>422.09119450330428</v>
      </c>
      <c r="AM38" s="59">
        <f t="shared" si="5"/>
        <v>715.42452783663759</v>
      </c>
      <c r="AN38" s="59">
        <f ca="1">AVERAGE(OFFSET($AM$3,0,0,'Données projet'!$E$10+1,1))-AVERAGE(OFFSET($H$3,0,0,'Données projet'!$E$10+1,1))</f>
        <v>304.32767345253382</v>
      </c>
      <c r="AO38" s="59">
        <f t="shared" si="36"/>
        <v>427.16091343339173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49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7.1505412394336387</v>
      </c>
      <c r="AV38" s="21">
        <f>EXP(-LN(2)/25)*AV37+(1-EXP(-LN(2)/25))/(LN(2)/25)*Calculateur!AQ38*Calculateur!AS38*VLOOKUP('Données projet'!$B$10,Paramètres!$A$1:$I$89,3,0)*0.475*44/12</f>
        <v>15.772701962914274</v>
      </c>
      <c r="AW38" s="21">
        <f>EXP(-LN(2)/2)*AW37+(1-EXP(-LN(2)/2))/(LN(2)/2)*AQ38*AT38*VLOOKUP('Données projet'!$B$10,Paramètres!$A$1:$I$89,3,0)*0.475*44/12</f>
        <v>1.9928334194008446</v>
      </c>
      <c r="AX38" s="21">
        <f t="shared" si="6"/>
        <v>24.916076621748758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138</v>
      </c>
      <c r="BB38" s="12">
        <f>VLOOKUP(A38,'Données projet'!$A$87:$I$107,9,0)</f>
        <v>7.8</v>
      </c>
      <c r="BC38" s="12">
        <f t="array" ref="BC38">INDEX(BB:BB,MIN(IF(ISNUMBER(BB38:BB234),ROW(BB38:BB234),"")))</f>
        <v>7.8</v>
      </c>
      <c r="BD38" s="12">
        <f>IF('Données projet'!$A$88&gt;35,BD37+BC38-BL37,IF(A38&lt;'Données projet'!$A$88,$BA$205^A38,IF(A38='Données projet'!$A$88,'Données projet'!$B$88,BD37+BC38-BL37)))</f>
        <v>138</v>
      </c>
      <c r="BE38" s="13">
        <f>BD38*VLOOKUP('Données projet'!$B$11,Paramètres!$A$1:$I$89,3,0)*VLOOKUP('Données projet'!$B$11,Paramètres!$A$1:$I$89,5,0)</f>
        <v>120.55680000000001</v>
      </c>
      <c r="BF38" s="13">
        <f t="shared" si="37"/>
        <v>31.804828741198779</v>
      </c>
      <c r="BG38" s="20">
        <f t="shared" si="7"/>
        <v>265.36317005758787</v>
      </c>
      <c r="BH38" s="59">
        <f t="shared" si="8"/>
        <v>558.69650339092118</v>
      </c>
      <c r="BI38" s="59">
        <f ca="1">AVERAGE(OFFSET($BH$3,0,0,'Données projet'!$E$11+1,1))-AVERAGE(OFFSET($H$3,0,0,'Données projet'!$E$11+1,1))</f>
        <v>268.31928207836495</v>
      </c>
      <c r="BJ38" s="59">
        <f t="shared" si="38"/>
        <v>277.61304526670204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1.8636192211061335</v>
      </c>
      <c r="BQ38" s="21">
        <f>EXP(-LN(2)/25)*BQ37+(1-EXP(-LN(2)/25))/(LN(2)/25)*Calculateur!BL38*Calculateur!BN38*VLOOKUP('Données projet'!$B$11,Paramètres!$A$1:$I$89,3,0)*0.475*44/12</f>
        <v>4.90268015617169</v>
      </c>
      <c r="BR38" s="21">
        <f>EXP(-LN(2)/2)*BR37+(1-EXP(-LN(2)/2))/(LN(2)/2)*BL38*BO38*VLOOKUP('Données projet'!$B$11,Paramètres!$A$1:$I$89,3,0)*0.475*44/12</f>
        <v>1.4431353381852756</v>
      </c>
      <c r="BS38" s="22">
        <f t="shared" si="9"/>
        <v>8.2094347154630984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136</v>
      </c>
      <c r="BW38" s="12">
        <f>VLOOKUP(A38,'Données projet'!$A$113:$I$133,9,0)</f>
        <v>8.6</v>
      </c>
      <c r="BX38" s="12">
        <f t="array" ref="BX38">INDEX(BW:BW,MIN(IF(ISNUMBER(BW38:BW234),ROW(BW38:BW234),"")))</f>
        <v>8.6</v>
      </c>
      <c r="BY38" s="12">
        <f>IF('Données projet'!$A$114&gt;35,BY37+BX38-CG37,IF(A38&lt;'Données projet'!$A$114,$BV$205^A38,IF(A38='Données projet'!$A$114,'Données projet'!$B$114,BY37+BX38-CG37)))</f>
        <v>135.99999999999997</v>
      </c>
      <c r="BZ38" s="13">
        <f>BY38*VLOOKUP('Données projet'!$B$12,Paramètres!$A$1:$I$89,3,0)*VLOOKUP('Données projet'!$B$12,Paramètres!$A$1:$I$89,5,0)</f>
        <v>108.20159999999998</v>
      </c>
      <c r="CA38" s="13">
        <f t="shared" si="39"/>
        <v>28.90686185716126</v>
      </c>
      <c r="CB38" s="20">
        <f t="shared" si="10"/>
        <v>238.79723773455581</v>
      </c>
      <c r="CC38" s="59">
        <f t="shared" si="11"/>
        <v>532.13057106788915</v>
      </c>
      <c r="CD38" s="59">
        <f ca="1">AVERAGE(OFFSET($CC$3,0,0,'Données projet'!$E$12+1,1))-AVERAGE(OFFSET($H$3,0,0,'Données projet'!$E$12+1,1))</f>
        <v>241.67556898455945</v>
      </c>
      <c r="CE38" s="59">
        <f t="shared" si="40"/>
        <v>237.71070965292648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5.7205142031482117</v>
      </c>
      <c r="CL38" s="21">
        <f>EXP(-LN(2)/25)*CL37+(1-EXP(-LN(2)/25))/(LN(2)/25)*Calculateur!CG38*Calculateur!CI38*VLOOKUP('Données projet'!$B$12,Paramètres!$A$1:$I$89,3,0)*0.475*44/12</f>
        <v>6.1597616088941898</v>
      </c>
      <c r="CM38" s="21">
        <f>EXP(-LN(2)/2)*CM37+(1-EXP(-LN(2)/2))/(LN(2)/2)*CG38*CJ38*VLOOKUP('Données projet'!$B$12,Paramètres!$A$1:$I$89,3,0)*0.475*44/12</f>
        <v>1.1838433968509166</v>
      </c>
      <c r="CN38" s="22">
        <f t="shared" si="12"/>
        <v>13.064119208893318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13.2</v>
      </c>
      <c r="N39" s="13">
        <f>IF('Données projet'!$A$36&gt;35,N38+M39-V38,IF(A39&lt;'Données projet'!$A$36,$K$205^A39,IF(A39='Données projet'!$A$36,'Données projet'!$B$36,N38+M39-V38)))</f>
        <v>210.2</v>
      </c>
      <c r="O39" s="13">
        <f>N39*VLOOKUP('Données projet'!$B$9,Paramètres!$A$1:$I$89,3,0)*VLOOKUP('Données projet'!$B$9,Paramètres!$A$1:$I$89,5,0)</f>
        <v>167.23511999999999</v>
      </c>
      <c r="P39" s="13">
        <f t="shared" si="33"/>
        <v>42.470192710511604</v>
      </c>
      <c r="Q39" s="20">
        <f t="shared" si="53"/>
        <v>365.23675297080769</v>
      </c>
      <c r="R39" s="59">
        <f t="shared" si="0"/>
        <v>658.570086304141</v>
      </c>
      <c r="S39" s="59">
        <f ca="1">AVERAGE(OFFSET($R$3,0,0,'Données projet'!$E$9+1,1))-AVERAGE(OFFSET($H$3,0,0,'Données projet'!$E$9+1,1))</f>
        <v>405.40026823646758</v>
      </c>
      <c r="T39" s="59">
        <f t="shared" si="34"/>
        <v>393.0787141050053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15.374556006025074</v>
      </c>
      <c r="AA39" s="21">
        <f>EXP(-LN(2)/25)*AA38+(1-EXP(-LN(2)/25))/(LN(2)/25)*Calculateur!V39*Calculateur!X39*VLOOKUP('Données projet'!$B$9,Paramètres!$A$1:$I$89,3,0)*0.475*44/12</f>
        <v>17.510592183732353</v>
      </c>
      <c r="AB39" s="21">
        <f>EXP(-LN(2)/2)*AB38+(1-EXP(-LN(2)/2))/(LN(2)/2)*V39*Y39*VLOOKUP('Données projet'!$B$9,Paramètres!$A$1:$I$89,3,0)*0.475*44/12</f>
        <v>1.4787151292605083</v>
      </c>
      <c r="AC39" s="22">
        <f t="shared" si="3"/>
        <v>34.363863319017938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12.4</v>
      </c>
      <c r="AI39" s="13">
        <f>IF('Données projet'!$A$62&gt;35,AI38+AH39-AQ38,IF(A39&lt;'Données projet'!$A$62,$AF$205^A39,IF(A39='Données projet'!$A$62,'Données projet'!$B$62,AI38+AH39-AQ38)))</f>
        <v>185.40000000000009</v>
      </c>
      <c r="AJ39" s="13">
        <f>AI39*VLOOKUP('Données projet'!$B$10,Paramètres!$A$1:$I$89,3,0)*VLOOKUP('Données projet'!$B$10,Paramètres!$A$1:$I$89,5,0)</f>
        <v>161.96544000000009</v>
      </c>
      <c r="AK39" s="13">
        <f t="shared" si="35"/>
        <v>41.285510388923619</v>
      </c>
      <c r="AL39" s="20">
        <f t="shared" si="4"/>
        <v>353.99540526070876</v>
      </c>
      <c r="AM39" s="59">
        <f t="shared" si="5"/>
        <v>647.32873859404208</v>
      </c>
      <c r="AN39" s="59">
        <f ca="1">AVERAGE(OFFSET($AM$3,0,0,'Données projet'!$E$10+1,1))-AVERAGE(OFFSET($H$3,0,0,'Données projet'!$E$10+1,1))</f>
        <v>304.32767345253382</v>
      </c>
      <c r="AO39" s="59">
        <f t="shared" si="36"/>
        <v>427.16091343339173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7.0103234871278488</v>
      </c>
      <c r="AV39" s="21">
        <f>EXP(-LN(2)/25)*AV38+(1-EXP(-LN(2)/25))/(LN(2)/25)*Calculateur!AQ39*Calculateur!AS39*VLOOKUP('Données projet'!$B$10,Paramètres!$A$1:$I$89,3,0)*0.475*44/12</f>
        <v>15.341396598288036</v>
      </c>
      <c r="AW39" s="21">
        <f>EXP(-LN(2)/2)*AW38+(1-EXP(-LN(2)/2))/(LN(2)/2)*AQ39*AT39*VLOOKUP('Données projet'!$B$10,Paramètres!$A$1:$I$89,3,0)*0.475*44/12</f>
        <v>1.4091460246335124</v>
      </c>
      <c r="AX39" s="21">
        <f t="shared" si="6"/>
        <v>23.760866110049395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7.4</v>
      </c>
      <c r="BD39" s="12">
        <f>IF('Données projet'!$A$88&gt;35,BD38+BC39-BL38,IF(A39&lt;'Données projet'!$A$88,$BA$205^A39,IF(A39='Données projet'!$A$88,'Données projet'!$B$88,BD38+BC39-BL38)))</f>
        <v>120.4</v>
      </c>
      <c r="BE39" s="13">
        <f>BD39*VLOOKUP('Données projet'!$B$11,Paramètres!$A$1:$I$89,3,0)*VLOOKUP('Données projet'!$B$11,Paramètres!$A$1:$I$89,5,0)</f>
        <v>105.18144000000001</v>
      </c>
      <c r="BF39" s="13">
        <f t="shared" si="37"/>
        <v>28.192751573651549</v>
      </c>
      <c r="BG39" s="20">
        <f t="shared" si="7"/>
        <v>232.29338365744312</v>
      </c>
      <c r="BH39" s="59">
        <f t="shared" si="8"/>
        <v>525.62671699077646</v>
      </c>
      <c r="BI39" s="59">
        <f ca="1">AVERAGE(OFFSET($BH$3,0,0,'Données projet'!$E$11+1,1))-AVERAGE(OFFSET($H$3,0,0,'Données projet'!$E$11+1,1))</f>
        <v>268.31928207836495</v>
      </c>
      <c r="BJ39" s="59">
        <f t="shared" si="38"/>
        <v>277.61304526670204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1.8270747848757278</v>
      </c>
      <c r="BQ39" s="21">
        <f>EXP(-LN(2)/25)*BQ38+(1-EXP(-LN(2)/25))/(LN(2)/25)*Calculateur!BL39*Calculateur!BN39*VLOOKUP('Données projet'!$B$11,Paramètres!$A$1:$I$89,3,0)*0.475*44/12</f>
        <v>4.7686161094804307</v>
      </c>
      <c r="BR39" s="21">
        <f>EXP(-LN(2)/2)*BR38+(1-EXP(-LN(2)/2))/(LN(2)/2)*BL39*BO39*VLOOKUP('Données projet'!$B$11,Paramètres!$A$1:$I$89,3,0)*0.475*44/12</f>
        <v>1.0204507838007499</v>
      </c>
      <c r="BS39" s="22">
        <f t="shared" si="9"/>
        <v>7.6161416781569082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7.6</v>
      </c>
      <c r="BY39" s="12">
        <f>IF('Données projet'!$A$114&gt;35,BY38+BX39-CG38,IF(A39&lt;'Données projet'!$A$114,$BV$205^A39,IF(A39='Données projet'!$A$114,'Données projet'!$B$114,BY38+BX39-CG38)))</f>
        <v>122.59999999999997</v>
      </c>
      <c r="BZ39" s="13">
        <f>BY39*VLOOKUP('Données projet'!$B$12,Paramètres!$A$1:$I$89,3,0)*VLOOKUP('Données projet'!$B$12,Paramètres!$A$1:$I$89,5,0)</f>
        <v>97.540559999999971</v>
      </c>
      <c r="CA39" s="13">
        <f t="shared" si="39"/>
        <v>26.375223412308674</v>
      </c>
      <c r="CB39" s="20">
        <f t="shared" si="10"/>
        <v>215.81998944310419</v>
      </c>
      <c r="CC39" s="59">
        <f t="shared" si="11"/>
        <v>509.15332277643751</v>
      </c>
      <c r="CD39" s="59">
        <f ca="1">AVERAGE(OFFSET($CC$3,0,0,'Données projet'!$E$12+1,1))-AVERAGE(OFFSET($H$3,0,0,'Données projet'!$E$12+1,1))</f>
        <v>241.67556898455945</v>
      </c>
      <c r="CE39" s="59">
        <f t="shared" si="40"/>
        <v>237.71070965292648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5.6083384087936121</v>
      </c>
      <c r="CL39" s="21">
        <f>EXP(-LN(2)/25)*CL38+(1-EXP(-LN(2)/25))/(LN(2)/25)*Calculateur!CG39*Calculateur!CI39*VLOOKUP('Données projet'!$B$12,Paramètres!$A$1:$I$89,3,0)*0.475*44/12</f>
        <v>5.9913226037711933</v>
      </c>
      <c r="CM39" s="21">
        <f>EXP(-LN(2)/2)*CM38+(1-EXP(-LN(2)/2))/(LN(2)/2)*CG39*CJ39*VLOOKUP('Données projet'!$B$12,Paramètres!$A$1:$I$89,3,0)*0.475*44/12</f>
        <v>0.8371036937762002</v>
      </c>
      <c r="CN39" s="22">
        <f t="shared" si="12"/>
        <v>12.436764706341005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13.2</v>
      </c>
      <c r="N40" s="13">
        <f>IF('Données projet'!$A$36&gt;35,N39+M40-V39,IF(A40&lt;'Données projet'!$A$36,$K$205^A40,IF(A40='Données projet'!$A$36,'Données projet'!$B$36,N39+M40-V39)))</f>
        <v>223.39999999999998</v>
      </c>
      <c r="O40" s="13">
        <f>N40*VLOOKUP('Données projet'!$B$9,Paramètres!$A$1:$I$89,3,0)*VLOOKUP('Données projet'!$B$9,Paramètres!$A$1:$I$89,5,0)</f>
        <v>177.73703999999998</v>
      </c>
      <c r="P40" s="13">
        <f t="shared" si="33"/>
        <v>44.818349142210366</v>
      </c>
      <c r="Q40" s="20">
        <f t="shared" si="53"/>
        <v>387.61730275601627</v>
      </c>
      <c r="R40" s="59">
        <f t="shared" si="0"/>
        <v>680.95063608934959</v>
      </c>
      <c r="S40" s="59">
        <f ca="1">AVERAGE(OFFSET($R$3,0,0,'Données projet'!$E$9+1,1))-AVERAGE(OFFSET($H$3,0,0,'Données projet'!$E$9+1,1))</f>
        <v>405.40026823646758</v>
      </c>
      <c r="T40" s="59">
        <f t="shared" si="34"/>
        <v>393.0787141050053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15.073070340300129</v>
      </c>
      <c r="AA40" s="21">
        <f>EXP(-LN(2)/25)*AA39+(1-EXP(-LN(2)/25))/(LN(2)/25)*Calculateur!V40*Calculateur!X40*VLOOKUP('Données projet'!$B$9,Paramètres!$A$1:$I$89,3,0)*0.475*44/12</f>
        <v>17.031764119626171</v>
      </c>
      <c r="AB40" s="21">
        <f>EXP(-LN(2)/2)*AB39+(1-EXP(-LN(2)/2))/(LN(2)/2)*V40*Y40*VLOOKUP('Données projet'!$B$9,Paramètres!$A$1:$I$89,3,0)*0.475*44/12</f>
        <v>1.0456094953432475</v>
      </c>
      <c r="AC40" s="22">
        <f t="shared" si="3"/>
        <v>33.150443955269552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12.4</v>
      </c>
      <c r="AI40" s="13">
        <f>IF('Données projet'!$A$62&gt;35,AI39+AH40-AQ39,IF(A40&lt;'Données projet'!$A$62,$AF$205^A40,IF(A40='Données projet'!$A$62,'Données projet'!$B$62,AI39+AH40-AQ39)))</f>
        <v>197.8000000000001</v>
      </c>
      <c r="AJ40" s="13">
        <f>AI40*VLOOKUP('Données projet'!$B$10,Paramètres!$A$1:$I$89,3,0)*VLOOKUP('Données projet'!$B$10,Paramètres!$A$1:$I$89,5,0)</f>
        <v>172.79808000000011</v>
      </c>
      <c r="AK40" s="13">
        <f t="shared" si="35"/>
        <v>43.716103757502459</v>
      </c>
      <c r="AL40" s="20">
        <f t="shared" si="4"/>
        <v>377.09553671098365</v>
      </c>
      <c r="AM40" s="59">
        <f t="shared" si="5"/>
        <v>670.42887004431691</v>
      </c>
      <c r="AN40" s="59">
        <f ca="1">AVERAGE(OFFSET($AM$3,0,0,'Données projet'!$E$10+1,1))-AVERAGE(OFFSET($H$3,0,0,'Données projet'!$E$10+1,1))</f>
        <v>304.32767345253382</v>
      </c>
      <c r="AO40" s="59">
        <f t="shared" si="36"/>
        <v>427.16091343339173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6.872855319420391</v>
      </c>
      <c r="AV40" s="21">
        <f>EXP(-LN(2)/25)*AV39+(1-EXP(-LN(2)/25))/(LN(2)/25)*Calculateur!AQ40*Calculateur!AS40*VLOOKUP('Données projet'!$B$10,Paramètres!$A$1:$I$89,3,0)*0.475*44/12</f>
        <v>14.921885301538865</v>
      </c>
      <c r="AW40" s="21">
        <f>EXP(-LN(2)/2)*AW39+(1-EXP(-LN(2)/2))/(LN(2)/2)*AQ40*AT40*VLOOKUP('Données projet'!$B$10,Paramètres!$A$1:$I$89,3,0)*0.475*44/12</f>
        <v>0.9964167097004224</v>
      </c>
      <c r="AX40" s="21">
        <f t="shared" si="6"/>
        <v>22.791157330659679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7.4</v>
      </c>
      <c r="BD40" s="12">
        <f>IF('Données projet'!$A$88&gt;35,BD39+BC40-BL39,IF(A40&lt;'Données projet'!$A$88,$BA$205^A40,IF(A40='Données projet'!$A$88,'Données projet'!$B$88,BD39+BC40-BL39)))</f>
        <v>127.80000000000001</v>
      </c>
      <c r="BE40" s="13">
        <f>BD40*VLOOKUP('Données projet'!$B$11,Paramètres!$A$1:$I$89,3,0)*VLOOKUP('Données projet'!$B$11,Paramètres!$A$1:$I$89,5,0)</f>
        <v>111.64608000000003</v>
      </c>
      <c r="BF40" s="13">
        <f t="shared" si="37"/>
        <v>29.718477955114288</v>
      </c>
      <c r="BG40" s="20">
        <f t="shared" si="7"/>
        <v>246.20993843849078</v>
      </c>
      <c r="BH40" s="59">
        <f t="shared" si="8"/>
        <v>539.54327177182404</v>
      </c>
      <c r="BI40" s="59">
        <f ca="1">AVERAGE(OFFSET($BH$3,0,0,'Données projet'!$E$11+1,1))-AVERAGE(OFFSET($H$3,0,0,'Données projet'!$E$11+1,1))</f>
        <v>268.31928207836495</v>
      </c>
      <c r="BJ40" s="59">
        <f t="shared" si="38"/>
        <v>277.61304526670204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1.7912469627498953</v>
      </c>
      <c r="BQ40" s="21">
        <f>EXP(-LN(2)/25)*BQ39+(1-EXP(-LN(2)/25))/(LN(2)/25)*Calculateur!BL40*Calculateur!BN40*VLOOKUP('Données projet'!$B$11,Paramètres!$A$1:$I$89,3,0)*0.475*44/12</f>
        <v>4.6382180511960662</v>
      </c>
      <c r="BR40" s="21">
        <f>EXP(-LN(2)/2)*BR39+(1-EXP(-LN(2)/2))/(LN(2)/2)*BL40*BO40*VLOOKUP('Données projet'!$B$11,Paramètres!$A$1:$I$89,3,0)*0.475*44/12</f>
        <v>0.72156766909263781</v>
      </c>
      <c r="BS40" s="22">
        <f t="shared" si="9"/>
        <v>7.1510326830385988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7.6</v>
      </c>
      <c r="BY40" s="12">
        <f>IF('Données projet'!$A$114&gt;35,BY39+BX40-CG39,IF(A40&lt;'Données projet'!$A$114,$BV$205^A40,IF(A40='Données projet'!$A$114,'Données projet'!$B$114,BY39+BX40-CG39)))</f>
        <v>130.19999999999996</v>
      </c>
      <c r="BZ40" s="13">
        <f>BY40*VLOOKUP('Données projet'!$B$12,Paramètres!$A$1:$I$89,3,0)*VLOOKUP('Données projet'!$B$12,Paramètres!$A$1:$I$89,5,0)</f>
        <v>103.58711999999998</v>
      </c>
      <c r="CA40" s="13">
        <f t="shared" si="39"/>
        <v>27.814818683067688</v>
      </c>
      <c r="CB40" s="20">
        <f t="shared" si="10"/>
        <v>228.85837653967619</v>
      </c>
      <c r="CC40" s="59">
        <f t="shared" si="11"/>
        <v>522.19170987300947</v>
      </c>
      <c r="CD40" s="59">
        <f ca="1">AVERAGE(OFFSET($CC$3,0,0,'Données projet'!$E$12+1,1))-AVERAGE(OFFSET($H$3,0,0,'Données projet'!$E$12+1,1))</f>
        <v>241.67556898455945</v>
      </c>
      <c r="CE40" s="59">
        <f t="shared" si="40"/>
        <v>237.71070965292648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5.4983623133458277</v>
      </c>
      <c r="CL40" s="21">
        <f>EXP(-LN(2)/25)*CL39+(1-EXP(-LN(2)/25))/(LN(2)/25)*Calculateur!CG40*Calculateur!CI40*VLOOKUP('Données projet'!$B$12,Paramètres!$A$1:$I$89,3,0)*0.475*44/12</f>
        <v>5.8274895721011077</v>
      </c>
      <c r="CM40" s="21">
        <f>EXP(-LN(2)/2)*CM39+(1-EXP(-LN(2)/2))/(LN(2)/2)*CG40*CJ40*VLOOKUP('Données projet'!$B$12,Paramètres!$A$1:$I$89,3,0)*0.475*44/12</f>
        <v>0.59192169842545828</v>
      </c>
      <c r="CN40" s="22">
        <f t="shared" si="12"/>
        <v>11.917773583872394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13.2</v>
      </c>
      <c r="N41" s="13">
        <f>IF('Données projet'!$A$36&gt;35,N40+M41-V40,IF(A41&lt;'Données projet'!$A$36,$K$205^A41,IF(A41='Données projet'!$A$36,'Données projet'!$B$36,N40+M41-V40)))</f>
        <v>236.59999999999997</v>
      </c>
      <c r="O41" s="13">
        <f>N41*VLOOKUP('Données projet'!$B$9,Paramètres!$A$1:$I$89,3,0)*VLOOKUP('Données projet'!$B$9,Paramètres!$A$1:$I$89,5,0)</f>
        <v>188.23895999999999</v>
      </c>
      <c r="P41" s="13">
        <f t="shared" si="33"/>
        <v>47.150401158990007</v>
      </c>
      <c r="Q41" s="20">
        <f t="shared" si="53"/>
        <v>409.96980401857422</v>
      </c>
      <c r="R41" s="59">
        <f t="shared" si="0"/>
        <v>703.30313735190748</v>
      </c>
      <c r="S41" s="59">
        <f ca="1">AVERAGE(OFFSET($R$3,0,0,'Données projet'!$E$9+1,1))-AVERAGE(OFFSET($H$3,0,0,'Données projet'!$E$9+1,1))</f>
        <v>405.40026823646758</v>
      </c>
      <c r="T41" s="59">
        <f t="shared" si="34"/>
        <v>393.0787141050053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14.777496624591953</v>
      </c>
      <c r="AA41" s="21">
        <f>EXP(-LN(2)/25)*AA40+(1-EXP(-LN(2)/25))/(LN(2)/25)*Calculateur!V41*Calculateur!X41*VLOOKUP('Données projet'!$B$9,Paramètres!$A$1:$I$89,3,0)*0.475*44/12</f>
        <v>16.566029634113445</v>
      </c>
      <c r="AB41" s="21">
        <f>EXP(-LN(2)/2)*AB40+(1-EXP(-LN(2)/2))/(LN(2)/2)*V41*Y41*VLOOKUP('Données projet'!$B$9,Paramètres!$A$1:$I$89,3,0)*0.475*44/12</f>
        <v>0.73935756463025415</v>
      </c>
      <c r="AC41" s="22">
        <f t="shared" si="3"/>
        <v>32.082883823335649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12.4</v>
      </c>
      <c r="AI41" s="13">
        <f>IF('Données projet'!$A$62&gt;35,AI40+AH41-AQ40,IF(A41&lt;'Données projet'!$A$62,$AF$205^A41,IF(A41='Données projet'!$A$62,'Données projet'!$B$62,AI40+AH41-AQ40)))</f>
        <v>210.2000000000001</v>
      </c>
      <c r="AJ41" s="13">
        <f>AI41*VLOOKUP('Données projet'!$B$10,Paramètres!$A$1:$I$89,3,0)*VLOOKUP('Données projet'!$B$10,Paramètres!$A$1:$I$89,5,0)</f>
        <v>183.63072000000011</v>
      </c>
      <c r="AK41" s="13">
        <f t="shared" si="35"/>
        <v>46.129013251634483</v>
      </c>
      <c r="AL41" s="20">
        <f t="shared" si="4"/>
        <v>400.16486874659694</v>
      </c>
      <c r="AM41" s="59">
        <f t="shared" si="5"/>
        <v>693.49820207993025</v>
      </c>
      <c r="AN41" s="59">
        <f ca="1">AVERAGE(OFFSET($AM$3,0,0,'Données projet'!$E$10+1,1))-AVERAGE(OFFSET($H$3,0,0,'Données projet'!$E$10+1,1))</f>
        <v>304.32767345253382</v>
      </c>
      <c r="AO41" s="59">
        <f t="shared" si="36"/>
        <v>427.16091343339173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6.738082818634374</v>
      </c>
      <c r="AV41" s="21">
        <f>EXP(-LN(2)/25)*AV40+(1-EXP(-LN(2)/25))/(LN(2)/25)*Calculateur!AQ41*Calculateur!AS41*VLOOKUP('Données projet'!$B$10,Paramètres!$A$1:$I$89,3,0)*0.475*44/12</f>
        <v>14.513845563260441</v>
      </c>
      <c r="AW41" s="21">
        <f>EXP(-LN(2)/2)*AW40+(1-EXP(-LN(2)/2))/(LN(2)/2)*AQ41*AT41*VLOOKUP('Données projet'!$B$10,Paramètres!$A$1:$I$89,3,0)*0.475*44/12</f>
        <v>0.70457301231675629</v>
      </c>
      <c r="AX41" s="21">
        <f t="shared" si="6"/>
        <v>21.956501394211571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7.4</v>
      </c>
      <c r="BD41" s="12">
        <f>IF('Données projet'!$A$88&gt;35,BD40+BC41-BL40,IF(A41&lt;'Données projet'!$A$88,$BA$205^A41,IF(A41='Données projet'!$A$88,'Données projet'!$B$88,BD40+BC41-BL40)))</f>
        <v>135.20000000000002</v>
      </c>
      <c r="BE41" s="13">
        <f>BD41*VLOOKUP('Données projet'!$B$11,Paramètres!$A$1:$I$89,3,0)*VLOOKUP('Données projet'!$B$11,Paramètres!$A$1:$I$89,5,0)</f>
        <v>118.11072000000003</v>
      </c>
      <c r="BF41" s="13">
        <f t="shared" si="37"/>
        <v>31.233949612110369</v>
      </c>
      <c r="BG41" s="20">
        <f t="shared" si="7"/>
        <v>260.10863290775893</v>
      </c>
      <c r="BH41" s="59">
        <f t="shared" si="8"/>
        <v>553.44196624109225</v>
      </c>
      <c r="BI41" s="59">
        <f ca="1">AVERAGE(OFFSET($BH$3,0,0,'Données projet'!$E$11+1,1))-AVERAGE(OFFSET($H$3,0,0,'Données projet'!$E$11+1,1))</f>
        <v>268.31928207836495</v>
      </c>
      <c r="BJ41" s="59">
        <f t="shared" si="38"/>
        <v>277.61304526670204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1.7561217023631364</v>
      </c>
      <c r="BQ41" s="21">
        <f>EXP(-LN(2)/25)*BQ40+(1-EXP(-LN(2)/25))/(LN(2)/25)*Calculateur!BL41*Calculateur!BN41*VLOOKUP('Données projet'!$B$11,Paramètres!$A$1:$I$89,3,0)*0.475*44/12</f>
        <v>4.5113857346728237</v>
      </c>
      <c r="BR41" s="21">
        <f>EXP(-LN(2)/2)*BR40+(1-EXP(-LN(2)/2))/(LN(2)/2)*BL41*BO41*VLOOKUP('Données projet'!$B$11,Paramètres!$A$1:$I$89,3,0)*0.475*44/12</f>
        <v>0.51022539190037497</v>
      </c>
      <c r="BS41" s="22">
        <f t="shared" si="9"/>
        <v>6.777732828936335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7.6</v>
      </c>
      <c r="BY41" s="12">
        <f>IF('Données projet'!$A$114&gt;35,BY40+BX41-CG40,IF(A41&lt;'Données projet'!$A$114,$BV$205^A41,IF(A41='Données projet'!$A$114,'Données projet'!$B$114,BY40+BX41-CG40)))</f>
        <v>137.79999999999995</v>
      </c>
      <c r="BZ41" s="13">
        <f>BY41*VLOOKUP('Données projet'!$B$12,Paramètres!$A$1:$I$89,3,0)*VLOOKUP('Données projet'!$B$12,Paramètres!$A$1:$I$89,5,0)</f>
        <v>109.63367999999997</v>
      </c>
      <c r="CA41" s="13">
        <f t="shared" si="39"/>
        <v>29.244659974709236</v>
      </c>
      <c r="CB41" s="20">
        <f t="shared" si="10"/>
        <v>241.87977545595186</v>
      </c>
      <c r="CC41" s="59">
        <f t="shared" si="11"/>
        <v>535.21310878928512</v>
      </c>
      <c r="CD41" s="59">
        <f ca="1">AVERAGE(OFFSET($CC$3,0,0,'Données projet'!$E$12+1,1))-AVERAGE(OFFSET($H$3,0,0,'Données projet'!$E$12+1,1))</f>
        <v>241.67556898455945</v>
      </c>
      <c r="CE41" s="59">
        <f t="shared" si="40"/>
        <v>237.71070965292648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5.3905427820509795</v>
      </c>
      <c r="CL41" s="21">
        <f>EXP(-LN(2)/25)*CL40+(1-EXP(-LN(2)/25))/(LN(2)/25)*Calculateur!CG41*Calculateur!CI41*VLOOKUP('Données projet'!$B$12,Paramètres!$A$1:$I$89,3,0)*0.475*44/12</f>
        <v>5.6681365632976455</v>
      </c>
      <c r="CM41" s="21">
        <f>EXP(-LN(2)/2)*CM40+(1-EXP(-LN(2)/2))/(LN(2)/2)*CG41*CJ41*VLOOKUP('Données projet'!$B$12,Paramètres!$A$1:$I$89,3,0)*0.475*44/12</f>
        <v>0.4185518468881001</v>
      </c>
      <c r="CN41" s="22">
        <f t="shared" si="12"/>
        <v>11.477231192236726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13.2</v>
      </c>
      <c r="N42" s="13">
        <f>IF('Données projet'!$A$36&gt;35,N41+M42-V41,IF(A42&lt;'Données projet'!$A$36,$K$205^A42,IF(A42='Données projet'!$A$36,'Données projet'!$B$36,N41+M42-V41)))</f>
        <v>249.79999999999995</v>
      </c>
      <c r="O42" s="13">
        <f>N42*VLOOKUP('Données projet'!$B$9,Paramètres!$A$1:$I$89,3,0)*VLOOKUP('Données projet'!$B$9,Paramètres!$A$1:$I$89,5,0)</f>
        <v>198.74087999999998</v>
      </c>
      <c r="P42" s="13">
        <f t="shared" si="33"/>
        <v>49.467349630825638</v>
      </c>
      <c r="Q42" s="20">
        <f t="shared" si="53"/>
        <v>432.29599994035453</v>
      </c>
      <c r="R42" s="59">
        <f t="shared" si="0"/>
        <v>725.62933327368785</v>
      </c>
      <c r="S42" s="59">
        <f ca="1">AVERAGE(OFFSET($R$3,0,0,'Données projet'!$E$9+1,1))-AVERAGE(OFFSET($H$3,0,0,'Données projet'!$E$9+1,1))</f>
        <v>405.40026823646758</v>
      </c>
      <c r="T42" s="59">
        <f t="shared" si="34"/>
        <v>393.0787141050053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14.487718929166649</v>
      </c>
      <c r="AA42" s="21">
        <f>EXP(-LN(2)/25)*AA41+(1-EXP(-LN(2)/25))/(LN(2)/25)*Calculateur!V42*Calculateur!X42*VLOOKUP('Données projet'!$B$9,Paramètres!$A$1:$I$89,3,0)*0.475*44/12</f>
        <v>16.113030682598975</v>
      </c>
      <c r="AB42" s="21">
        <f>EXP(-LN(2)/2)*AB41+(1-EXP(-LN(2)/2))/(LN(2)/2)*V42*Y42*VLOOKUP('Données projet'!$B$9,Paramètres!$A$1:$I$89,3,0)*0.475*44/12</f>
        <v>0.52280474767162377</v>
      </c>
      <c r="AC42" s="22">
        <f t="shared" si="3"/>
        <v>31.123554359437247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12.4</v>
      </c>
      <c r="AI42" s="13">
        <f>IF('Données projet'!$A$62&gt;35,AI41+AH42-AQ41,IF(A42&lt;'Données projet'!$A$62,$AF$205^A42,IF(A42='Données projet'!$A$62,'Données projet'!$B$62,AI41+AH42-AQ41)))</f>
        <v>222.60000000000011</v>
      </c>
      <c r="AJ42" s="13">
        <f>AI42*VLOOKUP('Données projet'!$B$10,Paramètres!$A$1:$I$89,3,0)*VLOOKUP('Données projet'!$B$10,Paramètres!$A$1:$I$89,5,0)</f>
        <v>194.46336000000014</v>
      </c>
      <c r="AK42" s="13">
        <f t="shared" si="35"/>
        <v>48.525400894162686</v>
      </c>
      <c r="AL42" s="20">
        <f t="shared" si="4"/>
        <v>423.20542522400024</v>
      </c>
      <c r="AM42" s="59">
        <f t="shared" si="5"/>
        <v>716.53875855733349</v>
      </c>
      <c r="AN42" s="59">
        <f ca="1">AVERAGE(OFFSET($AM$3,0,0,'Données projet'!$E$10+1,1))-AVERAGE(OFFSET($H$3,0,0,'Données projet'!$E$10+1,1))</f>
        <v>304.32767345253382</v>
      </c>
      <c r="AO42" s="59">
        <f t="shared" si="36"/>
        <v>427.16091343339173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6.6059531243856622</v>
      </c>
      <c r="AV42" s="21">
        <f>EXP(-LN(2)/25)*AV41+(1-EXP(-LN(2)/25))/(LN(2)/25)*Calculateur!AQ42*Calculateur!AS42*VLOOKUP('Données projet'!$B$10,Paramètres!$A$1:$I$89,3,0)*0.475*44/12</f>
        <v>14.116963693083118</v>
      </c>
      <c r="AW42" s="21">
        <f>EXP(-LN(2)/2)*AW41+(1-EXP(-LN(2)/2))/(LN(2)/2)*AQ42*AT42*VLOOKUP('Données projet'!$B$10,Paramètres!$A$1:$I$89,3,0)*0.475*44/12</f>
        <v>0.49820835485021125</v>
      </c>
      <c r="AX42" s="21">
        <f t="shared" si="6"/>
        <v>21.221125172318988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7.4</v>
      </c>
      <c r="BD42" s="12">
        <f>IF('Données projet'!$A$88&gt;35,BD41+BC42-BL41,IF(A42&lt;'Données projet'!$A$88,$BA$205^A42,IF(A42='Données projet'!$A$88,'Données projet'!$B$88,BD41+BC42-BL41)))</f>
        <v>142.60000000000002</v>
      </c>
      <c r="BE42" s="13">
        <f>BD42*VLOOKUP('Données projet'!$B$11,Paramètres!$A$1:$I$89,3,0)*VLOOKUP('Données projet'!$B$11,Paramètres!$A$1:$I$89,5,0)</f>
        <v>124.57536000000005</v>
      </c>
      <c r="BF42" s="13">
        <f t="shared" si="37"/>
        <v>32.73979180600098</v>
      </c>
      <c r="BG42" s="20">
        <f t="shared" si="7"/>
        <v>273.99055606211846</v>
      </c>
      <c r="BH42" s="59">
        <f t="shared" si="8"/>
        <v>567.32388939545172</v>
      </c>
      <c r="BI42" s="59">
        <f ca="1">AVERAGE(OFFSET($BH$3,0,0,'Données projet'!$E$11+1,1))-AVERAGE(OFFSET($H$3,0,0,'Données projet'!$E$11+1,1))</f>
        <v>268.31928207836495</v>
      </c>
      <c r="BJ42" s="59">
        <f t="shared" si="38"/>
        <v>277.61304526670204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1.7216852269082685</v>
      </c>
      <c r="BQ42" s="21">
        <f>EXP(-LN(2)/25)*BQ41+(1-EXP(-LN(2)/25))/(LN(2)/25)*Calculateur!BL42*Calculateur!BN42*VLOOKUP('Données projet'!$B$11,Paramètres!$A$1:$I$89,3,0)*0.475*44/12</f>
        <v>4.3880216545147306</v>
      </c>
      <c r="BR42" s="21">
        <f>EXP(-LN(2)/2)*BR41+(1-EXP(-LN(2)/2))/(LN(2)/2)*BL42*BO42*VLOOKUP('Données projet'!$B$11,Paramètres!$A$1:$I$89,3,0)*0.475*44/12</f>
        <v>0.3607838345463189</v>
      </c>
      <c r="BS42" s="22">
        <f t="shared" si="9"/>
        <v>6.4704907159693184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7.6</v>
      </c>
      <c r="BY42" s="12">
        <f>IF('Données projet'!$A$114&gt;35,BY41+BX42-CG41,IF(A42&lt;'Données projet'!$A$114,$BV$205^A42,IF(A42='Données projet'!$A$114,'Données projet'!$B$114,BY41+BX42-CG41)))</f>
        <v>145.39999999999995</v>
      </c>
      <c r="BZ42" s="13">
        <f>BY42*VLOOKUP('Données projet'!$B$12,Paramètres!$A$1:$I$89,3,0)*VLOOKUP('Données projet'!$B$12,Paramètres!$A$1:$I$89,5,0)</f>
        <v>115.68023999999997</v>
      </c>
      <c r="CA42" s="13">
        <f t="shared" si="39"/>
        <v>30.665346560819799</v>
      </c>
      <c r="CB42" s="20">
        <f t="shared" si="10"/>
        <v>254.88522992676107</v>
      </c>
      <c r="CC42" s="59">
        <f t="shared" si="11"/>
        <v>548.21856326009436</v>
      </c>
      <c r="CD42" s="59">
        <f ca="1">AVERAGE(OFFSET($CC$3,0,0,'Données projet'!$E$12+1,1))-AVERAGE(OFFSET($H$3,0,0,'Données projet'!$E$12+1,1))</f>
        <v>241.67556898455945</v>
      </c>
      <c r="CE42" s="59">
        <f t="shared" si="40"/>
        <v>237.71070965292648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5.2848375260014029</v>
      </c>
      <c r="CL42" s="21">
        <f>EXP(-LN(2)/25)*CL41+(1-EXP(-LN(2)/25))/(LN(2)/25)*Calculateur!CG42*Calculateur!CI42*VLOOKUP('Données projet'!$B$12,Paramètres!$A$1:$I$89,3,0)*0.475*44/12</f>
        <v>5.5131410708999242</v>
      </c>
      <c r="CM42" s="21">
        <f>EXP(-LN(2)/2)*CM41+(1-EXP(-LN(2)/2))/(LN(2)/2)*CG42*CJ42*VLOOKUP('Données projet'!$B$12,Paramètres!$A$1:$I$89,3,0)*0.475*44/12</f>
        <v>0.29596084921272914</v>
      </c>
      <c r="CN42" s="22">
        <f t="shared" si="12"/>
        <v>11.093939446114057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263</v>
      </c>
      <c r="L43" s="12">
        <f>VLOOKUP(A43,'Données projet'!$A$35:$I$55,9,0)</f>
        <v>13.2</v>
      </c>
      <c r="M43" s="12">
        <f t="array" ref="M43">INDEX(L:L,MIN(IF(ISNUMBER(L43:L239),ROW(L43:L239),"")))</f>
        <v>13.2</v>
      </c>
      <c r="N43" s="13">
        <f>IF('Données projet'!$A$36&gt;35,N42+M43-V42,IF(A43&lt;'Données projet'!$A$36,$K$205^A43,IF(A43='Données projet'!$A$36,'Données projet'!$B$36,N42+M43-V42)))</f>
        <v>262.99999999999994</v>
      </c>
      <c r="O43" s="13">
        <f>N43*VLOOKUP('Données projet'!$B$9,Paramètres!$A$1:$I$89,3,0)*VLOOKUP('Données projet'!$B$9,Paramètres!$A$1:$I$89,5,0)</f>
        <v>209.24279999999996</v>
      </c>
      <c r="P43" s="13">
        <f t="shared" si="33"/>
        <v>51.770083677016814</v>
      </c>
      <c r="Q43" s="20">
        <f t="shared" si="53"/>
        <v>454.59743907080411</v>
      </c>
      <c r="R43" s="59">
        <f t="shared" si="0"/>
        <v>747.93077240413743</v>
      </c>
      <c r="S43" s="59">
        <f ca="1">AVERAGE(OFFSET($R$3,0,0,'Données projet'!$E$9+1,1))-AVERAGE(OFFSET($H$3,0,0,'Données projet'!$E$9+1,1))</f>
        <v>405.40026823646758</v>
      </c>
      <c r="T43" s="59">
        <f t="shared" si="34"/>
        <v>393.0787141050053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14.203623597601693</v>
      </c>
      <c r="AA43" s="21">
        <f>EXP(-LN(2)/25)*AA42+(1-EXP(-LN(2)/25))/(LN(2)/25)*Calculateur!V43*Calculateur!X43*VLOOKUP('Données projet'!$B$9,Paramètres!$A$1:$I$89,3,0)*0.475*44/12</f>
        <v>15.672419011235849</v>
      </c>
      <c r="AB43" s="21">
        <f>EXP(-LN(2)/2)*AB42+(1-EXP(-LN(2)/2))/(LN(2)/2)*V43*Y43*VLOOKUP('Données projet'!$B$9,Paramètres!$A$1:$I$89,3,0)*0.475*44/12</f>
        <v>0.36967878231512707</v>
      </c>
      <c r="AC43" s="22">
        <f t="shared" si="3"/>
        <v>30.245721391152671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235</v>
      </c>
      <c r="AG43" s="12">
        <f>VLOOKUP(A43,'Données projet'!$A$61:$I$81,9,0)</f>
        <v>12.4</v>
      </c>
      <c r="AH43" s="12">
        <f t="array" ref="AH43">INDEX(AG:AG,MIN(IF(ISNUMBER(AG43:AG239),ROW(AG43:AG239),"")))</f>
        <v>12.4</v>
      </c>
      <c r="AI43" s="13">
        <f>IF('Données projet'!$A$62&gt;35,AI42+AH43-AQ42,IF(A43&lt;'Données projet'!$A$62,$AF$205^A43,IF(A43='Données projet'!$A$62,'Données projet'!$B$62,AI42+AH43-AQ42)))</f>
        <v>235.00000000000011</v>
      </c>
      <c r="AJ43" s="13">
        <f>AI43*VLOOKUP('Données projet'!$B$10,Paramètres!$A$1:$I$89,3,0)*VLOOKUP('Données projet'!$B$10,Paramètres!$A$1:$I$89,5,0)</f>
        <v>205.29600000000013</v>
      </c>
      <c r="AK43" s="13">
        <f t="shared" si="35"/>
        <v>50.906291934375396</v>
      </c>
      <c r="AL43" s="20">
        <f t="shared" si="4"/>
        <v>446.21899178570402</v>
      </c>
      <c r="AM43" s="59">
        <f t="shared" si="5"/>
        <v>739.55232511903728</v>
      </c>
      <c r="AN43" s="59">
        <f ca="1">AVERAGE(OFFSET($AM$3,0,0,'Données projet'!$E$10+1,1))-AVERAGE(OFFSET($H$3,0,0,'Données projet'!$E$10+1,1))</f>
        <v>304.32767345253382</v>
      </c>
      <c r="AO43" s="59">
        <f t="shared" si="36"/>
        <v>427.16091343339173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6.4764144128500112</v>
      </c>
      <c r="AV43" s="21">
        <f>EXP(-LN(2)/25)*AV42+(1-EXP(-LN(2)/25))/(LN(2)/25)*Calculateur!AQ43*Calculateur!AS43*VLOOKUP('Données projet'!$B$10,Paramètres!$A$1:$I$89,3,0)*0.475*44/12</f>
        <v>13.730934578516905</v>
      </c>
      <c r="AW43" s="21">
        <f>EXP(-LN(2)/2)*AW42+(1-EXP(-LN(2)/2))/(LN(2)/2)*AQ43*AT43*VLOOKUP('Données projet'!$B$10,Paramètres!$A$1:$I$89,3,0)*0.475*44/12</f>
        <v>0.3522865061583782</v>
      </c>
      <c r="AX43" s="21">
        <f t="shared" si="6"/>
        <v>20.559635497525296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150</v>
      </c>
      <c r="BB43" s="12">
        <f>VLOOKUP(A43,'Données projet'!$A$87:$I$107,9,0)</f>
        <v>7.4</v>
      </c>
      <c r="BC43" s="12">
        <f t="array" ref="BC43">INDEX(BB:BB,MIN(IF(ISNUMBER(BB43:BB239),ROW(BB43:BB239),"")))</f>
        <v>7.4</v>
      </c>
      <c r="BD43" s="12">
        <f>IF('Données projet'!$A$88&gt;35,BD42+BC43-BL42,IF(A43&lt;'Données projet'!$A$88,$BA$205^A43,IF(A43='Données projet'!$A$88,'Données projet'!$B$88,BD42+BC43-BL42)))</f>
        <v>150.00000000000003</v>
      </c>
      <c r="BE43" s="13">
        <f>BD43*VLOOKUP('Données projet'!$B$11,Paramètres!$A$1:$I$89,3,0)*VLOOKUP('Données projet'!$B$11,Paramètres!$A$1:$I$89,5,0)</f>
        <v>131.04000000000005</v>
      </c>
      <c r="BF43" s="13">
        <f t="shared" si="37"/>
        <v>34.236561238949918</v>
      </c>
      <c r="BG43" s="20">
        <f t="shared" si="7"/>
        <v>287.85667749117118</v>
      </c>
      <c r="BH43" s="59">
        <f t="shared" si="8"/>
        <v>581.1900108245045</v>
      </c>
      <c r="BI43" s="59">
        <f ca="1">AVERAGE(OFFSET($BH$3,0,0,'Données projet'!$E$11+1,1))-AVERAGE(OFFSET($H$3,0,0,'Données projet'!$E$11+1,1))</f>
        <v>268.31928207836495</v>
      </c>
      <c r="BJ43" s="59">
        <f t="shared" si="38"/>
        <v>277.61304526670204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1.6879240297328946</v>
      </c>
      <c r="BQ43" s="21">
        <f>EXP(-LN(2)/25)*BQ42+(1-EXP(-LN(2)/25))/(LN(2)/25)*Calculateur!BL43*Calculateur!BN43*VLOOKUP('Données projet'!$B$11,Paramètres!$A$1:$I$89,3,0)*0.475*44/12</f>
        <v>4.2680309716159952</v>
      </c>
      <c r="BR43" s="21">
        <f>EXP(-LN(2)/2)*BR42+(1-EXP(-LN(2)/2))/(LN(2)/2)*BL43*BO43*VLOOKUP('Données projet'!$B$11,Paramètres!$A$1:$I$89,3,0)*0.475*44/12</f>
        <v>0.25511269595018748</v>
      </c>
      <c r="BS43" s="22">
        <f t="shared" si="9"/>
        <v>6.2110676972990779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153</v>
      </c>
      <c r="BW43" s="12">
        <f>VLOOKUP(A43,'Données projet'!$A$113:$I$133,9,0)</f>
        <v>7.6</v>
      </c>
      <c r="BX43" s="12">
        <f t="array" ref="BX43">INDEX(BW:BW,MIN(IF(ISNUMBER(BW43:BW239),ROW(BW43:BW239),"")))</f>
        <v>7.6</v>
      </c>
      <c r="BY43" s="12">
        <f>IF('Données projet'!$A$114&gt;35,BY42+BX43-CG42,IF(A43&lt;'Données projet'!$A$114,$BV$205^A43,IF(A43='Données projet'!$A$114,'Données projet'!$B$114,BY42+BX43-CG42)))</f>
        <v>152.99999999999994</v>
      </c>
      <c r="BZ43" s="13">
        <f>BY43*VLOOKUP('Données projet'!$B$12,Paramètres!$A$1:$I$89,3,0)*VLOOKUP('Données projet'!$B$12,Paramètres!$A$1:$I$89,5,0)</f>
        <v>121.72679999999995</v>
      </c>
      <c r="CA43" s="13">
        <f t="shared" si="39"/>
        <v>32.07741152903197</v>
      </c>
      <c r="CB43" s="20">
        <f t="shared" si="10"/>
        <v>267.87566841306398</v>
      </c>
      <c r="CC43" s="59">
        <f t="shared" si="11"/>
        <v>561.20900174639723</v>
      </c>
      <c r="CD43" s="59">
        <f ca="1">AVERAGE(OFFSET($CC$3,0,0,'Données projet'!$E$12+1,1))-AVERAGE(OFFSET($H$3,0,0,'Données projet'!$E$12+1,1))</f>
        <v>241.67556898455945</v>
      </c>
      <c r="CE43" s="59">
        <f t="shared" si="40"/>
        <v>237.71070965292648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5.1812050855491183</v>
      </c>
      <c r="CL43" s="21">
        <f>EXP(-LN(2)/25)*CL42+(1-EXP(-LN(2)/25))/(LN(2)/25)*Calculateur!CG43*Calculateur!CI43*VLOOKUP('Données projet'!$B$12,Paramètres!$A$1:$I$89,3,0)*0.475*44/12</f>
        <v>5.3623839383926777</v>
      </c>
      <c r="CM43" s="21">
        <f>EXP(-LN(2)/2)*CM42+(1-EXP(-LN(2)/2))/(LN(2)/2)*CG43*CJ43*VLOOKUP('Données projet'!$B$12,Paramètres!$A$1:$I$89,3,0)*0.475*44/12</f>
        <v>0.20927592344405005</v>
      </c>
      <c r="CN43" s="22">
        <f t="shared" si="12"/>
        <v>10.752864947385845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234.39999999999992</v>
      </c>
      <c r="O44" s="13">
        <f>N44*VLOOKUP('Données projet'!$B$9,Paramètres!$A$1:$I$89,3,0)*VLOOKUP('Données projet'!$B$9,Paramètres!$A$1:$I$89,5,0)</f>
        <v>186.48863999999995</v>
      </c>
      <c r="P44" s="13">
        <f t="shared" si="33"/>
        <v>46.762800221578807</v>
      </c>
      <c r="Q44" s="20">
        <f t="shared" si="53"/>
        <v>406.24625838591629</v>
      </c>
      <c r="R44" s="59">
        <f t="shared" si="0"/>
        <v>699.57959171924961</v>
      </c>
      <c r="S44" s="59">
        <f ca="1">AVERAGE(OFFSET($R$3,0,0,'Données projet'!$E$9+1,1))-AVERAGE(OFFSET($H$3,0,0,'Données projet'!$E$9+1,1))</f>
        <v>405.40026823646758</v>
      </c>
      <c r="T44" s="59">
        <f t="shared" si="34"/>
        <v>393.0787141050053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13.925099202207683</v>
      </c>
      <c r="AA44" s="21">
        <f>EXP(-LN(2)/25)*AA43+(1-EXP(-LN(2)/25))/(LN(2)/25)*Calculateur!V44*Calculateur!X44*VLOOKUP('Données projet'!$B$9,Paramètres!$A$1:$I$89,3,0)*0.475*44/12</f>
        <v>15.24385588919691</v>
      </c>
      <c r="AB44" s="21">
        <f>EXP(-LN(2)/2)*AB43+(1-EXP(-LN(2)/2))/(LN(2)/2)*V44*Y44*VLOOKUP('Données projet'!$B$9,Paramètres!$A$1:$I$89,3,0)*0.475*44/12</f>
        <v>0.26140237383581189</v>
      </c>
      <c r="AC44" s="22">
        <f t="shared" si="3"/>
        <v>29.430357465240402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201.00000000000011</v>
      </c>
      <c r="AJ44" s="13">
        <f>AI44*VLOOKUP('Données projet'!$B$10,Paramètres!$A$1:$I$89,3,0)*VLOOKUP('Données projet'!$B$10,Paramètres!$A$1:$I$89,5,0)</f>
        <v>175.59360000000012</v>
      </c>
      <c r="AK44" s="13">
        <f t="shared" si="35"/>
        <v>44.340433728638573</v>
      </c>
      <c r="AL44" s="20">
        <f t="shared" si="4"/>
        <v>383.05177541071242</v>
      </c>
      <c r="AM44" s="59">
        <f t="shared" si="5"/>
        <v>676.38510874404574</v>
      </c>
      <c r="AN44" s="59">
        <f ca="1">AVERAGE(OFFSET($AM$3,0,0,'Données projet'!$E$10+1,1))-AVERAGE(OFFSET($H$3,0,0,'Données projet'!$E$10+1,1))</f>
        <v>304.32767345253382</v>
      </c>
      <c r="AO44" s="59">
        <f t="shared" si="36"/>
        <v>427.16091343339173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6.3494158764367619</v>
      </c>
      <c r="AV44" s="21">
        <f>EXP(-LN(2)/25)*AV43+(1-EXP(-LN(2)/25))/(LN(2)/25)*Calculateur!AQ44*Calculateur!AS44*VLOOKUP('Données projet'!$B$10,Paramètres!$A$1:$I$89,3,0)*0.475*44/12</f>
        <v>13.355461450388892</v>
      </c>
      <c r="AW44" s="21">
        <f>EXP(-LN(2)/2)*AW43+(1-EXP(-LN(2)/2))/(LN(2)/2)*AQ44*AT44*VLOOKUP('Données projet'!$B$10,Paramètres!$A$1:$I$89,3,0)*0.475*44/12</f>
        <v>0.24910417742510568</v>
      </c>
      <c r="AX44" s="21">
        <f t="shared" si="6"/>
        <v>19.953981504250759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6.4</v>
      </c>
      <c r="BD44" s="12">
        <f>IF('Données projet'!$A$88&gt;35,BD43+BC44-BL43,IF(A44&lt;'Données projet'!$A$88,$BA$205^A44,IF(A44='Données projet'!$A$88,'Données projet'!$B$88,BD43+BC44-BL43)))</f>
        <v>133.40000000000003</v>
      </c>
      <c r="BE44" s="13">
        <f>BD44*VLOOKUP('Données projet'!$B$11,Paramètres!$A$1:$I$89,3,0)*VLOOKUP('Données projet'!$B$11,Paramètres!$A$1:$I$89,5,0)</f>
        <v>116.53824000000004</v>
      </c>
      <c r="BF44" s="13">
        <f t="shared" si="37"/>
        <v>30.866230258957859</v>
      </c>
      <c r="BG44" s="20">
        <f t="shared" si="7"/>
        <v>256.72945236768504</v>
      </c>
      <c r="BH44" s="59">
        <f t="shared" si="8"/>
        <v>550.06278570101836</v>
      </c>
      <c r="BI44" s="59">
        <f ca="1">AVERAGE(OFFSET($BH$3,0,0,'Données projet'!$E$11+1,1))-AVERAGE(OFFSET($H$3,0,0,'Données projet'!$E$11+1,1))</f>
        <v>268.31928207836495</v>
      </c>
      <c r="BJ44" s="59">
        <f t="shared" si="38"/>
        <v>277.61304526670204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1.6548248690418328</v>
      </c>
      <c r="BQ44" s="21">
        <f>EXP(-LN(2)/25)*BQ43+(1-EXP(-LN(2)/25))/(LN(2)/25)*Calculateur!BL44*Calculateur!BN44*VLOOKUP('Données projet'!$B$11,Paramètres!$A$1:$I$89,3,0)*0.475*44/12</f>
        <v>4.151321440251162</v>
      </c>
      <c r="BR44" s="21">
        <f>EXP(-LN(2)/2)*BR43+(1-EXP(-LN(2)/2))/(LN(2)/2)*BL44*BO44*VLOOKUP('Données projet'!$B$11,Paramètres!$A$1:$I$89,3,0)*0.475*44/12</f>
        <v>0.18039191727315945</v>
      </c>
      <c r="BS44" s="22">
        <f t="shared" si="9"/>
        <v>5.9865382265661546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138.39999999999995</v>
      </c>
      <c r="BZ44" s="13">
        <f>BY44*VLOOKUP('Données projet'!$B$12,Paramètres!$A$1:$I$89,3,0)*VLOOKUP('Données projet'!$B$12,Paramètres!$A$1:$I$89,5,0)</f>
        <v>110.11103999999996</v>
      </c>
      <c r="CA44" s="13">
        <f t="shared" si="39"/>
        <v>29.357144926198423</v>
      </c>
      <c r="CB44" s="20">
        <f t="shared" si="10"/>
        <v>242.90708874646216</v>
      </c>
      <c r="CC44" s="59">
        <f t="shared" si="11"/>
        <v>536.24042207979551</v>
      </c>
      <c r="CD44" s="59">
        <f ca="1">AVERAGE(OFFSET($CC$3,0,0,'Données projet'!$E$12+1,1))-AVERAGE(OFFSET($H$3,0,0,'Données projet'!$E$12+1,1))</f>
        <v>241.67556898455945</v>
      </c>
      <c r="CE44" s="59">
        <f t="shared" si="40"/>
        <v>237.71070965292648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5.079604814044556</v>
      </c>
      <c r="CL44" s="21">
        <f>EXP(-LN(2)/25)*CL43+(1-EXP(-LN(2)/25))/(LN(2)/25)*Calculateur!CG44*Calculateur!CI44*VLOOKUP('Données projet'!$B$12,Paramètres!$A$1:$I$89,3,0)*0.475*44/12</f>
        <v>5.2157492676018142</v>
      </c>
      <c r="CM44" s="21">
        <f>EXP(-LN(2)/2)*CM43+(1-EXP(-LN(2)/2))/(LN(2)/2)*CG44*CJ44*VLOOKUP('Données projet'!$B$12,Paramètres!$A$1:$I$89,3,0)*0.475*44/12</f>
        <v>0.14798042460636457</v>
      </c>
      <c r="CN44" s="22">
        <f t="shared" si="12"/>
        <v>10.443334506252734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245.79999999999993</v>
      </c>
      <c r="O45" s="13">
        <f>N45*VLOOKUP('Données projet'!$B$9,Paramètres!$A$1:$I$89,3,0)*VLOOKUP('Données projet'!$B$9,Paramètres!$A$1:$I$89,5,0)</f>
        <v>195.55847999999995</v>
      </c>
      <c r="P45" s="13">
        <f t="shared" si="33"/>
        <v>48.766783903364477</v>
      </c>
      <c r="Q45" s="20">
        <f t="shared" si="53"/>
        <v>425.53316796502639</v>
      </c>
      <c r="R45" s="59">
        <f t="shared" si="0"/>
        <v>718.86650129835971</v>
      </c>
      <c r="S45" s="59">
        <f ca="1">AVERAGE(OFFSET($R$3,0,0,'Données projet'!$E$9+1,1))-AVERAGE(OFFSET($H$3,0,0,'Données projet'!$E$9+1,1))</f>
        <v>405.40026823646758</v>
      </c>
      <c r="T45" s="59">
        <f t="shared" si="34"/>
        <v>393.0787141050053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13.652036500324243</v>
      </c>
      <c r="AA45" s="21">
        <f>EXP(-LN(2)/25)*AA44+(1-EXP(-LN(2)/25))/(LN(2)/25)*Calculateur!V45*Calculateur!X45*VLOOKUP('Données projet'!$B$9,Paramètres!$A$1:$I$89,3,0)*0.475*44/12</f>
        <v>14.827011848267279</v>
      </c>
      <c r="AB45" s="21">
        <f>EXP(-LN(2)/2)*AB44+(1-EXP(-LN(2)/2))/(LN(2)/2)*V45*Y45*VLOOKUP('Données projet'!$B$9,Paramètres!$A$1:$I$89,3,0)*0.475*44/12</f>
        <v>0.18483939115756354</v>
      </c>
      <c r="AC45" s="22">
        <f t="shared" si="3"/>
        <v>28.663887739749086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212.00000000000011</v>
      </c>
      <c r="AJ45" s="13">
        <f>AI45*VLOOKUP('Données projet'!$B$10,Paramètres!$A$1:$I$89,3,0)*VLOOKUP('Données projet'!$B$10,Paramètres!$A$1:$I$89,5,0)</f>
        <v>185.20320000000012</v>
      </c>
      <c r="AK45" s="13">
        <f t="shared" si="35"/>
        <v>46.477875402099386</v>
      </c>
      <c r="AL45" s="20">
        <f t="shared" si="4"/>
        <v>403.51120632532326</v>
      </c>
      <c r="AM45" s="59">
        <f t="shared" si="5"/>
        <v>696.84453965865657</v>
      </c>
      <c r="AN45" s="59">
        <f ca="1">AVERAGE(OFFSET($AM$3,0,0,'Données projet'!$E$10+1,1))-AVERAGE(OFFSET($H$3,0,0,'Données projet'!$E$10+1,1))</f>
        <v>304.32767345253382</v>
      </c>
      <c r="AO45" s="59">
        <f t="shared" si="36"/>
        <v>427.16091343339173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6.2249077038611178</v>
      </c>
      <c r="AV45" s="21">
        <f>EXP(-LN(2)/25)*AV44+(1-EXP(-LN(2)/25))/(LN(2)/25)*Calculateur!AQ45*Calculateur!AS45*VLOOKUP('Données projet'!$B$10,Paramètres!$A$1:$I$89,3,0)*0.475*44/12</f>
        <v>12.990255654694815</v>
      </c>
      <c r="AW45" s="21">
        <f>EXP(-LN(2)/2)*AW44+(1-EXP(-LN(2)/2))/(LN(2)/2)*AQ45*AT45*VLOOKUP('Données projet'!$B$10,Paramètres!$A$1:$I$89,3,0)*0.475*44/12</f>
        <v>0.17614325307918913</v>
      </c>
      <c r="AX45" s="21">
        <f t="shared" si="6"/>
        <v>19.391306611635123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6.4</v>
      </c>
      <c r="BD45" s="12">
        <f>IF('Données projet'!$A$88&gt;35,BD44+BC45-BL44,IF(A45&lt;'Données projet'!$A$88,$BA$205^A45,IF(A45='Données projet'!$A$88,'Données projet'!$B$88,BD44+BC45-BL44)))</f>
        <v>139.80000000000004</v>
      </c>
      <c r="BE45" s="13">
        <f>BD45*VLOOKUP('Données projet'!$B$11,Paramètres!$A$1:$I$89,3,0)*VLOOKUP('Données projet'!$B$11,Paramètres!$A$1:$I$89,5,0)</f>
        <v>122.12928000000004</v>
      </c>
      <c r="BF45" s="13">
        <f t="shared" si="37"/>
        <v>32.171109382958193</v>
      </c>
      <c r="BG45" s="20">
        <f t="shared" si="7"/>
        <v>268.73984484198559</v>
      </c>
      <c r="BH45" s="59">
        <f t="shared" si="8"/>
        <v>562.07317817531884</v>
      </c>
      <c r="BI45" s="59">
        <f ca="1">AVERAGE(OFFSET($BH$3,0,0,'Données projet'!$E$11+1,1))-AVERAGE(OFFSET($H$3,0,0,'Données projet'!$E$11+1,1))</f>
        <v>268.31928207836495</v>
      </c>
      <c r="BJ45" s="59">
        <f t="shared" si="38"/>
        <v>277.61304526670204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1.6223747627034282</v>
      </c>
      <c r="BQ45" s="21">
        <f>EXP(-LN(2)/25)*BQ44+(1-EXP(-LN(2)/25))/(LN(2)/25)*Calculateur!BL45*Calculateur!BN45*VLOOKUP('Données projet'!$B$11,Paramètres!$A$1:$I$89,3,0)*0.475*44/12</f>
        <v>4.0378033371589872</v>
      </c>
      <c r="BR45" s="21">
        <f>EXP(-LN(2)/2)*BR44+(1-EXP(-LN(2)/2))/(LN(2)/2)*BL45*BO45*VLOOKUP('Données projet'!$B$11,Paramètres!$A$1:$I$89,3,0)*0.475*44/12</f>
        <v>0.12755634797509374</v>
      </c>
      <c r="BS45" s="22">
        <f t="shared" si="9"/>
        <v>5.7877344478375088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144.79999999999995</v>
      </c>
      <c r="BZ45" s="13">
        <f>BY45*VLOOKUP('Données projet'!$B$12,Paramètres!$A$1:$I$89,3,0)*VLOOKUP('Données projet'!$B$12,Paramètres!$A$1:$I$89,5,0)</f>
        <v>115.20287999999998</v>
      </c>
      <c r="CA45" s="13">
        <f t="shared" si="39"/>
        <v>30.553507147925856</v>
      </c>
      <c r="CB45" s="20">
        <f t="shared" si="10"/>
        <v>253.85904094930413</v>
      </c>
      <c r="CC45" s="59">
        <f t="shared" si="11"/>
        <v>547.1923742826375</v>
      </c>
      <c r="CD45" s="59">
        <f ca="1">AVERAGE(OFFSET($CC$3,0,0,'Données projet'!$E$12+1,1))-AVERAGE(OFFSET($H$3,0,0,'Données projet'!$E$12+1,1))</f>
        <v>241.67556898455945</v>
      </c>
      <c r="CE45" s="59">
        <f t="shared" si="40"/>
        <v>237.71070965292648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4.9799968618941515</v>
      </c>
      <c r="CL45" s="21">
        <f>EXP(-LN(2)/25)*CL44+(1-EXP(-LN(2)/25))/(LN(2)/25)*Calculateur!CG45*Calculateur!CI45*VLOOKUP('Données projet'!$B$12,Paramètres!$A$1:$I$89,3,0)*0.475*44/12</f>
        <v>5.0731243295949096</v>
      </c>
      <c r="CM45" s="21">
        <f>EXP(-LN(2)/2)*CM44+(1-EXP(-LN(2)/2))/(LN(2)/2)*CG45*CJ45*VLOOKUP('Données projet'!$B$12,Paramètres!$A$1:$I$89,3,0)*0.475*44/12</f>
        <v>0.10463796172202502</v>
      </c>
      <c r="CN45" s="22">
        <f t="shared" si="12"/>
        <v>10.157759153211087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257.19999999999993</v>
      </c>
      <c r="O46" s="13">
        <f>N46*VLOOKUP('Données projet'!$B$9,Paramètres!$A$1:$I$89,3,0)*VLOOKUP('Données projet'!$B$9,Paramètres!$A$1:$I$89,5,0)</f>
        <v>204.62831999999995</v>
      </c>
      <c r="P46" s="13">
        <f t="shared" si="33"/>
        <v>50.759974072251445</v>
      </c>
      <c r="Q46" s="20">
        <f t="shared" si="53"/>
        <v>444.80127884250447</v>
      </c>
      <c r="R46" s="59">
        <f t="shared" si="0"/>
        <v>738.13461217583779</v>
      </c>
      <c r="S46" s="59">
        <f ca="1">AVERAGE(OFFSET($R$3,0,0,'Données projet'!$E$9+1,1))-AVERAGE(OFFSET($H$3,0,0,'Données projet'!$E$9+1,1))</f>
        <v>405.40026823646758</v>
      </c>
      <c r="T46" s="59">
        <f t="shared" si="34"/>
        <v>393.0787141050053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13.384328391472934</v>
      </c>
      <c r="AA46" s="21">
        <f>EXP(-LN(2)/25)*AA45+(1-EXP(-LN(2)/25))/(LN(2)/25)*Calculateur!V46*Calculateur!X46*VLOOKUP('Données projet'!$B$9,Paramètres!$A$1:$I$89,3,0)*0.475*44/12</f>
        <v>14.421566429557744</v>
      </c>
      <c r="AB46" s="21">
        <f>EXP(-LN(2)/2)*AB45+(1-EXP(-LN(2)/2))/(LN(2)/2)*V46*Y46*VLOOKUP('Données projet'!$B$9,Paramètres!$A$1:$I$89,3,0)*0.475*44/12</f>
        <v>0.13070118691790594</v>
      </c>
      <c r="AC46" s="22">
        <f t="shared" si="3"/>
        <v>27.936596007948584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223.00000000000011</v>
      </c>
      <c r="AJ46" s="13">
        <f>AI46*VLOOKUP('Données projet'!$B$10,Paramètres!$A$1:$I$89,3,0)*VLOOKUP('Données projet'!$B$10,Paramètres!$A$1:$I$89,5,0)</f>
        <v>194.81280000000012</v>
      </c>
      <c r="AK46" s="13">
        <f t="shared" si="35"/>
        <v>48.602440540253902</v>
      </c>
      <c r="AL46" s="20">
        <f t="shared" si="4"/>
        <v>423.9482106076091</v>
      </c>
      <c r="AM46" s="59">
        <f t="shared" si="5"/>
        <v>717.28154394094236</v>
      </c>
      <c r="AN46" s="59">
        <f ca="1">AVERAGE(OFFSET($AM$3,0,0,'Données projet'!$E$10+1,1))-AVERAGE(OFFSET($H$3,0,0,'Données projet'!$E$10+1,1))</f>
        <v>304.32767345253382</v>
      </c>
      <c r="AO46" s="59">
        <f t="shared" si="36"/>
        <v>427.16091343339173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6.1028410606071963</v>
      </c>
      <c r="AV46" s="21">
        <f>EXP(-LN(2)/25)*AV45+(1-EXP(-LN(2)/25))/(LN(2)/25)*Calculateur!AQ46*Calculateur!AS46*VLOOKUP('Données projet'!$B$10,Paramètres!$A$1:$I$89,3,0)*0.475*44/12</f>
        <v>12.635036430689331</v>
      </c>
      <c r="AW46" s="21">
        <f>EXP(-LN(2)/2)*AW45+(1-EXP(-LN(2)/2))/(LN(2)/2)*AQ46*AT46*VLOOKUP('Données projet'!$B$10,Paramètres!$A$1:$I$89,3,0)*0.475*44/12</f>
        <v>0.12455208871255286</v>
      </c>
      <c r="AX46" s="21">
        <f t="shared" si="6"/>
        <v>18.862429580009078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6.4</v>
      </c>
      <c r="BD46" s="12">
        <f>IF('Données projet'!$A$88&gt;35,BD45+BC46-BL45,IF(A46&lt;'Données projet'!$A$88,$BA$205^A46,IF(A46='Données projet'!$A$88,'Données projet'!$B$88,BD45+BC46-BL45)))</f>
        <v>146.20000000000005</v>
      </c>
      <c r="BE46" s="13">
        <f>BD46*VLOOKUP('Données projet'!$B$11,Paramètres!$A$1:$I$89,3,0)*VLOOKUP('Données projet'!$B$11,Paramètres!$A$1:$I$89,5,0)</f>
        <v>127.72032000000004</v>
      </c>
      <c r="BF46" s="13">
        <f t="shared" si="37"/>
        <v>33.469051060164404</v>
      </c>
      <c r="BG46" s="20">
        <f t="shared" si="7"/>
        <v>280.73815459645306</v>
      </c>
      <c r="BH46" s="59">
        <f t="shared" si="8"/>
        <v>574.07148792978637</v>
      </c>
      <c r="BI46" s="59">
        <f ca="1">AVERAGE(OFFSET($BH$3,0,0,'Données projet'!$E$11+1,1))-AVERAGE(OFFSET($H$3,0,0,'Données projet'!$E$11+1,1))</f>
        <v>268.31928207836495</v>
      </c>
      <c r="BJ46" s="59">
        <f t="shared" si="38"/>
        <v>277.61304526670204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1.5905609831577092</v>
      </c>
      <c r="BQ46" s="21">
        <f>EXP(-LN(2)/25)*BQ45+(1-EXP(-LN(2)/25))/(LN(2)/25)*Calculateur!BL46*Calculateur!BN46*VLOOKUP('Données projet'!$B$11,Paramètres!$A$1:$I$89,3,0)*0.475*44/12</f>
        <v>3.9273893925655257</v>
      </c>
      <c r="BR46" s="21">
        <f>EXP(-LN(2)/2)*BR45+(1-EXP(-LN(2)/2))/(LN(2)/2)*BL46*BO46*VLOOKUP('Données projet'!$B$11,Paramètres!$A$1:$I$89,3,0)*0.475*44/12</f>
        <v>9.0195958636579726E-2</v>
      </c>
      <c r="BS46" s="22">
        <f t="shared" si="9"/>
        <v>5.6081463343598141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151.19999999999996</v>
      </c>
      <c r="BZ46" s="13">
        <f>BY46*VLOOKUP('Données projet'!$B$12,Paramètres!$A$1:$I$89,3,0)*VLOOKUP('Données projet'!$B$12,Paramètres!$A$1:$I$89,5,0)</f>
        <v>120.29471999999997</v>
      </c>
      <c r="CA46" s="13">
        <f t="shared" si="39"/>
        <v>31.743728077799098</v>
      </c>
      <c r="CB46" s="20">
        <f t="shared" si="10"/>
        <v>264.80029706883334</v>
      </c>
      <c r="CC46" s="59">
        <f t="shared" si="11"/>
        <v>558.13363040216666</v>
      </c>
      <c r="CD46" s="59">
        <f ca="1">AVERAGE(OFFSET($CC$3,0,0,'Données projet'!$E$12+1,1))-AVERAGE(OFFSET($H$3,0,0,'Données projet'!$E$12+1,1))</f>
        <v>241.67556898455945</v>
      </c>
      <c r="CE46" s="59">
        <f t="shared" si="40"/>
        <v>237.71070965292648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4.8823421609305653</v>
      </c>
      <c r="CL46" s="21">
        <f>EXP(-LN(2)/25)*CL45+(1-EXP(-LN(2)/25))/(LN(2)/25)*Calculateur!CG46*Calculateur!CI46*VLOOKUP('Données projet'!$B$12,Paramètres!$A$1:$I$89,3,0)*0.475*44/12</f>
        <v>4.9343994780181228</v>
      </c>
      <c r="CM46" s="21">
        <f>EXP(-LN(2)/2)*CM45+(1-EXP(-LN(2)/2))/(LN(2)/2)*CG46*CJ46*VLOOKUP('Données projet'!$B$12,Paramètres!$A$1:$I$89,3,0)*0.475*44/12</f>
        <v>7.3990212303182284E-2</v>
      </c>
      <c r="CN46" s="22">
        <f t="shared" si="12"/>
        <v>9.8907318512518696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268.59999999999991</v>
      </c>
      <c r="O47" s="13">
        <f>N47*VLOOKUP('Données projet'!$B$9,Paramètres!$A$1:$I$89,3,0)*VLOOKUP('Données projet'!$B$9,Paramètres!$A$1:$I$89,5,0)</f>
        <v>213.69815999999994</v>
      </c>
      <c r="P47" s="13">
        <f t="shared" si="33"/>
        <v>52.742903801874164</v>
      </c>
      <c r="Q47" s="20">
        <f t="shared" si="53"/>
        <v>464.05151945493071</v>
      </c>
      <c r="R47" s="59">
        <f t="shared" si="0"/>
        <v>757.38485278826397</v>
      </c>
      <c r="S47" s="59">
        <f ca="1">AVERAGE(OFFSET($R$3,0,0,'Données projet'!$E$9+1,1))-AVERAGE(OFFSET($H$3,0,0,'Données projet'!$E$9+1,1))</f>
        <v>405.40026823646758</v>
      </c>
      <c r="T47" s="59">
        <f t="shared" si="34"/>
        <v>393.0787141050053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13.121869875350377</v>
      </c>
      <c r="AA47" s="21">
        <f>EXP(-LN(2)/25)*AA46+(1-EXP(-LN(2)/25))/(LN(2)/25)*Calculateur!V47*Calculateur!X47*VLOOKUP('Données projet'!$B$9,Paramètres!$A$1:$I$89,3,0)*0.475*44/12</f>
        <v>14.02720793714427</v>
      </c>
      <c r="AB47" s="21">
        <f>EXP(-LN(2)/2)*AB46+(1-EXP(-LN(2)/2))/(LN(2)/2)*V47*Y47*VLOOKUP('Données projet'!$B$9,Paramètres!$A$1:$I$89,3,0)*0.475*44/12</f>
        <v>9.2419695578781769E-2</v>
      </c>
      <c r="AC47" s="22">
        <f t="shared" si="3"/>
        <v>27.241497508073429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234.00000000000011</v>
      </c>
      <c r="AJ47" s="13">
        <f>AI47*VLOOKUP('Données projet'!$B$10,Paramètres!$A$1:$I$89,3,0)*VLOOKUP('Données projet'!$B$10,Paramètres!$A$1:$I$89,5,0)</f>
        <v>204.42240000000012</v>
      </c>
      <c r="AK47" s="13">
        <f t="shared" si="35"/>
        <v>50.714836797527312</v>
      </c>
      <c r="AL47" s="20">
        <f t="shared" si="4"/>
        <v>444.36402075569362</v>
      </c>
      <c r="AM47" s="59">
        <f t="shared" si="5"/>
        <v>737.69735408902693</v>
      </c>
      <c r="AN47" s="59">
        <f ca="1">AVERAGE(OFFSET($AM$3,0,0,'Données projet'!$E$10+1,1))-AVERAGE(OFFSET($H$3,0,0,'Données projet'!$E$10+1,1))</f>
        <v>304.32767345253382</v>
      </c>
      <c r="AO47" s="59">
        <f t="shared" si="36"/>
        <v>427.16091343339173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5.9831680697741829</v>
      </c>
      <c r="AV47" s="21">
        <f>EXP(-LN(2)/25)*AV46+(1-EXP(-LN(2)/25))/(LN(2)/25)*Calculateur!AQ47*Calculateur!AS47*VLOOKUP('Données projet'!$B$10,Paramètres!$A$1:$I$89,3,0)*0.475*44/12</f>
        <v>12.289530695044443</v>
      </c>
      <c r="AW47" s="21">
        <f>EXP(-LN(2)/2)*AW46+(1-EXP(-LN(2)/2))/(LN(2)/2)*AQ47*AT47*VLOOKUP('Données projet'!$B$10,Paramètres!$A$1:$I$89,3,0)*0.475*44/12</f>
        <v>8.8071626539594577E-2</v>
      </c>
      <c r="AX47" s="21">
        <f t="shared" si="6"/>
        <v>18.360770391358219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6.4</v>
      </c>
      <c r="BD47" s="12">
        <f>IF('Données projet'!$A$88&gt;35,BD46+BC47-BL46,IF(A47&lt;'Données projet'!$A$88,$BA$205^A47,IF(A47='Données projet'!$A$88,'Données projet'!$B$88,BD46+BC47-BL46)))</f>
        <v>152.60000000000005</v>
      </c>
      <c r="BE47" s="13">
        <f>BD47*VLOOKUP('Données projet'!$B$11,Paramètres!$A$1:$I$89,3,0)*VLOOKUP('Données projet'!$B$11,Paramètres!$A$1:$I$89,5,0)</f>
        <v>133.31136000000006</v>
      </c>
      <c r="BF47" s="13">
        <f t="shared" si="37"/>
        <v>34.760393689821633</v>
      </c>
      <c r="BG47" s="20">
        <f t="shared" si="7"/>
        <v>292.72497100977279</v>
      </c>
      <c r="BH47" s="59">
        <f t="shared" si="8"/>
        <v>586.0583043431061</v>
      </c>
      <c r="BI47" s="59">
        <f ca="1">AVERAGE(OFFSET($BH$3,0,0,'Données projet'!$E$11+1,1))-AVERAGE(OFFSET($H$3,0,0,'Données projet'!$E$11+1,1))</f>
        <v>268.31928207836495</v>
      </c>
      <c r="BJ47" s="59">
        <f t="shared" si="38"/>
        <v>277.61304526670204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1.5593710524243922</v>
      </c>
      <c r="BQ47" s="21">
        <f>EXP(-LN(2)/25)*BQ46+(1-EXP(-LN(2)/25))/(LN(2)/25)*Calculateur!BL47*Calculateur!BN47*VLOOKUP('Données projet'!$B$11,Paramètres!$A$1:$I$89,3,0)*0.475*44/12</f>
        <v>3.8199947230933895</v>
      </c>
      <c r="BR47" s="21">
        <f>EXP(-LN(2)/2)*BR46+(1-EXP(-LN(2)/2))/(LN(2)/2)*BL47*BO47*VLOOKUP('Données projet'!$B$11,Paramètres!$A$1:$I$89,3,0)*0.475*44/12</f>
        <v>6.3778173987546871E-2</v>
      </c>
      <c r="BS47" s="22">
        <f t="shared" si="9"/>
        <v>5.4431439495053286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157.59999999999997</v>
      </c>
      <c r="BZ47" s="13">
        <f>BY47*VLOOKUP('Données projet'!$B$12,Paramètres!$A$1:$I$89,3,0)*VLOOKUP('Données projet'!$B$12,Paramètres!$A$1:$I$89,5,0)</f>
        <v>125.38655999999999</v>
      </c>
      <c r="CA47" s="13">
        <f t="shared" si="39"/>
        <v>32.928097385453498</v>
      </c>
      <c r="CB47" s="20">
        <f t="shared" si="10"/>
        <v>275.73136161299811</v>
      </c>
      <c r="CC47" s="59">
        <f t="shared" si="11"/>
        <v>569.06469494633143</v>
      </c>
      <c r="CD47" s="59">
        <f ca="1">AVERAGE(OFFSET($CC$3,0,0,'Données projet'!$E$12+1,1))-AVERAGE(OFFSET($H$3,0,0,'Données projet'!$E$12+1,1))</f>
        <v>241.67556898455945</v>
      </c>
      <c r="CE47" s="59">
        <f t="shared" si="40"/>
        <v>237.71070965292648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4.7866024090893884</v>
      </c>
      <c r="CL47" s="21">
        <f>EXP(-LN(2)/25)*CL46+(1-EXP(-LN(2)/25))/(LN(2)/25)*Calculateur!CG47*Calculateur!CI47*VLOOKUP('Données projet'!$B$12,Paramètres!$A$1:$I$89,3,0)*0.475*44/12</f>
        <v>4.7994680648029266</v>
      </c>
      <c r="CM47" s="21">
        <f>EXP(-LN(2)/2)*CM46+(1-EXP(-LN(2)/2))/(LN(2)/2)*CG47*CJ47*VLOOKUP('Données projet'!$B$12,Paramètres!$A$1:$I$89,3,0)*0.475*44/12</f>
        <v>5.2318980861012512E-2</v>
      </c>
      <c r="CN47" s="22">
        <f t="shared" si="12"/>
        <v>9.6383894547533284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280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279.99999999999989</v>
      </c>
      <c r="O48" s="13">
        <f>N48*VLOOKUP('Données projet'!$B$9,Paramètres!$A$1:$I$89,3,0)*VLOOKUP('Données projet'!$B$9,Paramètres!$A$1:$I$89,5,0)</f>
        <v>222.76799999999994</v>
      </c>
      <c r="P48" s="13">
        <f t="shared" si="33"/>
        <v>54.716058356609508</v>
      </c>
      <c r="Q48" s="20">
        <f t="shared" si="53"/>
        <v>483.28473497109485</v>
      </c>
      <c r="R48" s="59">
        <f t="shared" si="0"/>
        <v>776.61806830442811</v>
      </c>
      <c r="S48" s="59">
        <f ca="1">AVERAGE(OFFSET($R$3,0,0,'Données projet'!$E$9+1,1))-AVERAGE(OFFSET($H$3,0,0,'Données projet'!$E$9+1,1))</f>
        <v>405.40026823646758</v>
      </c>
      <c r="T48" s="59">
        <f t="shared" si="34"/>
        <v>393.0787141050053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12.864558010645096</v>
      </c>
      <c r="AA48" s="21">
        <f>EXP(-LN(2)/25)*AA47+(1-EXP(-LN(2)/25))/(LN(2)/25)*Calculateur!V48*Calculateur!X48*VLOOKUP('Données projet'!$B$9,Paramètres!$A$1:$I$89,3,0)*0.475*44/12</f>
        <v>13.643633198444254</v>
      </c>
      <c r="AB48" s="21">
        <f>EXP(-LN(2)/2)*AB47+(1-EXP(-LN(2)/2))/(LN(2)/2)*V48*Y48*VLOOKUP('Données projet'!$B$9,Paramètres!$A$1:$I$89,3,0)*0.475*44/12</f>
        <v>6.5350593458952971E-2</v>
      </c>
      <c r="AC48" s="22">
        <f t="shared" si="3"/>
        <v>26.573541802548302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245</v>
      </c>
      <c r="AG48" s="12">
        <f>VLOOKUP(A48,'Données projet'!$A$61:$I$81,9,0)</f>
        <v>11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245.00000000000011</v>
      </c>
      <c r="AJ48" s="13">
        <f>AI48*VLOOKUP('Données projet'!$B$10,Paramètres!$A$1:$I$89,3,0)*VLOOKUP('Données projet'!$B$10,Paramètres!$A$1:$I$89,5,0)</f>
        <v>214.03200000000012</v>
      </c>
      <c r="AK48" s="13">
        <f t="shared" si="35"/>
        <v>52.815701536972284</v>
      </c>
      <c r="AL48" s="20">
        <f t="shared" si="4"/>
        <v>464.75974684356021</v>
      </c>
      <c r="AM48" s="59">
        <f t="shared" si="5"/>
        <v>758.09308017689352</v>
      </c>
      <c r="AN48" s="59">
        <f ca="1">AVERAGE(OFFSET($AM$3,0,0,'Données projet'!$E$10+1,1))-AVERAGE(OFFSET($H$3,0,0,'Données projet'!$E$10+1,1))</f>
        <v>304.32767345253382</v>
      </c>
      <c r="AO48" s="59">
        <f t="shared" si="36"/>
        <v>427.16091343339173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41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5.8658417932980882</v>
      </c>
      <c r="AV48" s="21">
        <f>EXP(-LN(2)/25)*AV47+(1-EXP(-LN(2)/25))/(LN(2)/25)*Calculateur!AQ48*Calculateur!AS48*VLOOKUP('Données projet'!$B$10,Paramètres!$A$1:$I$89,3,0)*0.475*44/12</f>
        <v>11.953472831910121</v>
      </c>
      <c r="AW48" s="21">
        <f>EXP(-LN(2)/2)*AW47+(1-EXP(-LN(2)/2))/(LN(2)/2)*AQ48*AT48*VLOOKUP('Données projet'!$B$10,Paramètres!$A$1:$I$89,3,0)*0.475*44/12</f>
        <v>6.2276044356276442E-2</v>
      </c>
      <c r="AX48" s="21">
        <f t="shared" si="6"/>
        <v>17.881590669564485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159</v>
      </c>
      <c r="BB48" s="12">
        <f>VLOOKUP(A48,'Données projet'!$A$87:$I$107,9,0)</f>
        <v>6.4</v>
      </c>
      <c r="BC48" s="12">
        <f t="array" ref="BC48">INDEX(BB:BB,MIN(IF(ISNUMBER(BB48:BB244),ROW(BB48:BB244),"")))</f>
        <v>6.4</v>
      </c>
      <c r="BD48" s="12">
        <f>IF('Données projet'!$A$88&gt;35,BD47+BC48-BL47,IF(A48&lt;'Données projet'!$A$88,$BA$205^A48,IF(A48='Données projet'!$A$88,'Données projet'!$B$88,BD47+BC48-BL47)))</f>
        <v>159.00000000000006</v>
      </c>
      <c r="BE48" s="13">
        <f>BD48*VLOOKUP('Données projet'!$B$11,Paramètres!$A$1:$I$89,3,0)*VLOOKUP('Données projet'!$B$11,Paramètres!$A$1:$I$89,5,0)</f>
        <v>138.90240000000006</v>
      </c>
      <c r="BF48" s="13">
        <f t="shared" si="37"/>
        <v>36.045445680666461</v>
      </c>
      <c r="BG48" s="20">
        <f t="shared" si="7"/>
        <v>304.70083122716079</v>
      </c>
      <c r="BH48" s="59">
        <f t="shared" si="8"/>
        <v>598.0341645604941</v>
      </c>
      <c r="BI48" s="59">
        <f ca="1">AVERAGE(OFFSET($BH$3,0,0,'Données projet'!$E$11+1,1))-AVERAGE(OFFSET($H$3,0,0,'Données projet'!$E$11+1,1))</f>
        <v>268.31928207836495</v>
      </c>
      <c r="BJ48" s="59">
        <f t="shared" si="38"/>
        <v>277.61304526670204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1.5287927372087764</v>
      </c>
      <c r="BQ48" s="21">
        <f>EXP(-LN(2)/25)*BQ47+(1-EXP(-LN(2)/25))/(LN(2)/25)*Calculateur!BL48*Calculateur!BN48*VLOOKUP('Données projet'!$B$11,Paramètres!$A$1:$I$89,3,0)*0.475*44/12</f>
        <v>3.7155367665056089</v>
      </c>
      <c r="BR48" s="21">
        <f>EXP(-LN(2)/2)*BR47+(1-EXP(-LN(2)/2))/(LN(2)/2)*BL48*BO48*VLOOKUP('Données projet'!$B$11,Paramètres!$A$1:$I$89,3,0)*0.475*44/12</f>
        <v>4.5097979318289863E-2</v>
      </c>
      <c r="BS48" s="22">
        <f t="shared" si="9"/>
        <v>5.2894274830326751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164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163.99999999999997</v>
      </c>
      <c r="BZ48" s="13">
        <f>BY48*VLOOKUP('Données projet'!$B$12,Paramètres!$A$1:$I$89,3,0)*VLOOKUP('Données projet'!$B$12,Paramètres!$A$1:$I$89,5,0)</f>
        <v>130.47839999999999</v>
      </c>
      <c r="CA48" s="13">
        <f t="shared" si="39"/>
        <v>34.106879882626828</v>
      </c>
      <c r="CB48" s="20">
        <f t="shared" si="10"/>
        <v>286.65269579557503</v>
      </c>
      <c r="CC48" s="59">
        <f t="shared" si="11"/>
        <v>579.98602912890829</v>
      </c>
      <c r="CD48" s="59">
        <f ca="1">AVERAGE(OFFSET($CC$3,0,0,'Données projet'!$E$12+1,1))-AVERAGE(OFFSET($H$3,0,0,'Données projet'!$E$12+1,1))</f>
        <v>241.67556898455945</v>
      </c>
      <c r="CE48" s="59">
        <f t="shared" si="40"/>
        <v>237.71070965292648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18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4.6927400553863343</v>
      </c>
      <c r="CL48" s="21">
        <f>EXP(-LN(2)/25)*CL47+(1-EXP(-LN(2)/25))/(LN(2)/25)*Calculateur!CG48*Calculateur!CI48*VLOOKUP('Données projet'!$B$12,Paramètres!$A$1:$I$89,3,0)*0.475*44/12</f>
        <v>4.6682263581778347</v>
      </c>
      <c r="CM48" s="21">
        <f>EXP(-LN(2)/2)*CM47+(1-EXP(-LN(2)/2))/(LN(2)/2)*CG48*CJ48*VLOOKUP('Données projet'!$B$12,Paramètres!$A$1:$I$89,3,0)*0.475*44/12</f>
        <v>3.6995106151591142E-2</v>
      </c>
      <c r="CN48" s="22">
        <f t="shared" si="12"/>
        <v>9.3979615197157607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9.8000000000000007</v>
      </c>
      <c r="N49" s="13">
        <f>IF('Données projet'!$A$36&gt;35,N48+M49-V48,IF(A49&lt;'Données projet'!$A$36,$K$205^A49,IF(A49='Données projet'!$A$36,'Données projet'!$B$36,N48+M49-V48)))</f>
        <v>263.7999999999999</v>
      </c>
      <c r="O49" s="13">
        <f>N49*VLOOKUP('Données projet'!$B$9,Paramètres!$A$1:$I$89,3,0)*VLOOKUP('Données projet'!$B$9,Paramètres!$A$1:$I$89,5,0)</f>
        <v>209.87927999999994</v>
      </c>
      <c r="P49" s="13">
        <f t="shared" si="33"/>
        <v>51.909204458241767</v>
      </c>
      <c r="Q49" s="20">
        <f t="shared" si="53"/>
        <v>455.94827709810426</v>
      </c>
      <c r="R49" s="59">
        <f t="shared" si="0"/>
        <v>749.28161043143757</v>
      </c>
      <c r="S49" s="59">
        <f ca="1">AVERAGE(OFFSET($R$3,0,0,'Données projet'!$E$9+1,1))-AVERAGE(OFFSET($H$3,0,0,'Données projet'!$E$9+1,1))</f>
        <v>405.40026823646758</v>
      </c>
      <c r="T49" s="59">
        <f t="shared" si="34"/>
        <v>393.0787141050053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12.612291874661944</v>
      </c>
      <c r="AA49" s="21">
        <f>EXP(-LN(2)/25)*AA48+(1-EXP(-LN(2)/25))/(LN(2)/25)*Calculateur!V49*Calculateur!X49*VLOOKUP('Données projet'!$B$9,Paramètres!$A$1:$I$89,3,0)*0.475*44/12</f>
        <v>13.270547331145309</v>
      </c>
      <c r="AB49" s="21">
        <f>EXP(-LN(2)/2)*AB48+(1-EXP(-LN(2)/2))/(LN(2)/2)*V49*Y49*VLOOKUP('Données projet'!$B$9,Paramètres!$A$1:$I$89,3,0)*0.475*44/12</f>
        <v>4.6209847789390884E-2</v>
      </c>
      <c r="AC49" s="22">
        <f t="shared" si="3"/>
        <v>25.929049053596643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9.6</v>
      </c>
      <c r="AI49" s="13">
        <f>IF('Données projet'!$A$62&gt;35,AI48+AH49-AQ48,IF(A49&lt;'Données projet'!$A$62,$AF$205^A49,IF(A49='Données projet'!$A$62,'Données projet'!$B$62,AI48+AH49-AQ48)))</f>
        <v>213.60000000000011</v>
      </c>
      <c r="AJ49" s="13">
        <f>AI49*VLOOKUP('Données projet'!$B$10,Paramètres!$A$1:$I$89,3,0)*VLOOKUP('Données projet'!$B$10,Paramètres!$A$1:$I$89,5,0)</f>
        <v>186.60096000000013</v>
      </c>
      <c r="AK49" s="13">
        <f t="shared" si="35"/>
        <v>46.787685683664144</v>
      </c>
      <c r="AL49" s="20">
        <f t="shared" si="4"/>
        <v>406.48522456571527</v>
      </c>
      <c r="AM49" s="59">
        <f t="shared" si="5"/>
        <v>699.81855789904853</v>
      </c>
      <c r="AN49" s="59">
        <f ca="1">AVERAGE(OFFSET($AM$3,0,0,'Données projet'!$E$10+1,1))-AVERAGE(OFFSET($H$3,0,0,'Données projet'!$E$10+1,1))</f>
        <v>304.32767345253382</v>
      </c>
      <c r="AO49" s="59">
        <f t="shared" si="36"/>
        <v>427.16091343339173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5.7508162135417269</v>
      </c>
      <c r="AV49" s="21">
        <f>EXP(-LN(2)/25)*AV48+(1-EXP(-LN(2)/25))/(LN(2)/25)*Calculateur!AQ49*Calculateur!AS49*VLOOKUP('Données projet'!$B$10,Paramètres!$A$1:$I$89,3,0)*0.475*44/12</f>
        <v>11.626604488715722</v>
      </c>
      <c r="AW49" s="21">
        <f>EXP(-LN(2)/2)*AW48+(1-EXP(-LN(2)/2))/(LN(2)/2)*AQ49*AT49*VLOOKUP('Données projet'!$B$10,Paramètres!$A$1:$I$89,3,0)*0.475*44/12</f>
        <v>4.4035813269797296E-2</v>
      </c>
      <c r="AX49" s="21">
        <f t="shared" si="6"/>
        <v>17.421456515527247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143.60000000000005</v>
      </c>
      <c r="BE49" s="13">
        <f>BD49*VLOOKUP('Données projet'!$B$11,Paramètres!$A$1:$I$89,3,0)*VLOOKUP('Données projet'!$B$11,Paramètres!$A$1:$I$89,5,0)</f>
        <v>125.44896000000007</v>
      </c>
      <c r="BF49" s="13">
        <f t="shared" si="37"/>
        <v>32.942576545548221</v>
      </c>
      <c r="BG49" s="20">
        <f t="shared" si="7"/>
        <v>275.86525948349663</v>
      </c>
      <c r="BH49" s="59">
        <f t="shared" si="8"/>
        <v>569.19859281682989</v>
      </c>
      <c r="BI49" s="59">
        <f ca="1">AVERAGE(OFFSET($BH$3,0,0,'Données projet'!$E$11+1,1))-AVERAGE(OFFSET($H$3,0,0,'Données projet'!$E$11+1,1))</f>
        <v>268.31928207836495</v>
      </c>
      <c r="BJ49" s="59">
        <f t="shared" si="38"/>
        <v>277.61304526670204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1.498814044103608</v>
      </c>
      <c r="BQ49" s="21">
        <f>EXP(-LN(2)/25)*BQ48+(1-EXP(-LN(2)/25))/(LN(2)/25)*Calculateur!BL49*Calculateur!BN49*VLOOKUP('Données projet'!$B$11,Paramètres!$A$1:$I$89,3,0)*0.475*44/12</f>
        <v>3.6139352182339266</v>
      </c>
      <c r="BR49" s="21">
        <f>EXP(-LN(2)/2)*BR48+(1-EXP(-LN(2)/2))/(LN(2)/2)*BL49*BO49*VLOOKUP('Données projet'!$B$11,Paramètres!$A$1:$I$89,3,0)*0.475*44/12</f>
        <v>3.1889086993773436E-2</v>
      </c>
      <c r="BS49" s="22">
        <f t="shared" si="9"/>
        <v>5.1446383493313084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151.59999999999997</v>
      </c>
      <c r="BZ49" s="13">
        <f>BY49*VLOOKUP('Données projet'!$B$12,Paramètres!$A$1:$I$89,3,0)*VLOOKUP('Données projet'!$B$12,Paramètres!$A$1:$I$89,5,0)</f>
        <v>120.61295999999999</v>
      </c>
      <c r="CA49" s="13">
        <f t="shared" si="39"/>
        <v>31.817919727949569</v>
      </c>
      <c r="CB49" s="20">
        <f t="shared" si="10"/>
        <v>265.48378219284547</v>
      </c>
      <c r="CC49" s="59">
        <f t="shared" si="11"/>
        <v>558.81711552617878</v>
      </c>
      <c r="CD49" s="59">
        <f ca="1">AVERAGE(OFFSET($CC$3,0,0,'Données projet'!$E$12+1,1))-AVERAGE(OFFSET($H$3,0,0,'Données projet'!$E$12+1,1))</f>
        <v>241.67556898455945</v>
      </c>
      <c r="CE49" s="59">
        <f t="shared" si="40"/>
        <v>237.71070965292648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4.6007182851890143</v>
      </c>
      <c r="CL49" s="21">
        <f>EXP(-LN(2)/25)*CL48+(1-EXP(-LN(2)/25))/(LN(2)/25)*Calculateur!CG49*Calculateur!CI49*VLOOKUP('Données projet'!$B$12,Paramètres!$A$1:$I$89,3,0)*0.475*44/12</f>
        <v>4.5405734629221071</v>
      </c>
      <c r="CM49" s="21">
        <f>EXP(-LN(2)/2)*CM48+(1-EXP(-LN(2)/2))/(LN(2)/2)*CG49*CJ49*VLOOKUP('Données projet'!$B$12,Paramètres!$A$1:$I$89,3,0)*0.475*44/12</f>
        <v>2.6159490430506256E-2</v>
      </c>
      <c r="CN49" s="22">
        <f t="shared" si="12"/>
        <v>9.1674512385416289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9.8000000000000007</v>
      </c>
      <c r="N50" s="13">
        <f>IF('Données projet'!$A$36&gt;35,N49+M50-V49,IF(A50&lt;'Données projet'!$A$36,$K$205^A50,IF(A50='Données projet'!$A$36,'Données projet'!$B$36,N49+M50-V49)))</f>
        <v>273.59999999999991</v>
      </c>
      <c r="O50" s="13">
        <f>N50*VLOOKUP('Données projet'!$B$9,Paramètres!$A$1:$I$89,3,0)*VLOOKUP('Données projet'!$B$9,Paramètres!$A$1:$I$89,5,0)</f>
        <v>217.67615999999992</v>
      </c>
      <c r="P50" s="13">
        <f t="shared" si="33"/>
        <v>53.609498850196708</v>
      </c>
      <c r="Q50" s="20">
        <f t="shared" si="53"/>
        <v>472.48918916409235</v>
      </c>
      <c r="R50" s="59">
        <f t="shared" si="0"/>
        <v>765.82252249742567</v>
      </c>
      <c r="S50" s="59">
        <f ca="1">AVERAGE(OFFSET($R$3,0,0,'Données projet'!$E$9+1,1))-AVERAGE(OFFSET($H$3,0,0,'Données projet'!$E$9+1,1))</f>
        <v>405.40026823646758</v>
      </c>
      <c r="T50" s="59">
        <f t="shared" si="34"/>
        <v>393.0787141050053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12.364972523738272</v>
      </c>
      <c r="AA50" s="21">
        <f>EXP(-LN(2)/25)*AA49+(1-EXP(-LN(2)/25))/(LN(2)/25)*Calculateur!V50*Calculateur!X50*VLOOKUP('Données projet'!$B$9,Paramètres!$A$1:$I$89,3,0)*0.475*44/12</f>
        <v>12.907663516507387</v>
      </c>
      <c r="AB50" s="21">
        <f>EXP(-LN(2)/2)*AB49+(1-EXP(-LN(2)/2))/(LN(2)/2)*V50*Y50*VLOOKUP('Données projet'!$B$9,Paramètres!$A$1:$I$89,3,0)*0.475*44/12</f>
        <v>3.2675296729476486E-2</v>
      </c>
      <c r="AC50" s="22">
        <f t="shared" si="3"/>
        <v>25.305311336975134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9.6</v>
      </c>
      <c r="AI50" s="13">
        <f>IF('Données projet'!$A$62&gt;35,AI49+AH50-AQ49,IF(A50&lt;'Données projet'!$A$62,$AF$205^A50,IF(A50='Données projet'!$A$62,'Données projet'!$B$62,AI49+AH50-AQ49)))</f>
        <v>223.2000000000001</v>
      </c>
      <c r="AJ50" s="13">
        <f>AI50*VLOOKUP('Données projet'!$B$10,Paramètres!$A$1:$I$89,3,0)*VLOOKUP('Données projet'!$B$10,Paramètres!$A$1:$I$89,5,0)</f>
        <v>194.98752000000013</v>
      </c>
      <c r="AK50" s="13">
        <f t="shared" si="35"/>
        <v>48.640954330020385</v>
      </c>
      <c r="AL50" s="20">
        <f t="shared" si="4"/>
        <v>424.31959279145235</v>
      </c>
      <c r="AM50" s="59">
        <f t="shared" si="5"/>
        <v>717.65292612478561</v>
      </c>
      <c r="AN50" s="59">
        <f ca="1">AVERAGE(OFFSET($AM$3,0,0,'Données projet'!$E$10+1,1))-AVERAGE(OFFSET($H$3,0,0,'Données projet'!$E$10+1,1))</f>
        <v>304.32767345253382</v>
      </c>
      <c r="AO50" s="59">
        <f t="shared" si="36"/>
        <v>427.16091343339173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5.638046215245712</v>
      </c>
      <c r="AV50" s="21">
        <f>EXP(-LN(2)/25)*AV49+(1-EXP(-LN(2)/25))/(LN(2)/25)*Calculateur!AQ50*Calculateur!AS50*VLOOKUP('Données projet'!$B$10,Paramètres!$A$1:$I$89,3,0)*0.475*44/12</f>
        <v>11.308674377555233</v>
      </c>
      <c r="AW50" s="21">
        <f>EXP(-LN(2)/2)*AW49+(1-EXP(-LN(2)/2))/(LN(2)/2)*AQ50*AT50*VLOOKUP('Données projet'!$B$10,Paramètres!$A$1:$I$89,3,0)*0.475*44/12</f>
        <v>3.1138022178138224E-2</v>
      </c>
      <c r="AX50" s="21">
        <f t="shared" si="6"/>
        <v>16.97785861497908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149.20000000000005</v>
      </c>
      <c r="BE50" s="13">
        <f>BD50*VLOOKUP('Données projet'!$B$11,Paramètres!$A$1:$I$89,3,0)*VLOOKUP('Données projet'!$B$11,Paramètres!$A$1:$I$89,5,0)</f>
        <v>130.34112000000005</v>
      </c>
      <c r="BF50" s="13">
        <f t="shared" si="37"/>
        <v>34.075170122989917</v>
      </c>
      <c r="BG50" s="20">
        <f t="shared" si="7"/>
        <v>286.35837196420749</v>
      </c>
      <c r="BH50" s="59">
        <f t="shared" si="8"/>
        <v>579.69170529754081</v>
      </c>
      <c r="BI50" s="59">
        <f ca="1">AVERAGE(OFFSET($BH$3,0,0,'Données projet'!$E$11+1,1))-AVERAGE(OFFSET($H$3,0,0,'Données projet'!$E$11+1,1))</f>
        <v>268.31928207836495</v>
      </c>
      <c r="BJ50" s="59">
        <f t="shared" si="38"/>
        <v>277.61304526670204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1.4694232148850348</v>
      </c>
      <c r="BQ50" s="21">
        <f>EXP(-LN(2)/25)*BQ49+(1-EXP(-LN(2)/25))/(LN(2)/25)*Calculateur!BL50*Calculateur!BN50*VLOOKUP('Données projet'!$B$11,Paramètres!$A$1:$I$89,3,0)*0.475*44/12</f>
        <v>3.5151119696427267</v>
      </c>
      <c r="BR50" s="21">
        <f>EXP(-LN(2)/2)*BR49+(1-EXP(-LN(2)/2))/(LN(2)/2)*BL50*BO50*VLOOKUP('Données projet'!$B$11,Paramètres!$A$1:$I$89,3,0)*0.475*44/12</f>
        <v>2.2548989659144932E-2</v>
      </c>
      <c r="BS50" s="22">
        <f t="shared" si="9"/>
        <v>5.0070841741869065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157.19999999999996</v>
      </c>
      <c r="BZ50" s="13">
        <f>BY50*VLOOKUP('Données projet'!$B$12,Paramètres!$A$1:$I$89,3,0)*VLOOKUP('Données projet'!$B$12,Paramètres!$A$1:$I$89,5,0)</f>
        <v>125.06831999999997</v>
      </c>
      <c r="CA50" s="13">
        <f t="shared" si="39"/>
        <v>32.854240611993333</v>
      </c>
      <c r="CB50" s="20">
        <f t="shared" si="10"/>
        <v>275.04845973255499</v>
      </c>
      <c r="CC50" s="59">
        <f t="shared" si="11"/>
        <v>568.38179306588836</v>
      </c>
      <c r="CD50" s="59">
        <f ca="1">AVERAGE(OFFSET($CC$3,0,0,'Données projet'!$E$12+1,1))-AVERAGE(OFFSET($H$3,0,0,'Données projet'!$E$12+1,1))</f>
        <v>241.67556898455945</v>
      </c>
      <c r="CE50" s="59">
        <f t="shared" si="40"/>
        <v>237.71070965292648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4.5105010057775266</v>
      </c>
      <c r="CL50" s="21">
        <f>EXP(-LN(2)/25)*CL49+(1-EXP(-LN(2)/25))/(LN(2)/25)*Calculateur!CG50*Calculateur!CI50*VLOOKUP('Données projet'!$B$12,Paramètres!$A$1:$I$89,3,0)*0.475*44/12</f>
        <v>4.4164112428001214</v>
      </c>
      <c r="CM50" s="21">
        <f>EXP(-LN(2)/2)*CM49+(1-EXP(-LN(2)/2))/(LN(2)/2)*CG50*CJ50*VLOOKUP('Données projet'!$B$12,Paramètres!$A$1:$I$89,3,0)*0.475*44/12</f>
        <v>1.8497553075795571E-2</v>
      </c>
      <c r="CN50" s="22">
        <f t="shared" si="12"/>
        <v>8.945409801653442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9.8000000000000007</v>
      </c>
      <c r="N51" s="13">
        <f>IF('Données projet'!$A$36&gt;35,N50+M51-V50,IF(A51&lt;'Données projet'!$A$36,$K$205^A51,IF(A51='Données projet'!$A$36,'Données projet'!$B$36,N50+M51-V50)))</f>
        <v>283.39999999999992</v>
      </c>
      <c r="O51" s="13">
        <f>N51*VLOOKUP('Données projet'!$B$9,Paramètres!$A$1:$I$89,3,0)*VLOOKUP('Données projet'!$B$9,Paramètres!$A$1:$I$89,5,0)</f>
        <v>225.47303999999994</v>
      </c>
      <c r="P51" s="13">
        <f t="shared" si="33"/>
        <v>55.302717367103824</v>
      </c>
      <c r="Q51" s="20">
        <f t="shared" si="53"/>
        <v>489.0177774143724</v>
      </c>
      <c r="R51" s="59">
        <f t="shared" si="0"/>
        <v>782.35111074770566</v>
      </c>
      <c r="S51" s="59">
        <f ca="1">AVERAGE(OFFSET($R$3,0,0,'Données projet'!$E$9+1,1))-AVERAGE(OFFSET($H$3,0,0,'Données projet'!$E$9+1,1))</f>
        <v>405.40026823646758</v>
      </c>
      <c r="T51" s="59">
        <f t="shared" si="34"/>
        <v>393.0787141050053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12.122502954436305</v>
      </c>
      <c r="AA51" s="21">
        <f>EXP(-LN(2)/25)*AA50+(1-EXP(-LN(2)/25))/(LN(2)/25)*Calculateur!V51*Calculateur!X51*VLOOKUP('Données projet'!$B$9,Paramètres!$A$1:$I$89,3,0)*0.475*44/12</f>
        <v>12.55470277886397</v>
      </c>
      <c r="AB51" s="21">
        <f>EXP(-LN(2)/2)*AB50+(1-EXP(-LN(2)/2))/(LN(2)/2)*V51*Y51*VLOOKUP('Données projet'!$B$9,Paramètres!$A$1:$I$89,3,0)*0.475*44/12</f>
        <v>2.3104923894695442E-2</v>
      </c>
      <c r="AC51" s="22">
        <f t="shared" si="3"/>
        <v>24.700310657194972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9.6</v>
      </c>
      <c r="AI51" s="13">
        <f>IF('Données projet'!$A$62&gt;35,AI50+AH51-AQ50,IF(A51&lt;'Données projet'!$A$62,$AF$205^A51,IF(A51='Données projet'!$A$62,'Données projet'!$B$62,AI50+AH51-AQ50)))</f>
        <v>232.8000000000001</v>
      </c>
      <c r="AJ51" s="13">
        <f>AI51*VLOOKUP('Données projet'!$B$10,Paramètres!$A$1:$I$89,3,0)*VLOOKUP('Données projet'!$B$10,Paramètres!$A$1:$I$89,5,0)</f>
        <v>203.37408000000013</v>
      </c>
      <c r="AK51" s="13">
        <f t="shared" si="35"/>
        <v>50.484964849140624</v>
      </c>
      <c r="AL51" s="20">
        <f t="shared" si="4"/>
        <v>442.1378364455868</v>
      </c>
      <c r="AM51" s="59">
        <f t="shared" si="5"/>
        <v>735.47116977892006</v>
      </c>
      <c r="AN51" s="59">
        <f ca="1">AVERAGE(OFFSET($AM$3,0,0,'Données projet'!$E$10+1,1))-AVERAGE(OFFSET($H$3,0,0,'Données projet'!$E$10+1,1))</f>
        <v>304.32767345253382</v>
      </c>
      <c r="AO51" s="59">
        <f t="shared" si="36"/>
        <v>427.16091343339173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5.5274875678333748</v>
      </c>
      <c r="AV51" s="21">
        <f>EXP(-LN(2)/25)*AV50+(1-EXP(-LN(2)/25))/(LN(2)/25)*Calculateur!AQ51*Calculateur!AS51*VLOOKUP('Données projet'!$B$10,Paramètres!$A$1:$I$89,3,0)*0.475*44/12</f>
        <v>10.999438082003646</v>
      </c>
      <c r="AW51" s="21">
        <f>EXP(-LN(2)/2)*AW50+(1-EXP(-LN(2)/2))/(LN(2)/2)*AQ51*AT51*VLOOKUP('Données projet'!$B$10,Paramètres!$A$1:$I$89,3,0)*0.475*44/12</f>
        <v>2.2017906634898651E-2</v>
      </c>
      <c r="AX51" s="21">
        <f t="shared" si="6"/>
        <v>16.548943556471919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154.80000000000004</v>
      </c>
      <c r="BE51" s="13">
        <f>BD51*VLOOKUP('Données projet'!$B$11,Paramètres!$A$1:$I$89,3,0)*VLOOKUP('Données projet'!$B$11,Paramètres!$A$1:$I$89,5,0)</f>
        <v>135.23328000000006</v>
      </c>
      <c r="BF51" s="13">
        <f t="shared" si="37"/>
        <v>35.202825080004466</v>
      </c>
      <c r="BG51" s="20">
        <f t="shared" si="7"/>
        <v>296.84288301434117</v>
      </c>
      <c r="BH51" s="59">
        <f t="shared" si="8"/>
        <v>590.17621634767443</v>
      </c>
      <c r="BI51" s="59">
        <f ca="1">AVERAGE(OFFSET($BH$3,0,0,'Données projet'!$E$11+1,1))-AVERAGE(OFFSET($H$3,0,0,'Données projet'!$E$11+1,1))</f>
        <v>268.31928207836495</v>
      </c>
      <c r="BJ51" s="59">
        <f t="shared" si="38"/>
        <v>277.61304526670204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1.4406087219008021</v>
      </c>
      <c r="BQ51" s="21">
        <f>EXP(-LN(2)/25)*BQ50+(1-EXP(-LN(2)/25))/(LN(2)/25)*Calculateur!BL51*Calculateur!BN51*VLOOKUP('Données projet'!$B$11,Paramètres!$A$1:$I$89,3,0)*0.475*44/12</f>
        <v>3.4189910479811418</v>
      </c>
      <c r="BR51" s="21">
        <f>EXP(-LN(2)/2)*BR50+(1-EXP(-LN(2)/2))/(LN(2)/2)*BL51*BO51*VLOOKUP('Données projet'!$B$11,Paramètres!$A$1:$I$89,3,0)*0.475*44/12</f>
        <v>1.5944543496886718E-2</v>
      </c>
      <c r="BS51" s="22">
        <f t="shared" si="9"/>
        <v>4.875544313378831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162.79999999999995</v>
      </c>
      <c r="BZ51" s="13">
        <f>BY51*VLOOKUP('Données projet'!$B$12,Paramètres!$A$1:$I$89,3,0)*VLOOKUP('Données projet'!$B$12,Paramètres!$A$1:$I$89,5,0)</f>
        <v>129.52367999999996</v>
      </c>
      <c r="CA51" s="13">
        <f t="shared" si="39"/>
        <v>33.886272262901727</v>
      </c>
      <c r="CB51" s="20">
        <f t="shared" si="10"/>
        <v>284.60566685788712</v>
      </c>
      <c r="CC51" s="59">
        <f t="shared" si="11"/>
        <v>577.93900019122043</v>
      </c>
      <c r="CD51" s="59">
        <f ca="1">AVERAGE(OFFSET($CC$3,0,0,'Données projet'!$E$12+1,1))-AVERAGE(OFFSET($H$3,0,0,'Données projet'!$E$12+1,1))</f>
        <v>241.67556898455945</v>
      </c>
      <c r="CE51" s="59">
        <f t="shared" si="40"/>
        <v>237.71070965292648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4.4220528321881911</v>
      </c>
      <c r="CL51" s="21">
        <f>EXP(-LN(2)/25)*CL50+(1-EXP(-LN(2)/25))/(LN(2)/25)*Calculateur!CG51*Calculateur!CI51*VLOOKUP('Données projet'!$B$12,Paramètres!$A$1:$I$89,3,0)*0.475*44/12</f>
        <v>4.2956442451167787</v>
      </c>
      <c r="CM51" s="21">
        <f>EXP(-LN(2)/2)*CM50+(1-EXP(-LN(2)/2))/(LN(2)/2)*CG51*CJ51*VLOOKUP('Données projet'!$B$12,Paramètres!$A$1:$I$89,3,0)*0.475*44/12</f>
        <v>1.3079745215253128E-2</v>
      </c>
      <c r="CN51" s="22">
        <f t="shared" si="12"/>
        <v>8.7307768225202214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9.8000000000000007</v>
      </c>
      <c r="N52" s="13">
        <f>IF('Données projet'!$A$36&gt;35,N51+M52-V51,IF(A52&lt;'Données projet'!$A$36,$K$205^A52,IF(A52='Données projet'!$A$36,'Données projet'!$B$36,N51+M52-V51)))</f>
        <v>293.19999999999993</v>
      </c>
      <c r="O52" s="13">
        <f>N52*VLOOKUP('Données projet'!$B$9,Paramètres!$A$1:$I$89,3,0)*VLOOKUP('Données projet'!$B$9,Paramètres!$A$1:$I$89,5,0)</f>
        <v>233.26991999999993</v>
      </c>
      <c r="P52" s="13">
        <f t="shared" si="33"/>
        <v>56.989132736134763</v>
      </c>
      <c r="Q52" s="20">
        <f t="shared" si="53"/>
        <v>505.53451684876785</v>
      </c>
      <c r="R52" s="59">
        <f t="shared" si="0"/>
        <v>798.86785018210117</v>
      </c>
      <c r="S52" s="59">
        <f ca="1">AVERAGE(OFFSET($R$3,0,0,'Données projet'!$E$9+1,1))-AVERAGE(OFFSET($H$3,0,0,'Données projet'!$E$9+1,1))</f>
        <v>405.40026823646758</v>
      </c>
      <c r="T52" s="59">
        <f t="shared" si="34"/>
        <v>393.0787141050053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11.884788065496515</v>
      </c>
      <c r="AA52" s="21">
        <f>EXP(-LN(2)/25)*AA51+(1-EXP(-LN(2)/25))/(LN(2)/25)*Calculateur!V52*Calculateur!X52*VLOOKUP('Données projet'!$B$9,Paramètres!$A$1:$I$89,3,0)*0.475*44/12</f>
        <v>12.21139377115281</v>
      </c>
      <c r="AB52" s="21">
        <f>EXP(-LN(2)/2)*AB51+(1-EXP(-LN(2)/2))/(LN(2)/2)*V52*Y52*VLOOKUP('Données projet'!$B$9,Paramètres!$A$1:$I$89,3,0)*0.475*44/12</f>
        <v>1.6337648364738243E-2</v>
      </c>
      <c r="AC52" s="22">
        <f t="shared" si="3"/>
        <v>24.112519485014065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9.6</v>
      </c>
      <c r="AI52" s="13">
        <f>IF('Données projet'!$A$62&gt;35,AI51+AH52-AQ51,IF(A52&lt;'Données projet'!$A$62,$AF$205^A52,IF(A52='Données projet'!$A$62,'Données projet'!$B$62,AI51+AH52-AQ51)))</f>
        <v>242.40000000000009</v>
      </c>
      <c r="AJ52" s="13">
        <f>AI52*VLOOKUP('Données projet'!$B$10,Paramètres!$A$1:$I$89,3,0)*VLOOKUP('Données projet'!$B$10,Paramètres!$A$1:$I$89,5,0)</f>
        <v>211.76064000000011</v>
      </c>
      <c r="AK52" s="13">
        <f t="shared" si="35"/>
        <v>52.320142683061327</v>
      </c>
      <c r="AL52" s="20">
        <f t="shared" si="4"/>
        <v>459.94069650633202</v>
      </c>
      <c r="AM52" s="59">
        <f t="shared" si="5"/>
        <v>753.27402983966533</v>
      </c>
      <c r="AN52" s="59">
        <f ca="1">AVERAGE(OFFSET($AM$3,0,0,'Données projet'!$E$10+1,1))-AVERAGE(OFFSET($H$3,0,0,'Données projet'!$E$10+1,1))</f>
        <v>304.32767345253382</v>
      </c>
      <c r="AO52" s="59">
        <f t="shared" si="36"/>
        <v>427.16091343339173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5.4190969080626772</v>
      </c>
      <c r="AV52" s="21">
        <f>EXP(-LN(2)/25)*AV51+(1-EXP(-LN(2)/25))/(LN(2)/25)*Calculateur!AQ52*Calculateur!AS52*VLOOKUP('Données projet'!$B$10,Paramètres!$A$1:$I$89,3,0)*0.475*44/12</f>
        <v>10.698657869215948</v>
      </c>
      <c r="AW52" s="21">
        <f>EXP(-LN(2)/2)*AW51+(1-EXP(-LN(2)/2))/(LN(2)/2)*AQ52*AT52*VLOOKUP('Données projet'!$B$10,Paramètres!$A$1:$I$89,3,0)*0.475*44/12</f>
        <v>1.5569011089069114E-2</v>
      </c>
      <c r="AX52" s="21">
        <f t="shared" si="6"/>
        <v>16.133323788367697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160.40000000000003</v>
      </c>
      <c r="BE52" s="13">
        <f>BD52*VLOOKUP('Données projet'!$B$11,Paramètres!$A$1:$I$89,3,0)*VLOOKUP('Données projet'!$B$11,Paramètres!$A$1:$I$89,5,0)</f>
        <v>140.12544000000005</v>
      </c>
      <c r="BF52" s="13">
        <f t="shared" si="37"/>
        <v>36.325740539490845</v>
      </c>
      <c r="BG52" s="20">
        <f t="shared" si="7"/>
        <v>307.31913943961331</v>
      </c>
      <c r="BH52" s="59">
        <f t="shared" si="8"/>
        <v>600.65247277294657</v>
      </c>
      <c r="BI52" s="59">
        <f ca="1">AVERAGE(OFFSET($BH$3,0,0,'Données projet'!$E$11+1,1))-AVERAGE(OFFSET($H$3,0,0,'Données projet'!$E$11+1,1))</f>
        <v>268.31928207836495</v>
      </c>
      <c r="BJ52" s="59">
        <f t="shared" si="38"/>
        <v>277.61304526670204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1.4123592635488849</v>
      </c>
      <c r="BQ52" s="21">
        <f>EXP(-LN(2)/25)*BQ51+(1-EXP(-LN(2)/25))/(LN(2)/25)*Calculateur!BL52*Calculateur!BN52*VLOOKUP('Données projet'!$B$11,Paramètres!$A$1:$I$89,3,0)*0.475*44/12</f>
        <v>3.3254985579771725</v>
      </c>
      <c r="BR52" s="21">
        <f>EXP(-LN(2)/2)*BR51+(1-EXP(-LN(2)/2))/(LN(2)/2)*BL52*BO52*VLOOKUP('Données projet'!$B$11,Paramètres!$A$1:$I$89,3,0)*0.475*44/12</f>
        <v>1.1274494829572466E-2</v>
      </c>
      <c r="BS52" s="22">
        <f t="shared" si="9"/>
        <v>4.74913231635563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168.39999999999995</v>
      </c>
      <c r="BZ52" s="13">
        <f>BY52*VLOOKUP('Données projet'!$B$12,Paramètres!$A$1:$I$89,3,0)*VLOOKUP('Données projet'!$B$12,Paramètres!$A$1:$I$89,5,0)</f>
        <v>133.97903999999997</v>
      </c>
      <c r="CA52" s="13">
        <f t="shared" si="39"/>
        <v>34.914179132249863</v>
      </c>
      <c r="CB52" s="20">
        <f t="shared" si="10"/>
        <v>294.15568998866848</v>
      </c>
      <c r="CC52" s="59">
        <f t="shared" si="11"/>
        <v>587.4890233220018</v>
      </c>
      <c r="CD52" s="59">
        <f ca="1">AVERAGE(OFFSET($CC$3,0,0,'Données projet'!$E$12+1,1))-AVERAGE(OFFSET($H$3,0,0,'Données projet'!$E$12+1,1))</f>
        <v>241.67556898455945</v>
      </c>
      <c r="CE52" s="59">
        <f t="shared" si="40"/>
        <v>237.71070965292648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4.3353390733348833</v>
      </c>
      <c r="CL52" s="21">
        <f>EXP(-LN(2)/25)*CL51+(1-EXP(-LN(2)/25))/(LN(2)/25)*Calculateur!CG52*Calculateur!CI52*VLOOKUP('Données projet'!$B$12,Paramètres!$A$1:$I$89,3,0)*0.475*44/12</f>
        <v>4.1781796273359477</v>
      </c>
      <c r="CM52" s="21">
        <f>EXP(-LN(2)/2)*CM51+(1-EXP(-LN(2)/2))/(LN(2)/2)*CG52*CJ52*VLOOKUP('Données projet'!$B$12,Paramètres!$A$1:$I$89,3,0)*0.475*44/12</f>
        <v>9.2487765378977856E-3</v>
      </c>
      <c r="CN52" s="22">
        <f t="shared" si="12"/>
        <v>8.5227674772087294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303</v>
      </c>
      <c r="L53" s="12">
        <f>VLOOKUP(A53,'Données projet'!$A$35:$I$55,9,0)</f>
        <v>9.8000000000000007</v>
      </c>
      <c r="M53" s="12">
        <f t="array" ref="M53">INDEX(L:L,MIN(IF(ISNUMBER(L53:L249),ROW(L53:L249),"")))</f>
        <v>9.8000000000000007</v>
      </c>
      <c r="N53" s="13">
        <f>IF('Données projet'!$A$36&gt;35,N52+M53-V52,IF(A53&lt;'Données projet'!$A$36,$K$205^A53,IF(A53='Données projet'!$A$36,'Données projet'!$B$36,N52+M53-V52)))</f>
        <v>302.99999999999994</v>
      </c>
      <c r="O53" s="13">
        <f>N53*VLOOKUP('Données projet'!$B$9,Paramètres!$A$1:$I$89,3,0)*VLOOKUP('Données projet'!$B$9,Paramètres!$A$1:$I$89,5,0)</f>
        <v>241.06679999999997</v>
      </c>
      <c r="P53" s="13">
        <f t="shared" si="33"/>
        <v>58.668998418543559</v>
      </c>
      <c r="Q53" s="20">
        <f t="shared" si="53"/>
        <v>522.03984891229663</v>
      </c>
      <c r="R53" s="59">
        <f t="shared" si="0"/>
        <v>815.37318224563001</v>
      </c>
      <c r="S53" s="59">
        <f ca="1">AVERAGE(OFFSET($R$3,0,0,'Données projet'!$E$9+1,1))-AVERAGE(OFFSET($H$3,0,0,'Données projet'!$E$9+1,1))</f>
        <v>405.40026823646758</v>
      </c>
      <c r="T53" s="59">
        <f t="shared" si="34"/>
        <v>393.0787141050053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11.651734620537068</v>
      </c>
      <c r="AA53" s="21">
        <f>EXP(-LN(2)/25)*AA52+(1-EXP(-LN(2)/25))/(LN(2)/25)*Calculateur!V53*Calculateur!X53*VLOOKUP('Données projet'!$B$9,Paramètres!$A$1:$I$89,3,0)*0.475*44/12</f>
        <v>11.877472566311347</v>
      </c>
      <c r="AB53" s="21">
        <f>EXP(-LN(2)/2)*AB52+(1-EXP(-LN(2)/2))/(LN(2)/2)*V53*Y53*VLOOKUP('Données projet'!$B$9,Paramètres!$A$1:$I$89,3,0)*0.475*44/12</f>
        <v>1.1552461947347721E-2</v>
      </c>
      <c r="AC53" s="22">
        <f t="shared" si="3"/>
        <v>23.540759648795763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252</v>
      </c>
      <c r="AG53" s="12">
        <f>VLOOKUP(A53,'Données projet'!$A$61:$I$81,9,0)</f>
        <v>9.6</v>
      </c>
      <c r="AH53" s="12">
        <f t="array" ref="AH53">INDEX(AG:AG,MIN(IF(ISNUMBER(AG53:AG249),ROW(AG53:AG249),"")))</f>
        <v>9.6</v>
      </c>
      <c r="AI53" s="13">
        <f>IF('Données projet'!$A$62&gt;35,AI52+AH53-AQ52,IF(A53&lt;'Données projet'!$A$62,$AF$205^A53,IF(A53='Données projet'!$A$62,'Données projet'!$B$62,AI52+AH53-AQ52)))</f>
        <v>252.00000000000009</v>
      </c>
      <c r="AJ53" s="13">
        <f>AI53*VLOOKUP('Données projet'!$B$10,Paramètres!$A$1:$I$89,3,0)*VLOOKUP('Données projet'!$B$10,Paramètres!$A$1:$I$89,5,0)</f>
        <v>220.14720000000011</v>
      </c>
      <c r="AK53" s="13">
        <f t="shared" si="35"/>
        <v>54.146877667769687</v>
      </c>
      <c r="AL53" s="20">
        <f t="shared" si="4"/>
        <v>477.72885193803239</v>
      </c>
      <c r="AM53" s="59">
        <f t="shared" si="5"/>
        <v>771.06218527136571</v>
      </c>
      <c r="AN53" s="59">
        <f ca="1">AVERAGE(OFFSET($AM$3,0,0,'Données projet'!$E$10+1,1))-AVERAGE(OFFSET($H$3,0,0,'Données projet'!$E$10+1,1))</f>
        <v>304.32767345253382</v>
      </c>
      <c r="AO53" s="59">
        <f t="shared" si="36"/>
        <v>427.16091343339173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37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5.3128317230183084</v>
      </c>
      <c r="AV53" s="21">
        <f>EXP(-LN(2)/25)*AV52+(1-EXP(-LN(2)/25))/(LN(2)/25)*Calculateur!AQ53*Calculateur!AS53*VLOOKUP('Données projet'!$B$10,Paramètres!$A$1:$I$89,3,0)*0.475*44/12</f>
        <v>10.406102507164272</v>
      </c>
      <c r="AW53" s="21">
        <f>EXP(-LN(2)/2)*AW52+(1-EXP(-LN(2)/2))/(LN(2)/2)*AQ53*AT53*VLOOKUP('Données projet'!$B$10,Paramètres!$A$1:$I$89,3,0)*0.475*44/12</f>
        <v>1.1008953317449327E-2</v>
      </c>
      <c r="AX53" s="21">
        <f t="shared" si="6"/>
        <v>15.729943183500028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166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166.00000000000003</v>
      </c>
      <c r="BE53" s="13">
        <f>BD53*VLOOKUP('Données projet'!$B$11,Paramètres!$A$1:$I$89,3,0)*VLOOKUP('Données projet'!$B$11,Paramètres!$A$1:$I$89,5,0)</f>
        <v>145.01760000000004</v>
      </c>
      <c r="BF53" s="13">
        <f t="shared" si="37"/>
        <v>37.444100932065233</v>
      </c>
      <c r="BG53" s="20">
        <f t="shared" si="7"/>
        <v>317.78746245668032</v>
      </c>
      <c r="BH53" s="59">
        <f t="shared" si="8"/>
        <v>611.12079579001363</v>
      </c>
      <c r="BI53" s="59">
        <f ca="1">AVERAGE(OFFSET($BH$3,0,0,'Données projet'!$E$11+1,1))-AVERAGE(OFFSET($H$3,0,0,'Données projet'!$E$11+1,1))</f>
        <v>268.31928207836495</v>
      </c>
      <c r="BJ53" s="59">
        <f t="shared" si="38"/>
        <v>277.61304526670204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1.3846637598447804</v>
      </c>
      <c r="BQ53" s="21">
        <f>EXP(-LN(2)/25)*BQ52+(1-EXP(-LN(2)/25))/(LN(2)/25)*Calculateur!BL53*Calculateur!BN53*VLOOKUP('Données projet'!$B$11,Paramètres!$A$1:$I$89,3,0)*0.475*44/12</f>
        <v>3.2345626250289179</v>
      </c>
      <c r="BR53" s="21">
        <f>EXP(-LN(2)/2)*BR52+(1-EXP(-LN(2)/2))/(LN(2)/2)*BL53*BO53*VLOOKUP('Données projet'!$B$11,Paramètres!$A$1:$I$89,3,0)*0.475*44/12</f>
        <v>7.9722717484433589E-3</v>
      </c>
      <c r="BS53" s="22">
        <f t="shared" si="9"/>
        <v>4.6271986566221415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174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173.99999999999994</v>
      </c>
      <c r="BZ53" s="13">
        <f>BY53*VLOOKUP('Données projet'!$B$12,Paramètres!$A$1:$I$89,3,0)*VLOOKUP('Données projet'!$B$12,Paramètres!$A$1:$I$89,5,0)</f>
        <v>138.43439999999995</v>
      </c>
      <c r="CA53" s="13">
        <f t="shared" si="39"/>
        <v>35.938114113553581</v>
      </c>
      <c r="CB53" s="20">
        <f t="shared" si="10"/>
        <v>303.69879541443908</v>
      </c>
      <c r="CC53" s="59">
        <f t="shared" si="11"/>
        <v>597.03212874777239</v>
      </c>
      <c r="CD53" s="59">
        <f ca="1">AVERAGE(OFFSET($CC$3,0,0,'Données projet'!$E$12+1,1))-AVERAGE(OFFSET($H$3,0,0,'Données projet'!$E$12+1,1))</f>
        <v>241.67556898455945</v>
      </c>
      <c r="CE53" s="59">
        <f t="shared" si="40"/>
        <v>237.71070965292648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4.250325718402518</v>
      </c>
      <c r="CL53" s="21">
        <f>EXP(-LN(2)/25)*CL52+(1-EXP(-LN(2)/25))/(LN(2)/25)*Calculateur!CG53*Calculateur!CI53*VLOOKUP('Données projet'!$B$12,Paramètres!$A$1:$I$89,3,0)*0.475*44/12</f>
        <v>4.0639270857055294</v>
      </c>
      <c r="CM53" s="21">
        <f>EXP(-LN(2)/2)*CM52+(1-EXP(-LN(2)/2))/(LN(2)/2)*CG53*CJ53*VLOOKUP('Données projet'!$B$12,Paramètres!$A$1:$I$89,3,0)*0.475*44/12</f>
        <v>6.539872607626564E-3</v>
      </c>
      <c r="CN53" s="22">
        <f t="shared" si="12"/>
        <v>8.3207926767156746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8.4</v>
      </c>
      <c r="N54" s="13">
        <f>IF('Données projet'!$A$36&gt;35,N53+M54-V53,IF(A54&lt;'Données projet'!$A$36,$K$205^A54,IF(A54='Données projet'!$A$36,'Données projet'!$B$36,N53+M54-V53)))</f>
        <v>290.39999999999992</v>
      </c>
      <c r="O54" s="13">
        <f>N54*VLOOKUP('Données projet'!$B$9,Paramètres!$A$1:$I$89,3,0)*VLOOKUP('Données projet'!$B$9,Paramètres!$A$1:$I$89,5,0)</f>
        <v>231.04223999999994</v>
      </c>
      <c r="P54" s="13">
        <f t="shared" si="33"/>
        <v>56.507978852931409</v>
      </c>
      <c r="Q54" s="20">
        <f t="shared" si="53"/>
        <v>500.81663116885539</v>
      </c>
      <c r="R54" s="59">
        <f t="shared" si="0"/>
        <v>794.14996450218871</v>
      </c>
      <c r="S54" s="59">
        <f ca="1">AVERAGE(OFFSET($R$3,0,0,'Données projet'!$E$9+1,1))-AVERAGE(OFFSET($H$3,0,0,'Données projet'!$E$9+1,1))</f>
        <v>405.40026823646758</v>
      </c>
      <c r="T54" s="59">
        <f t="shared" si="34"/>
        <v>393.0787141050053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11.423251211484711</v>
      </c>
      <c r="AA54" s="21">
        <f>EXP(-LN(2)/25)*AA53+(1-EXP(-LN(2)/25))/(LN(2)/25)*Calculateur!V54*Calculateur!X54*VLOOKUP('Données projet'!$B$9,Paramètres!$A$1:$I$89,3,0)*0.475*44/12</f>
        <v>11.552682454376427</v>
      </c>
      <c r="AB54" s="21">
        <f>EXP(-LN(2)/2)*AB53+(1-EXP(-LN(2)/2))/(LN(2)/2)*V54*Y54*VLOOKUP('Données projet'!$B$9,Paramètres!$A$1:$I$89,3,0)*0.475*44/12</f>
        <v>8.1688241823691214E-3</v>
      </c>
      <c r="AC54" s="22">
        <f t="shared" si="3"/>
        <v>22.984102490043508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8.6</v>
      </c>
      <c r="AI54" s="13">
        <f>IF('Données projet'!$A$62&gt;35,AI53+AH54-AQ53,IF(A54&lt;'Données projet'!$A$62,$AF$205^A54,IF(A54='Données projet'!$A$62,'Données projet'!$B$62,AI53+AH54-AQ53)))</f>
        <v>223.60000000000008</v>
      </c>
      <c r="AJ54" s="13">
        <f>AI54*VLOOKUP('Données projet'!$B$10,Paramètres!$A$1:$I$89,3,0)*VLOOKUP('Données projet'!$B$10,Paramètres!$A$1:$I$89,5,0)</f>
        <v>195.33696000000009</v>
      </c>
      <c r="AK54" s="13">
        <f t="shared" si="35"/>
        <v>48.717969863105488</v>
      </c>
      <c r="AL54" s="20">
        <f t="shared" si="4"/>
        <v>425.06233617824211</v>
      </c>
      <c r="AM54" s="59">
        <f t="shared" si="5"/>
        <v>718.39566951157542</v>
      </c>
      <c r="AN54" s="59">
        <f ca="1">AVERAGE(OFFSET($AM$3,0,0,'Données projet'!$E$10+1,1))-AVERAGE(OFFSET($H$3,0,0,'Données projet'!$E$10+1,1))</f>
        <v>304.32767345253382</v>
      </c>
      <c r="AO54" s="59">
        <f t="shared" si="36"/>
        <v>427.16091343339173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5.2086503334372969</v>
      </c>
      <c r="AV54" s="21">
        <f>EXP(-LN(2)/25)*AV53+(1-EXP(-LN(2)/25))/(LN(2)/25)*Calculateur!AQ54*Calculateur!AS54*VLOOKUP('Données projet'!$B$10,Paramètres!$A$1:$I$89,3,0)*0.475*44/12</f>
        <v>10.121547086872718</v>
      </c>
      <c r="AW54" s="21">
        <f>EXP(-LN(2)/2)*AW53+(1-EXP(-LN(2)/2))/(LN(2)/2)*AQ54*AT54*VLOOKUP('Données projet'!$B$10,Paramètres!$A$1:$I$89,3,0)*0.475*44/12</f>
        <v>7.7845055445345587E-3</v>
      </c>
      <c r="AX54" s="21">
        <f t="shared" si="6"/>
        <v>15.33798192585455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</v>
      </c>
      <c r="BD54" s="12">
        <f>IF('Données projet'!$A$88&gt;35,BD53+BC54-BL53,IF(A54&lt;'Données projet'!$A$88,$BA$205^A54,IF(A54='Données projet'!$A$88,'Données projet'!$B$88,BD53+BC54-BL53)))</f>
        <v>152.00000000000003</v>
      </c>
      <c r="BE54" s="13">
        <f>BD54*VLOOKUP('Données projet'!$B$11,Paramètres!$A$1:$I$89,3,0)*VLOOKUP('Données projet'!$B$11,Paramètres!$A$1:$I$89,5,0)</f>
        <v>132.78720000000004</v>
      </c>
      <c r="BF54" s="13">
        <f t="shared" si="37"/>
        <v>34.639602119854608</v>
      </c>
      <c r="BG54" s="20">
        <f t="shared" si="7"/>
        <v>291.60168035874682</v>
      </c>
      <c r="BH54" s="59">
        <f t="shared" si="8"/>
        <v>584.93501369208013</v>
      </c>
      <c r="BI54" s="59">
        <f ca="1">AVERAGE(OFFSET($BH$3,0,0,'Données projet'!$E$11+1,1))-AVERAGE(OFFSET($H$3,0,0,'Données projet'!$E$11+1,1))</f>
        <v>268.31928207836495</v>
      </c>
      <c r="BJ54" s="59">
        <f t="shared" si="38"/>
        <v>277.61304526670204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1.3575113480757242</v>
      </c>
      <c r="BQ54" s="21">
        <f>EXP(-LN(2)/25)*BQ53+(1-EXP(-LN(2)/25))/(LN(2)/25)*Calculateur!BL54*Calculateur!BN54*VLOOKUP('Données projet'!$B$11,Paramètres!$A$1:$I$89,3,0)*0.475*44/12</f>
        <v>3.1461133399492462</v>
      </c>
      <c r="BR54" s="21">
        <f>EXP(-LN(2)/2)*BR53+(1-EXP(-LN(2)/2))/(LN(2)/2)*BL54*BO54*VLOOKUP('Données projet'!$B$11,Paramètres!$A$1:$I$89,3,0)*0.475*44/12</f>
        <v>5.6372474147862329E-3</v>
      </c>
      <c r="BS54" s="22">
        <f t="shared" si="9"/>
        <v>4.5092619354397572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4.8</v>
      </c>
      <c r="BY54" s="12">
        <f>IF('Données projet'!$A$114&gt;35,BY53+BX54-CG53,IF(A54&lt;'Données projet'!$A$114,$BV$205^A54,IF(A54='Données projet'!$A$114,'Données projet'!$B$114,BY53+BX54-CG53)))</f>
        <v>165.79999999999995</v>
      </c>
      <c r="BZ54" s="13">
        <f>BY54*VLOOKUP('Données projet'!$B$12,Paramètres!$A$1:$I$89,3,0)*VLOOKUP('Données projet'!$B$12,Paramètres!$A$1:$I$89,5,0)</f>
        <v>131.91047999999998</v>
      </c>
      <c r="CA54" s="13">
        <f t="shared" si="39"/>
        <v>34.437439635950163</v>
      </c>
      <c r="CB54" s="20">
        <f t="shared" si="10"/>
        <v>289.72262669927983</v>
      </c>
      <c r="CC54" s="59">
        <f t="shared" si="11"/>
        <v>583.05596003261314</v>
      </c>
      <c r="CD54" s="59">
        <f ca="1">AVERAGE(OFFSET($CC$3,0,0,'Données projet'!$E$12+1,1))-AVERAGE(OFFSET($H$3,0,0,'Données projet'!$E$12+1,1))</f>
        <v>241.67556898455945</v>
      </c>
      <c r="CE54" s="59">
        <f t="shared" si="40"/>
        <v>237.71070965292648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4.1669794235073505</v>
      </c>
      <c r="CL54" s="21">
        <f>EXP(-LN(2)/25)*CL53+(1-EXP(-LN(2)/25))/(LN(2)/25)*Calculateur!CG54*Calculateur!CI54*VLOOKUP('Données projet'!$B$12,Paramètres!$A$1:$I$89,3,0)*0.475*44/12</f>
        <v>3.9527987858342746</v>
      </c>
      <c r="CM54" s="21">
        <f>EXP(-LN(2)/2)*CM53+(1-EXP(-LN(2)/2))/(LN(2)/2)*CG54*CJ54*VLOOKUP('Données projet'!$B$12,Paramètres!$A$1:$I$89,3,0)*0.475*44/12</f>
        <v>4.6243882689488928E-3</v>
      </c>
      <c r="CN54" s="22">
        <f t="shared" si="12"/>
        <v>8.1244025976105743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8.4</v>
      </c>
      <c r="N55" s="13">
        <f>IF('Données projet'!$A$36&gt;35,N54+M55-V54,IF(A55&lt;'Données projet'!$A$36,$K$205^A55,IF(A55='Données projet'!$A$36,'Données projet'!$B$36,N54+M55-V54)))</f>
        <v>298.7999999999999</v>
      </c>
      <c r="O55" s="13">
        <f>N55*VLOOKUP('Données projet'!$B$9,Paramètres!$A$1:$I$89,3,0)*VLOOKUP('Données projet'!$B$9,Paramètres!$A$1:$I$89,5,0)</f>
        <v>237.72527999999994</v>
      </c>
      <c r="P55" s="13">
        <f t="shared" si="33"/>
        <v>57.949842464086196</v>
      </c>
      <c r="Q55" s="20">
        <f t="shared" si="53"/>
        <v>514.96750495828326</v>
      </c>
      <c r="R55" s="59">
        <f t="shared" si="0"/>
        <v>808.30083829161663</v>
      </c>
      <c r="S55" s="59">
        <f ca="1">AVERAGE(OFFSET($R$3,0,0,'Données projet'!$E$9+1,1))-AVERAGE(OFFSET($H$3,0,0,'Données projet'!$E$9+1,1))</f>
        <v>405.40026823646758</v>
      </c>
      <c r="T55" s="59">
        <f t="shared" si="34"/>
        <v>393.0787141050053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11.199248222722751</v>
      </c>
      <c r="AA55" s="21">
        <f>EXP(-LN(2)/25)*AA54+(1-EXP(-LN(2)/25))/(LN(2)/25)*Calculateur!V55*Calculateur!X55*VLOOKUP('Données projet'!$B$9,Paramètres!$A$1:$I$89,3,0)*0.475*44/12</f>
        <v>11.236773745132338</v>
      </c>
      <c r="AB55" s="21">
        <f>EXP(-LN(2)/2)*AB54+(1-EXP(-LN(2)/2))/(LN(2)/2)*V55*Y55*VLOOKUP('Données projet'!$B$9,Paramètres!$A$1:$I$89,3,0)*0.475*44/12</f>
        <v>5.7762309736738605E-3</v>
      </c>
      <c r="AC55" s="22">
        <f t="shared" si="3"/>
        <v>22.441798198828764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8.6</v>
      </c>
      <c r="AI55" s="13">
        <f>IF('Données projet'!$A$62&gt;35,AI54+AH55-AQ54,IF(A55&lt;'Données projet'!$A$62,$AF$205^A55,IF(A55='Données projet'!$A$62,'Données projet'!$B$62,AI54+AH55-AQ54)))</f>
        <v>232.20000000000007</v>
      </c>
      <c r="AJ55" s="13">
        <f>AI55*VLOOKUP('Données projet'!$B$10,Paramètres!$A$1:$I$89,3,0)*VLOOKUP('Données projet'!$B$10,Paramètres!$A$1:$I$89,5,0)</f>
        <v>202.84992000000011</v>
      </c>
      <c r="AK55" s="13">
        <f t="shared" si="35"/>
        <v>50.369977187686075</v>
      </c>
      <c r="AL55" s="20">
        <f t="shared" si="4"/>
        <v>441.02465426855338</v>
      </c>
      <c r="AM55" s="59">
        <f t="shared" si="5"/>
        <v>734.35798760188663</v>
      </c>
      <c r="AN55" s="59">
        <f ca="1">AVERAGE(OFFSET($AM$3,0,0,'Données projet'!$E$10+1,1))-AVERAGE(OFFSET($H$3,0,0,'Données projet'!$E$10+1,1))</f>
        <v>304.32767345253382</v>
      </c>
      <c r="AO55" s="59">
        <f t="shared" si="36"/>
        <v>427.16091343339173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5.1065118773615961</v>
      </c>
      <c r="AV55" s="21">
        <f>EXP(-LN(2)/25)*AV54+(1-EXP(-LN(2)/25))/(LN(2)/25)*Calculateur!AQ55*Calculateur!AS55*VLOOKUP('Données projet'!$B$10,Paramètres!$A$1:$I$89,3,0)*0.475*44/12</f>
        <v>9.8447728495131557</v>
      </c>
      <c r="AW55" s="21">
        <f>EXP(-LN(2)/2)*AW54+(1-EXP(-LN(2)/2))/(LN(2)/2)*AQ55*AT55*VLOOKUP('Données projet'!$B$10,Paramètres!$A$1:$I$89,3,0)*0.475*44/12</f>
        <v>5.5044766587246646E-3</v>
      </c>
      <c r="AX55" s="21">
        <f t="shared" si="6"/>
        <v>14.956789203533477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</v>
      </c>
      <c r="BD55" s="12">
        <f>IF('Données projet'!$A$88&gt;35,BD54+BC55-BL54,IF(A55&lt;'Données projet'!$A$88,$BA$205^A55,IF(A55='Données projet'!$A$88,'Données projet'!$B$88,BD54+BC55-BL54)))</f>
        <v>157.00000000000003</v>
      </c>
      <c r="BE55" s="13">
        <f>BD55*VLOOKUP('Données projet'!$B$11,Paramètres!$A$1:$I$89,3,0)*VLOOKUP('Données projet'!$B$11,Paramètres!$A$1:$I$89,5,0)</f>
        <v>137.15520000000006</v>
      </c>
      <c r="BF55" s="13">
        <f t="shared" si="37"/>
        <v>35.644525151069693</v>
      </c>
      <c r="BG55" s="20">
        <f t="shared" si="7"/>
        <v>300.95952130477986</v>
      </c>
      <c r="BH55" s="59">
        <f t="shared" si="8"/>
        <v>594.29285463811311</v>
      </c>
      <c r="BI55" s="59">
        <f ca="1">AVERAGE(OFFSET($BH$3,0,0,'Données projet'!$E$11+1,1))-AVERAGE(OFFSET($H$3,0,0,'Données projet'!$E$11+1,1))</f>
        <v>268.31928207836495</v>
      </c>
      <c r="BJ55" s="59">
        <f t="shared" si="38"/>
        <v>277.61304526670204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1.3308913785401233</v>
      </c>
      <c r="BQ55" s="21">
        <f>EXP(-LN(2)/25)*BQ54+(1-EXP(-LN(2)/25))/(LN(2)/25)*Calculateur!BL55*Calculateur!BN55*VLOOKUP('Données projet'!$B$11,Paramètres!$A$1:$I$89,3,0)*0.475*44/12</f>
        <v>3.0600827052214239</v>
      </c>
      <c r="BR55" s="21">
        <f>EXP(-LN(2)/2)*BR54+(1-EXP(-LN(2)/2))/(LN(2)/2)*BL55*BO55*VLOOKUP('Données projet'!$B$11,Paramètres!$A$1:$I$89,3,0)*0.475*44/12</f>
        <v>3.9861358742216794E-3</v>
      </c>
      <c r="BS55" s="22">
        <f t="shared" si="9"/>
        <v>4.3949602196357684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4.8</v>
      </c>
      <c r="BY55" s="12">
        <f>IF('Données projet'!$A$114&gt;35,BY54+BX55-CG54,IF(A55&lt;'Données projet'!$A$114,$BV$205^A55,IF(A55='Données projet'!$A$114,'Données projet'!$B$114,BY54+BX55-CG54)))</f>
        <v>170.59999999999997</v>
      </c>
      <c r="BZ55" s="13">
        <f>BY55*VLOOKUP('Données projet'!$B$12,Paramètres!$A$1:$I$89,3,0)*VLOOKUP('Données projet'!$B$12,Paramètres!$A$1:$I$89,5,0)</f>
        <v>135.72935999999999</v>
      </c>
      <c r="CA55" s="13">
        <f t="shared" si="39"/>
        <v>35.316904881686277</v>
      </c>
      <c r="CB55" s="20">
        <f t="shared" si="10"/>
        <v>297.9055780022702</v>
      </c>
      <c r="CC55" s="59">
        <f t="shared" si="11"/>
        <v>591.23891133560346</v>
      </c>
      <c r="CD55" s="59">
        <f ca="1">AVERAGE(OFFSET($CC$3,0,0,'Données projet'!$E$12+1,1))-AVERAGE(OFFSET($H$3,0,0,'Données projet'!$E$12+1,1))</f>
        <v>241.67556898455945</v>
      </c>
      <c r="CE55" s="59">
        <f t="shared" si="40"/>
        <v>237.71070965292648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4.0852674986188573</v>
      </c>
      <c r="CL55" s="21">
        <f>EXP(-LN(2)/25)*CL54+(1-EXP(-LN(2)/25))/(LN(2)/25)*Calculateur!CG55*Calculateur!CI55*VLOOKUP('Données projet'!$B$12,Paramètres!$A$1:$I$89,3,0)*0.475*44/12</f>
        <v>3.8447092951669823</v>
      </c>
      <c r="CM55" s="21">
        <f>EXP(-LN(2)/2)*CM54+(1-EXP(-LN(2)/2))/(LN(2)/2)*CG55*CJ55*VLOOKUP('Données projet'!$B$12,Paramètres!$A$1:$I$89,3,0)*0.475*44/12</f>
        <v>3.269936303813282E-3</v>
      </c>
      <c r="CN55" s="22">
        <f t="shared" si="12"/>
        <v>7.9332467300896532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8.4</v>
      </c>
      <c r="N56" s="13">
        <f>IF('Données projet'!$A$36&gt;35,N55+M56-V55,IF(A56&lt;'Données projet'!$A$36,$K$205^A56,IF(A56='Données projet'!$A$36,'Données projet'!$B$36,N55+M56-V55)))</f>
        <v>307.19999999999987</v>
      </c>
      <c r="O56" s="13">
        <f>N56*VLOOKUP('Données projet'!$B$9,Paramètres!$A$1:$I$89,3,0)*VLOOKUP('Données projet'!$B$9,Paramètres!$A$1:$I$89,5,0)</f>
        <v>244.40831999999992</v>
      </c>
      <c r="P56" s="13">
        <f t="shared" si="33"/>
        <v>59.38699493610541</v>
      </c>
      <c r="Q56" s="20">
        <f t="shared" si="53"/>
        <v>529.11017351371675</v>
      </c>
      <c r="R56" s="59">
        <f t="shared" si="0"/>
        <v>822.44350684705</v>
      </c>
      <c r="S56" s="59">
        <f ca="1">AVERAGE(OFFSET($R$3,0,0,'Données projet'!$E$9+1,1))-AVERAGE(OFFSET($H$3,0,0,'Données projet'!$E$9+1,1))</f>
        <v>405.40026823646758</v>
      </c>
      <c r="T56" s="59">
        <f t="shared" si="34"/>
        <v>393.0787141050053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10.979637795942082</v>
      </c>
      <c r="AA56" s="21">
        <f>EXP(-LN(2)/25)*AA55+(1-EXP(-LN(2)/25))/(LN(2)/25)*Calculateur!V56*Calculateur!X56*VLOOKUP('Données projet'!$B$9,Paramètres!$A$1:$I$89,3,0)*0.475*44/12</f>
        <v>10.929503576155444</v>
      </c>
      <c r="AB56" s="21">
        <f>EXP(-LN(2)/2)*AB55+(1-EXP(-LN(2)/2))/(LN(2)/2)*V56*Y56*VLOOKUP('Données projet'!$B$9,Paramètres!$A$1:$I$89,3,0)*0.475*44/12</f>
        <v>4.0844120911845607E-3</v>
      </c>
      <c r="AC56" s="22">
        <f t="shared" si="3"/>
        <v>21.913225784188711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8.6</v>
      </c>
      <c r="AI56" s="13">
        <f>IF('Données projet'!$A$62&gt;35,AI55+AH56-AQ55,IF(A56&lt;'Données projet'!$A$62,$AF$205^A56,IF(A56='Données projet'!$A$62,'Données projet'!$B$62,AI55+AH56-AQ55)))</f>
        <v>240.80000000000007</v>
      </c>
      <c r="AJ56" s="13">
        <f>AI56*VLOOKUP('Données projet'!$B$10,Paramètres!$A$1:$I$89,3,0)*VLOOKUP('Données projet'!$B$10,Paramètres!$A$1:$I$89,5,0)</f>
        <v>210.36288000000008</v>
      </c>
      <c r="AK56" s="13">
        <f t="shared" si="35"/>
        <v>52.014876138342963</v>
      </c>
      <c r="AL56" s="20">
        <f t="shared" si="4"/>
        <v>456.97459194094745</v>
      </c>
      <c r="AM56" s="59">
        <f t="shared" si="5"/>
        <v>750.30792527428071</v>
      </c>
      <c r="AN56" s="59">
        <f ca="1">AVERAGE(OFFSET($AM$3,0,0,'Données projet'!$E$10+1,1))-AVERAGE(OFFSET($H$3,0,0,'Données projet'!$E$10+1,1))</f>
        <v>304.32767345253382</v>
      </c>
      <c r="AO56" s="59">
        <f t="shared" si="36"/>
        <v>427.16091343339173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5.0063762941112326</v>
      </c>
      <c r="AV56" s="21">
        <f>EXP(-LN(2)/25)*AV55+(1-EXP(-LN(2)/25))/(LN(2)/25)*Calculateur!AQ56*Calculateur!AS56*VLOOKUP('Données projet'!$B$10,Paramètres!$A$1:$I$89,3,0)*0.475*44/12</f>
        <v>9.5755670182291155</v>
      </c>
      <c r="AW56" s="21">
        <f>EXP(-LN(2)/2)*AW55+(1-EXP(-LN(2)/2))/(LN(2)/2)*AQ56*AT56*VLOOKUP('Données projet'!$B$10,Paramètres!$A$1:$I$89,3,0)*0.475*44/12</f>
        <v>3.8922527722672798E-3</v>
      </c>
      <c r="AX56" s="21">
        <f t="shared" si="6"/>
        <v>14.585835565112616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</v>
      </c>
      <c r="BD56" s="12">
        <f>IF('Données projet'!$A$88&gt;35,BD55+BC56-BL55,IF(A56&lt;'Données projet'!$A$88,$BA$205^A56,IF(A56='Données projet'!$A$88,'Données projet'!$B$88,BD55+BC56-BL55)))</f>
        <v>162.00000000000003</v>
      </c>
      <c r="BE56" s="13">
        <f>BD56*VLOOKUP('Données projet'!$B$11,Paramètres!$A$1:$I$89,3,0)*VLOOKUP('Données projet'!$B$11,Paramètres!$A$1:$I$89,5,0)</f>
        <v>141.52320000000006</v>
      </c>
      <c r="BF56" s="13">
        <f t="shared" si="37"/>
        <v>36.645729158274158</v>
      </c>
      <c r="BG56" s="20">
        <f t="shared" si="7"/>
        <v>310.31088495066086</v>
      </c>
      <c r="BH56" s="59">
        <f t="shared" si="8"/>
        <v>603.64421828399418</v>
      </c>
      <c r="BI56" s="59">
        <f ca="1">AVERAGE(OFFSET($BH$3,0,0,'Données projet'!$E$11+1,1))-AVERAGE(OFFSET($H$3,0,0,'Données projet'!$E$11+1,1))</f>
        <v>268.31928207836495</v>
      </c>
      <c r="BJ56" s="59">
        <f t="shared" si="38"/>
        <v>277.61304526670204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1.3047934103705374</v>
      </c>
      <c r="BQ56" s="21">
        <f>EXP(-LN(2)/25)*BQ55+(1-EXP(-LN(2)/25))/(LN(2)/25)*Calculateur!BL56*Calculateur!BN56*VLOOKUP('Données projet'!$B$11,Paramètres!$A$1:$I$89,3,0)*0.475*44/12</f>
        <v>2.9764045827243883</v>
      </c>
      <c r="BR56" s="21">
        <f>EXP(-LN(2)/2)*BR55+(1-EXP(-LN(2)/2))/(LN(2)/2)*BL56*BO56*VLOOKUP('Données projet'!$B$11,Paramètres!$A$1:$I$89,3,0)*0.475*44/12</f>
        <v>2.8186237073931164E-3</v>
      </c>
      <c r="BS56" s="22">
        <f t="shared" si="9"/>
        <v>4.2840166168023188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4.8</v>
      </c>
      <c r="BY56" s="12">
        <f>IF('Données projet'!$A$114&gt;35,BY55+BX56-CG55,IF(A56&lt;'Données projet'!$A$114,$BV$205^A56,IF(A56='Données projet'!$A$114,'Données projet'!$B$114,BY55+BX56-CG55)))</f>
        <v>175.39999999999998</v>
      </c>
      <c r="BZ56" s="13">
        <f>BY56*VLOOKUP('Données projet'!$B$12,Paramètres!$A$1:$I$89,3,0)*VLOOKUP('Données projet'!$B$12,Paramètres!$A$1:$I$89,5,0)</f>
        <v>139.54823999999999</v>
      </c>
      <c r="CA56" s="13">
        <f t="shared" si="39"/>
        <v>36.193494163358288</v>
      </c>
      <c r="CB56" s="20">
        <f t="shared" si="10"/>
        <v>306.08352033451564</v>
      </c>
      <c r="CC56" s="59">
        <f t="shared" si="11"/>
        <v>599.41685366784895</v>
      </c>
      <c r="CD56" s="59">
        <f ca="1">AVERAGE(OFFSET($CC$3,0,0,'Données projet'!$E$12+1,1))-AVERAGE(OFFSET($H$3,0,0,'Données projet'!$E$12+1,1))</f>
        <v>241.67556898455945</v>
      </c>
      <c r="CE56" s="59">
        <f t="shared" si="40"/>
        <v>237.71070965292648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4.0051578947380744</v>
      </c>
      <c r="CL56" s="21">
        <f>EXP(-LN(2)/25)*CL55+(1-EXP(-LN(2)/25))/(LN(2)/25)*Calculateur!CG56*Calculateur!CI56*VLOOKUP('Données projet'!$B$12,Paramètres!$A$1:$I$89,3,0)*0.475*44/12</f>
        <v>3.7395755173061667</v>
      </c>
      <c r="CM56" s="21">
        <f>EXP(-LN(2)/2)*CM55+(1-EXP(-LN(2)/2))/(LN(2)/2)*CG56*CJ56*VLOOKUP('Données projet'!$B$12,Paramètres!$A$1:$I$89,3,0)*0.475*44/12</f>
        <v>2.3121941344744464E-3</v>
      </c>
      <c r="CN56" s="22">
        <f t="shared" si="12"/>
        <v>7.7470456061787152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8.4</v>
      </c>
      <c r="N57" s="13">
        <f>IF('Données projet'!$A$36&gt;35,N56+M57-V56,IF(A57&lt;'Données projet'!$A$36,$K$205^A57,IF(A57='Données projet'!$A$36,'Données projet'!$B$36,N56+M57-V56)))</f>
        <v>315.59999999999985</v>
      </c>
      <c r="O57" s="13">
        <f>N57*VLOOKUP('Données projet'!$B$9,Paramètres!$A$1:$I$89,3,0)*VLOOKUP('Données projet'!$B$9,Paramètres!$A$1:$I$89,5,0)</f>
        <v>251.0913599999999</v>
      </c>
      <c r="P57" s="13">
        <f t="shared" si="33"/>
        <v>60.81957989149403</v>
      </c>
      <c r="Q57" s="20">
        <f t="shared" si="53"/>
        <v>543.24488697768527</v>
      </c>
      <c r="R57" s="59">
        <f t="shared" si="0"/>
        <v>836.57822031101864</v>
      </c>
      <c r="S57" s="59">
        <f ca="1">AVERAGE(OFFSET($R$3,0,0,'Données projet'!$E$9+1,1))-AVERAGE(OFFSET($H$3,0,0,'Données projet'!$E$9+1,1))</f>
        <v>405.40026823646758</v>
      </c>
      <c r="T57" s="59">
        <f t="shared" si="34"/>
        <v>393.0787141050053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10.764333795681448</v>
      </c>
      <c r="AA57" s="21">
        <f>EXP(-LN(2)/25)*AA56+(1-EXP(-LN(2)/25))/(LN(2)/25)*Calculateur!V57*Calculateur!X57*VLOOKUP('Données projet'!$B$9,Paramètres!$A$1:$I$89,3,0)*0.475*44/12</f>
        <v>10.63063572610786</v>
      </c>
      <c r="AB57" s="21">
        <f>EXP(-LN(2)/2)*AB56+(1-EXP(-LN(2)/2))/(LN(2)/2)*V57*Y57*VLOOKUP('Données projet'!$B$9,Paramètres!$A$1:$I$89,3,0)*0.475*44/12</f>
        <v>2.8881154868369303E-3</v>
      </c>
      <c r="AC57" s="22">
        <f t="shared" si="3"/>
        <v>21.397857637276143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8.6</v>
      </c>
      <c r="AI57" s="13">
        <f>IF('Données projet'!$A$62&gt;35,AI56+AH57-AQ56,IF(A57&lt;'Données projet'!$A$62,$AF$205^A57,IF(A57='Données projet'!$A$62,'Données projet'!$B$62,AI56+AH57-AQ56)))</f>
        <v>249.40000000000006</v>
      </c>
      <c r="AJ57" s="13">
        <f>AI57*VLOOKUP('Données projet'!$B$10,Paramètres!$A$1:$I$89,3,0)*VLOOKUP('Données projet'!$B$10,Paramètres!$A$1:$I$89,5,0)</f>
        <v>217.87584000000007</v>
      </c>
      <c r="AK57" s="13">
        <f t="shared" si="35"/>
        <v>53.652949670124926</v>
      </c>
      <c r="AL57" s="20">
        <f t="shared" si="4"/>
        <v>472.91264200880101</v>
      </c>
      <c r="AM57" s="59">
        <f t="shared" si="5"/>
        <v>766.24597534213433</v>
      </c>
      <c r="AN57" s="59">
        <f ca="1">AVERAGE(OFFSET($AM$3,0,0,'Données projet'!$E$10+1,1))-AVERAGE(OFFSET($H$3,0,0,'Données projet'!$E$10+1,1))</f>
        <v>304.32767345253382</v>
      </c>
      <c r="AO57" s="59">
        <f t="shared" si="36"/>
        <v>427.16091343339173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4.908204308571734</v>
      </c>
      <c r="AV57" s="21">
        <f>EXP(-LN(2)/25)*AV56+(1-EXP(-LN(2)/25))/(LN(2)/25)*Calculateur!AQ57*Calculateur!AS57*VLOOKUP('Données projet'!$B$10,Paramètres!$A$1:$I$89,3,0)*0.475*44/12</f>
        <v>9.3137226345584558</v>
      </c>
      <c r="AW57" s="21">
        <f>EXP(-LN(2)/2)*AW56+(1-EXP(-LN(2)/2))/(LN(2)/2)*AQ57*AT57*VLOOKUP('Données projet'!$B$10,Paramètres!$A$1:$I$89,3,0)*0.475*44/12</f>
        <v>2.7522383293623327E-3</v>
      </c>
      <c r="AX57" s="21">
        <f t="shared" si="6"/>
        <v>14.224679181459551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</v>
      </c>
      <c r="BD57" s="12">
        <f>IF('Données projet'!$A$88&gt;35,BD56+BC57-BL56,IF(A57&lt;'Données projet'!$A$88,$BA$205^A57,IF(A57='Données projet'!$A$88,'Données projet'!$B$88,BD56+BC57-BL56)))</f>
        <v>167.00000000000003</v>
      </c>
      <c r="BE57" s="13">
        <f>BD57*VLOOKUP('Données projet'!$B$11,Paramètres!$A$1:$I$89,3,0)*VLOOKUP('Données projet'!$B$11,Paramètres!$A$1:$I$89,5,0)</f>
        <v>145.89120000000005</v>
      </c>
      <c r="BF57" s="13">
        <f t="shared" si="37"/>
        <v>37.643342098399685</v>
      </c>
      <c r="BG57" s="20">
        <f t="shared" si="7"/>
        <v>319.65599415471291</v>
      </c>
      <c r="BH57" s="59">
        <f t="shared" si="8"/>
        <v>612.98932748804623</v>
      </c>
      <c r="BI57" s="59">
        <f ca="1">AVERAGE(OFFSET($BH$3,0,0,'Données projet'!$E$11+1,1))-AVERAGE(OFFSET($H$3,0,0,'Données projet'!$E$11+1,1))</f>
        <v>268.31928207836495</v>
      </c>
      <c r="BJ57" s="59">
        <f t="shared" si="38"/>
        <v>277.61304526670204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1.2792072074385683</v>
      </c>
      <c r="BQ57" s="21">
        <f>EXP(-LN(2)/25)*BQ56+(1-EXP(-LN(2)/25))/(LN(2)/25)*Calculateur!BL57*Calculateur!BN57*VLOOKUP('Données projet'!$B$11,Paramètres!$A$1:$I$89,3,0)*0.475*44/12</f>
        <v>2.8950146428874755</v>
      </c>
      <c r="BR57" s="21">
        <f>EXP(-LN(2)/2)*BR56+(1-EXP(-LN(2)/2))/(LN(2)/2)*BL57*BO57*VLOOKUP('Données projet'!$B$11,Paramètres!$A$1:$I$89,3,0)*0.475*44/12</f>
        <v>1.9930679371108397E-3</v>
      </c>
      <c r="BS57" s="22">
        <f t="shared" si="9"/>
        <v>4.1762149182631543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4.8</v>
      </c>
      <c r="BY57" s="12">
        <f>IF('Données projet'!$A$114&gt;35,BY56+BX57-CG56,IF(A57&lt;'Données projet'!$A$114,$BV$205^A57,IF(A57='Données projet'!$A$114,'Données projet'!$B$114,BY56+BX57-CG56)))</f>
        <v>180.2</v>
      </c>
      <c r="BZ57" s="13">
        <f>BY57*VLOOKUP('Données projet'!$B$12,Paramètres!$A$1:$I$89,3,0)*VLOOKUP('Données projet'!$B$12,Paramètres!$A$1:$I$89,5,0)</f>
        <v>143.36712</v>
      </c>
      <c r="CA57" s="13">
        <f t="shared" si="39"/>
        <v>37.067295228155103</v>
      </c>
      <c r="CB57" s="20">
        <f t="shared" si="10"/>
        <v>314.25660652237013</v>
      </c>
      <c r="CC57" s="59">
        <f t="shared" si="11"/>
        <v>607.58993985570351</v>
      </c>
      <c r="CD57" s="59">
        <f ca="1">AVERAGE(OFFSET($CC$3,0,0,'Données projet'!$E$12+1,1))-AVERAGE(OFFSET($H$3,0,0,'Données projet'!$E$12+1,1))</f>
        <v>241.67556898455945</v>
      </c>
      <c r="CE57" s="59">
        <f t="shared" si="40"/>
        <v>237.71070965292648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3.9266191913273598</v>
      </c>
      <c r="CL57" s="21">
        <f>EXP(-LN(2)/25)*CL56+(1-EXP(-LN(2)/25))/(LN(2)/25)*Calculateur!CG57*Calculateur!CI57*VLOOKUP('Données projet'!$B$12,Paramètres!$A$1:$I$89,3,0)*0.475*44/12</f>
        <v>3.6373166281297</v>
      </c>
      <c r="CM57" s="21">
        <f>EXP(-LN(2)/2)*CM56+(1-EXP(-LN(2)/2))/(LN(2)/2)*CG57*CJ57*VLOOKUP('Données projet'!$B$12,Paramètres!$A$1:$I$89,3,0)*0.475*44/12</f>
        <v>1.634968151906641E-3</v>
      </c>
      <c r="CN57" s="22">
        <f t="shared" si="12"/>
        <v>7.5655707876089657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324</v>
      </c>
      <c r="L58" s="12">
        <f>VLOOKUP(A58,'Données projet'!$A$35:$I$55,9,0)</f>
        <v>8.4</v>
      </c>
      <c r="M58" s="12">
        <f t="array" ref="M58">INDEX(L:L,MIN(IF(ISNUMBER(L58:L254),ROW(L58:L254),"")))</f>
        <v>8.4</v>
      </c>
      <c r="N58" s="13">
        <f>IF('Données projet'!$A$36&gt;35,N57+M58-V57,IF(A58&lt;'Données projet'!$A$36,$K$205^A58,IF(A58='Données projet'!$A$36,'Données projet'!$B$36,N57+M58-V57)))</f>
        <v>323.99999999999983</v>
      </c>
      <c r="O58" s="13">
        <f>N58*VLOOKUP('Données projet'!$B$9,Paramètres!$A$1:$I$89,3,0)*VLOOKUP('Données projet'!$B$9,Paramètres!$A$1:$I$89,5,0)</f>
        <v>257.7743999999999</v>
      </c>
      <c r="P58" s="13">
        <f t="shared" si="33"/>
        <v>62.247732872134243</v>
      </c>
      <c r="Q58" s="20">
        <f t="shared" si="53"/>
        <v>557.37188141896695</v>
      </c>
      <c r="R58" s="59">
        <f t="shared" si="0"/>
        <v>850.70521475230021</v>
      </c>
      <c r="S58" s="59">
        <f ca="1">AVERAGE(OFFSET($R$3,0,0,'Données projet'!$E$9+1,1))-AVERAGE(OFFSET($H$3,0,0,'Données projet'!$E$9+1,1))</f>
        <v>405.40026823646758</v>
      </c>
      <c r="T58" s="59">
        <f t="shared" si="34"/>
        <v>393.0787141050053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18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10.553251775543451</v>
      </c>
      <c r="AA58" s="21">
        <f>EXP(-LN(2)/25)*AA57+(1-EXP(-LN(2)/25))/(LN(2)/25)*Calculateur!V58*Calculateur!X58*VLOOKUP('Données projet'!$B$9,Paramètres!$A$1:$I$89,3,0)*0.475*44/12</f>
        <v>10.339940433136604</v>
      </c>
      <c r="AB58" s="21">
        <f>EXP(-LN(2)/2)*AB57+(1-EXP(-LN(2)/2))/(LN(2)/2)*V58*Y58*VLOOKUP('Données projet'!$B$9,Paramètres!$A$1:$I$89,3,0)*0.475*44/12</f>
        <v>2.0422060455922804E-3</v>
      </c>
      <c r="AC58" s="22">
        <f t="shared" si="3"/>
        <v>20.895234414725646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258</v>
      </c>
      <c r="AG58" s="12">
        <f>VLOOKUP(A58,'Données projet'!$A$61:$I$81,9,0)</f>
        <v>8.6</v>
      </c>
      <c r="AH58" s="12">
        <f t="array" ref="AH58">INDEX(AG:AG,MIN(IF(ISNUMBER(AG58:AG254),ROW(AG58:AG254),"")))</f>
        <v>8.6</v>
      </c>
      <c r="AI58" s="13">
        <f>IF('Données projet'!$A$62&gt;35,AI57+AH58-AQ57,IF(A58&lt;'Données projet'!$A$62,$AF$205^A58,IF(A58='Données projet'!$A$62,'Données projet'!$B$62,AI57+AH58-AQ57)))</f>
        <v>258.00000000000006</v>
      </c>
      <c r="AJ58" s="13">
        <f>AI58*VLOOKUP('Données projet'!$B$10,Paramètres!$A$1:$I$89,3,0)*VLOOKUP('Données projet'!$B$10,Paramètres!$A$1:$I$89,5,0)</f>
        <v>225.38880000000009</v>
      </c>
      <c r="AK58" s="13">
        <f t="shared" si="35"/>
        <v>55.284460117161593</v>
      </c>
      <c r="AL58" s="20">
        <f t="shared" si="4"/>
        <v>488.83926137072331</v>
      </c>
      <c r="AM58" s="59">
        <f t="shared" si="5"/>
        <v>782.17259470405656</v>
      </c>
      <c r="AN58" s="59">
        <f ca="1">AVERAGE(OFFSET($AM$3,0,0,'Données projet'!$E$10+1,1))-AVERAGE(OFFSET($H$3,0,0,'Données projet'!$E$10+1,1))</f>
        <v>304.32767345253382</v>
      </c>
      <c r="AO58" s="59">
        <f t="shared" si="36"/>
        <v>427.16091343339173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258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4.8119574157896663</v>
      </c>
      <c r="AV58" s="21">
        <f>EXP(-LN(2)/25)*AV57+(1-EXP(-LN(2)/25))/(LN(2)/25)*Calculateur!AQ58*Calculateur!AS58*VLOOKUP('Données projet'!$B$10,Paramètres!$A$1:$I$89,3,0)*0.475*44/12</f>
        <v>9.0590383993290686</v>
      </c>
      <c r="AW58" s="21">
        <f>EXP(-LN(2)/2)*AW57+(1-EXP(-LN(2)/2))/(LN(2)/2)*AQ58*AT58*VLOOKUP('Données projet'!$B$10,Paramètres!$A$1:$I$89,3,0)*0.475*44/12</f>
        <v>1.9461263861336403E-3</v>
      </c>
      <c r="AX58" s="21">
        <f t="shared" si="6"/>
        <v>13.87294194150487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172</v>
      </c>
      <c r="BB58" s="12">
        <f>VLOOKUP(A58,'Données projet'!$A$87:$I$107,9,0)</f>
        <v>5</v>
      </c>
      <c r="BC58" s="12">
        <f t="array" ref="BC58">INDEX(BB:BB,MIN(IF(ISNUMBER(BB58:BB254),ROW(BB58:BB254),"")))</f>
        <v>5</v>
      </c>
      <c r="BD58" s="12">
        <f>IF('Données projet'!$A$88&gt;35,BD57+BC58-BL57,IF(A58&lt;'Données projet'!$A$88,$BA$205^A58,IF(A58='Données projet'!$A$88,'Données projet'!$B$88,BD57+BC58-BL57)))</f>
        <v>172.00000000000003</v>
      </c>
      <c r="BE58" s="13">
        <f>BD58*VLOOKUP('Données projet'!$B$11,Paramètres!$A$1:$I$89,3,0)*VLOOKUP('Données projet'!$B$11,Paramètres!$A$1:$I$89,5,0)</f>
        <v>150.25920000000005</v>
      </c>
      <c r="BF58" s="13">
        <f t="shared" si="37"/>
        <v>38.637483830798729</v>
      </c>
      <c r="BG58" s="20">
        <f t="shared" si="7"/>
        <v>328.99505767197456</v>
      </c>
      <c r="BH58" s="59">
        <f t="shared" si="8"/>
        <v>622.32839100530782</v>
      </c>
      <c r="BI58" s="59">
        <f ca="1">AVERAGE(OFFSET($BH$3,0,0,'Données projet'!$E$11+1,1))-AVERAGE(OFFSET($H$3,0,0,'Données projet'!$E$11+1,1))</f>
        <v>268.31928207836495</v>
      </c>
      <c r="BJ58" s="59">
        <f t="shared" si="38"/>
        <v>277.61304526670204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1.2541227343400523</v>
      </c>
      <c r="BQ58" s="21">
        <f>EXP(-LN(2)/25)*BQ57+(1-EXP(-LN(2)/25))/(LN(2)/25)*Calculateur!BL58*Calculateur!BN58*VLOOKUP('Données projet'!$B$11,Paramètres!$A$1:$I$89,3,0)*0.475*44/12</f>
        <v>2.8158503152355139</v>
      </c>
      <c r="BR58" s="21">
        <f>EXP(-LN(2)/2)*BR57+(1-EXP(-LN(2)/2))/(LN(2)/2)*BL58*BO58*VLOOKUP('Données projet'!$B$11,Paramètres!$A$1:$I$89,3,0)*0.475*44/12</f>
        <v>1.4093118536965582E-3</v>
      </c>
      <c r="BS58" s="22">
        <f t="shared" si="9"/>
        <v>4.0713823614292624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185</v>
      </c>
      <c r="BW58" s="12">
        <f>VLOOKUP(A58,'Données projet'!$A$113:$I$133,9,0)</f>
        <v>4.8</v>
      </c>
      <c r="BX58" s="12">
        <f t="array" ref="BX58">INDEX(BW:BW,MIN(IF(ISNUMBER(BW58:BW254),ROW(BW58:BW254),"")))</f>
        <v>4.8</v>
      </c>
      <c r="BY58" s="12">
        <f>IF('Données projet'!$A$114&gt;35,BY57+BX58-CG57,IF(A58&lt;'Données projet'!$A$114,$BV$205^A58,IF(A58='Données projet'!$A$114,'Données projet'!$B$114,BY57+BX58-CG57)))</f>
        <v>185</v>
      </c>
      <c r="BZ58" s="13">
        <f>BY58*VLOOKUP('Données projet'!$B$12,Paramètres!$A$1:$I$89,3,0)*VLOOKUP('Données projet'!$B$12,Paramètres!$A$1:$I$89,5,0)</f>
        <v>147.18600000000001</v>
      </c>
      <c r="CA58" s="13">
        <f t="shared" si="39"/>
        <v>37.938390882441361</v>
      </c>
      <c r="CB58" s="20">
        <f t="shared" si="10"/>
        <v>322.4249807869187</v>
      </c>
      <c r="CC58" s="59">
        <f t="shared" si="11"/>
        <v>615.75831412025195</v>
      </c>
      <c r="CD58" s="59">
        <f ca="1">AVERAGE(OFFSET($CC$3,0,0,'Données projet'!$E$12+1,1))-AVERAGE(OFFSET($H$3,0,0,'Données projet'!$E$12+1,1))</f>
        <v>241.67556898455945</v>
      </c>
      <c r="CE58" s="59">
        <f t="shared" si="40"/>
        <v>237.71070965292648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3.8496205839866504</v>
      </c>
      <c r="CL58" s="21">
        <f>EXP(-LN(2)/25)*CL57+(1-EXP(-LN(2)/25))/(LN(2)/25)*Calculateur!CG58*Calculateur!CI58*VLOOKUP('Données projet'!$B$12,Paramètres!$A$1:$I$89,3,0)*0.475*44/12</f>
        <v>3.5378540136553251</v>
      </c>
      <c r="CM58" s="21">
        <f>EXP(-LN(2)/2)*CM57+(1-EXP(-LN(2)/2))/(LN(2)/2)*CG58*CJ58*VLOOKUP('Données projet'!$B$12,Paramètres!$A$1:$I$89,3,0)*0.475*44/12</f>
        <v>1.1560970672372232E-3</v>
      </c>
      <c r="CN58" s="22">
        <f t="shared" si="12"/>
        <v>7.3886306947092129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7.4</v>
      </c>
      <c r="N59" s="13">
        <f>IF('Données projet'!$A$36&gt;35,N58+M59-V58,IF(A59&lt;'Données projet'!$A$36,$K$205^A59,IF(A59='Données projet'!$A$36,'Données projet'!$B$36,N58+M59-V58)))</f>
        <v>313.39999999999981</v>
      </c>
      <c r="O59" s="13">
        <f>N59*VLOOKUP('Données projet'!$B$9,Paramètres!$A$1:$I$89,3,0)*VLOOKUP('Données projet'!$B$9,Paramètres!$A$1:$I$89,5,0)</f>
        <v>249.34103999999988</v>
      </c>
      <c r="P59" s="13">
        <f t="shared" si="33"/>
        <v>60.444812818312201</v>
      </c>
      <c r="Q59" s="20">
        <f t="shared" si="53"/>
        <v>539.54369365856019</v>
      </c>
      <c r="R59" s="59">
        <f t="shared" si="0"/>
        <v>832.87702699189344</v>
      </c>
      <c r="S59" s="59">
        <f ca="1">AVERAGE(OFFSET($R$3,0,0,'Données projet'!$E$9+1,1))-AVERAGE(OFFSET($H$3,0,0,'Données projet'!$E$9+1,1))</f>
        <v>405.40026823646758</v>
      </c>
      <c r="T59" s="59">
        <f t="shared" si="34"/>
        <v>393.0787141050053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10.346308945073041</v>
      </c>
      <c r="AA59" s="21">
        <f>EXP(-LN(2)/25)*AA58+(1-EXP(-LN(2)/25))/(LN(2)/25)*Calculateur!V59*Calculateur!X59*VLOOKUP('Données projet'!$B$9,Paramètres!$A$1:$I$89,3,0)*0.475*44/12</f>
        <v>10.057194218238649</v>
      </c>
      <c r="AB59" s="21">
        <f>EXP(-LN(2)/2)*AB58+(1-EXP(-LN(2)/2))/(LN(2)/2)*V59*Y59*VLOOKUP('Données projet'!$B$9,Paramètres!$A$1:$I$89,3,0)*0.475*44/12</f>
        <v>1.4440577434184651E-3</v>
      </c>
      <c r="AC59" s="22">
        <f t="shared" si="3"/>
        <v>20.40494722105511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5.6843418860808015E-14</v>
      </c>
      <c r="AJ59" s="13">
        <f>AI59*VLOOKUP('Données projet'!$B$10,Paramètres!$A$1:$I$89,3,0)*VLOOKUP('Données projet'!$B$10,Paramètres!$A$1:$I$89,5,0)</f>
        <v>4.9658410716801891E-14</v>
      </c>
      <c r="AK59" s="13">
        <f t="shared" si="35"/>
        <v>8.0934058173791862E-13</v>
      </c>
      <c r="AL59" s="20">
        <f t="shared" si="4"/>
        <v>1.4960899118586383E-12</v>
      </c>
      <c r="AM59" s="59">
        <f t="shared" si="5"/>
        <v>293.33333333333479</v>
      </c>
      <c r="AN59" s="59">
        <f ca="1">AVERAGE(OFFSET($AM$3,0,0,'Données projet'!$E$10+1,1))-AVERAGE(OFFSET($H$3,0,0,'Données projet'!$E$10+1,1))</f>
        <v>304.32767345253382</v>
      </c>
      <c r="AO59" s="59">
        <f t="shared" si="36"/>
        <v>427.16091343339173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4.7175978658702471</v>
      </c>
      <c r="AV59" s="21">
        <f>EXP(-LN(2)/25)*AV58+(1-EXP(-LN(2)/25))/(LN(2)/25)*Calculateur!AQ59*Calculateur!AS59*VLOOKUP('Données projet'!$B$10,Paramètres!$A$1:$I$89,3,0)*0.475*44/12</f>
        <v>8.8113185179052902</v>
      </c>
      <c r="AW59" s="21">
        <f>EXP(-LN(2)/2)*AW58+(1-EXP(-LN(2)/2))/(LN(2)/2)*AQ59*AT59*VLOOKUP('Données projet'!$B$10,Paramètres!$A$1:$I$89,3,0)*0.475*44/12</f>
        <v>1.3761191646811666E-3</v>
      </c>
      <c r="AX59" s="21">
        <f t="shared" si="6"/>
        <v>13.530292502940219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4.5999999999999996</v>
      </c>
      <c r="BD59" s="12">
        <f>IF('Données projet'!$A$88&gt;35,BD58+BC59-BL58,IF(A59&lt;'Données projet'!$A$88,$BA$205^A59,IF(A59='Données projet'!$A$88,'Données projet'!$B$88,BD58+BC59-BL58)))</f>
        <v>158.60000000000002</v>
      </c>
      <c r="BE59" s="13">
        <f>BD59*VLOOKUP('Données projet'!$B$11,Paramètres!$A$1:$I$89,3,0)*VLOOKUP('Données projet'!$B$11,Paramètres!$A$1:$I$89,5,0)</f>
        <v>138.55296000000004</v>
      </c>
      <c r="BF59" s="13">
        <f t="shared" si="37"/>
        <v>35.965308766301796</v>
      </c>
      <c r="BG59" s="20">
        <f t="shared" si="7"/>
        <v>303.95265143464235</v>
      </c>
      <c r="BH59" s="59">
        <f t="shared" si="8"/>
        <v>597.28598476797561</v>
      </c>
      <c r="BI59" s="59">
        <f ca="1">AVERAGE(OFFSET($BH$3,0,0,'Données projet'!$E$11+1,1))-AVERAGE(OFFSET($H$3,0,0,'Données projet'!$E$11+1,1))</f>
        <v>268.31928207836495</v>
      </c>
      <c r="BJ59" s="59">
        <f t="shared" si="38"/>
        <v>277.61304526670204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1.2295301524589803</v>
      </c>
      <c r="BQ59" s="21">
        <f>EXP(-LN(2)/25)*BQ58+(1-EXP(-LN(2)/25))/(LN(2)/25)*Calculateur!BL59*Calculateur!BN59*VLOOKUP('Données projet'!$B$11,Paramètres!$A$1:$I$89,3,0)*0.475*44/12</f>
        <v>2.7388507402862663</v>
      </c>
      <c r="BR59" s="21">
        <f>EXP(-LN(2)/2)*BR58+(1-EXP(-LN(2)/2))/(LN(2)/2)*BL59*BO59*VLOOKUP('Données projet'!$B$11,Paramètres!$A$1:$I$89,3,0)*0.475*44/12</f>
        <v>9.9653396855541986E-4</v>
      </c>
      <c r="BS59" s="22">
        <f t="shared" si="9"/>
        <v>3.9693774267138018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</v>
      </c>
      <c r="BY59" s="12">
        <f>IF('Données projet'!$A$114&gt;35,BY58+BX59-CG58,IF(A59&lt;'Données projet'!$A$114,$BV$205^A59,IF(A59='Données projet'!$A$114,'Données projet'!$B$114,BY58+BX59-CG58)))</f>
        <v>178</v>
      </c>
      <c r="BZ59" s="13">
        <f>BY59*VLOOKUP('Données projet'!$B$12,Paramètres!$A$1:$I$89,3,0)*VLOOKUP('Données projet'!$B$12,Paramètres!$A$1:$I$89,5,0)</f>
        <v>141.61680000000001</v>
      </c>
      <c r="CA59" s="13">
        <f t="shared" si="39"/>
        <v>36.66714378804366</v>
      </c>
      <c r="CB59" s="20">
        <f t="shared" si="10"/>
        <v>310.5112020975094</v>
      </c>
      <c r="CC59" s="59">
        <f t="shared" si="11"/>
        <v>603.84453543084271</v>
      </c>
      <c r="CD59" s="59">
        <f ca="1">AVERAGE(OFFSET($CC$3,0,0,'Données projet'!$E$12+1,1))-AVERAGE(OFFSET($H$3,0,0,'Données projet'!$E$12+1,1))</f>
        <v>241.67556898455945</v>
      </c>
      <c r="CE59" s="59">
        <f t="shared" si="40"/>
        <v>237.71070965292648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3.7741318723713793</v>
      </c>
      <c r="CL59" s="21">
        <f>EXP(-LN(2)/25)*CL58+(1-EXP(-LN(2)/25))/(LN(2)/25)*Calculateur!CG59*Calculateur!CI59*VLOOKUP('Données projet'!$B$12,Paramètres!$A$1:$I$89,3,0)*0.475*44/12</f>
        <v>3.4411112096042635</v>
      </c>
      <c r="CM59" s="21">
        <f>EXP(-LN(2)/2)*CM58+(1-EXP(-LN(2)/2))/(LN(2)/2)*CG59*CJ59*VLOOKUP('Données projet'!$B$12,Paramètres!$A$1:$I$89,3,0)*0.475*44/12</f>
        <v>8.1748407595332051E-4</v>
      </c>
      <c r="CN59" s="22">
        <f t="shared" si="12"/>
        <v>7.2160605660515964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7.4</v>
      </c>
      <c r="N60" s="13">
        <f>IF('Données projet'!$A$36&gt;35,N59+M60-V59,IF(A60&lt;'Données projet'!$A$36,$K$205^A60,IF(A60='Données projet'!$A$36,'Données projet'!$B$36,N59+M60-V59)))</f>
        <v>320.79999999999978</v>
      </c>
      <c r="O60" s="13">
        <f>N60*VLOOKUP('Données projet'!$B$9,Paramètres!$A$1:$I$89,3,0)*VLOOKUP('Données projet'!$B$9,Paramètres!$A$1:$I$89,5,0)</f>
        <v>255.22847999999985</v>
      </c>
      <c r="P60" s="13">
        <f t="shared" si="33"/>
        <v>61.704188876103551</v>
      </c>
      <c r="Q60" s="20">
        <f t="shared" si="53"/>
        <v>551.99106495921342</v>
      </c>
      <c r="R60" s="59">
        <f t="shared" si="0"/>
        <v>845.32439829254668</v>
      </c>
      <c r="S60" s="59">
        <f ca="1">AVERAGE(OFFSET($R$3,0,0,'Données projet'!$E$9+1,1))-AVERAGE(OFFSET($H$3,0,0,'Données projet'!$E$9+1,1))</f>
        <v>405.40026823646758</v>
      </c>
      <c r="T60" s="59">
        <f t="shared" si="34"/>
        <v>393.0787141050053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10.143424137285493</v>
      </c>
      <c r="AA60" s="21">
        <f>EXP(-LN(2)/25)*AA59+(1-EXP(-LN(2)/25))/(LN(2)/25)*Calculateur!V60*Calculateur!X60*VLOOKUP('Données projet'!$B$9,Paramètres!$A$1:$I$89,3,0)*0.475*44/12</f>
        <v>9.7821797134560562</v>
      </c>
      <c r="AB60" s="21">
        <f>EXP(-LN(2)/2)*AB59+(1-EXP(-LN(2)/2))/(LN(2)/2)*V60*Y60*VLOOKUP('Données projet'!$B$9,Paramètres!$A$1:$I$89,3,0)*0.475*44/12</f>
        <v>1.0211030227961402E-3</v>
      </c>
      <c r="AC60" s="22">
        <f t="shared" si="3"/>
        <v>19.926624953764346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5.6843418860808015E-14</v>
      </c>
      <c r="AJ60" s="13">
        <f>AI60*VLOOKUP('Données projet'!$B$10,Paramètres!$A$1:$I$89,3,0)*VLOOKUP('Données projet'!$B$10,Paramètres!$A$1:$I$89,5,0)</f>
        <v>4.9658410716801891E-14</v>
      </c>
      <c r="AK60" s="13">
        <f t="shared" si="35"/>
        <v>8.0934058173791862E-13</v>
      </c>
      <c r="AL60" s="20">
        <f t="shared" si="4"/>
        <v>1.4960899118586383E-12</v>
      </c>
      <c r="AM60" s="59">
        <f t="shared" si="5"/>
        <v>293.33333333333479</v>
      </c>
      <c r="AN60" s="59">
        <f ca="1">AVERAGE(OFFSET($AM$3,0,0,'Données projet'!$E$10+1,1))-AVERAGE(OFFSET($H$3,0,0,'Données projet'!$E$10+1,1))</f>
        <v>304.32767345253382</v>
      </c>
      <c r="AO60" s="59">
        <f t="shared" si="36"/>
        <v>427.16091343339173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4.6250886491711052</v>
      </c>
      <c r="AV60" s="21">
        <f>EXP(-LN(2)/25)*AV59+(1-EXP(-LN(2)/25))/(LN(2)/25)*Calculateur!AQ60*Calculateur!AS60*VLOOKUP('Données projet'!$B$10,Paramètres!$A$1:$I$89,3,0)*0.475*44/12</f>
        <v>8.5703725496660681</v>
      </c>
      <c r="AW60" s="21">
        <f>EXP(-LN(2)/2)*AW59+(1-EXP(-LN(2)/2))/(LN(2)/2)*AQ60*AT60*VLOOKUP('Données projet'!$B$10,Paramètres!$A$1:$I$89,3,0)*0.475*44/12</f>
        <v>9.7306319306682027E-4</v>
      </c>
      <c r="AX60" s="21">
        <f t="shared" si="6"/>
        <v>13.196434262030239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4.5999999999999996</v>
      </c>
      <c r="BD60" s="12">
        <f>IF('Données projet'!$A$88&gt;35,BD59+BC60-BL59,IF(A60&lt;'Données projet'!$A$88,$BA$205^A60,IF(A60='Données projet'!$A$88,'Données projet'!$B$88,BD59+BC60-BL59)))</f>
        <v>163.20000000000002</v>
      </c>
      <c r="BE60" s="13">
        <f>BD60*VLOOKUP('Données projet'!$B$11,Paramètres!$A$1:$I$89,3,0)*VLOOKUP('Données projet'!$B$11,Paramètres!$A$1:$I$89,5,0)</f>
        <v>142.57152000000005</v>
      </c>
      <c r="BF60" s="13">
        <f t="shared" si="37"/>
        <v>36.885479122455578</v>
      </c>
      <c r="BG60" s="20">
        <f t="shared" si="7"/>
        <v>312.5542734716102</v>
      </c>
      <c r="BH60" s="59">
        <f t="shared" si="8"/>
        <v>605.88760680494352</v>
      </c>
      <c r="BI60" s="59">
        <f ca="1">AVERAGE(OFFSET($BH$3,0,0,'Données projet'!$E$11+1,1))-AVERAGE(OFFSET($H$3,0,0,'Données projet'!$E$11+1,1))</f>
        <v>268.31928207836495</v>
      </c>
      <c r="BJ60" s="59">
        <f t="shared" si="38"/>
        <v>277.61304526670204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1.2054198161086023</v>
      </c>
      <c r="BQ60" s="21">
        <f>EXP(-LN(2)/25)*BQ59+(1-EXP(-LN(2)/25))/(LN(2)/25)*Calculateur!BL60*Calculateur!BN60*VLOOKUP('Données projet'!$B$11,Paramètres!$A$1:$I$89,3,0)*0.475*44/12</f>
        <v>2.6639567227632375</v>
      </c>
      <c r="BR60" s="21">
        <f>EXP(-LN(2)/2)*BR59+(1-EXP(-LN(2)/2))/(LN(2)/2)*BL60*BO60*VLOOKUP('Données projet'!$B$11,Paramètres!$A$1:$I$89,3,0)*0.475*44/12</f>
        <v>7.0465592684827911E-4</v>
      </c>
      <c r="BS60" s="22">
        <f t="shared" si="9"/>
        <v>3.8700811947986877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</v>
      </c>
      <c r="BY60" s="12">
        <f>IF('Données projet'!$A$114&gt;35,BY59+BX60-CG59,IF(A60&lt;'Données projet'!$A$114,$BV$205^A60,IF(A60='Données projet'!$A$114,'Données projet'!$B$114,BY59+BX60-CG59)))</f>
        <v>182</v>
      </c>
      <c r="BZ60" s="13">
        <f>BY60*VLOOKUP('Données projet'!$B$12,Paramètres!$A$1:$I$89,3,0)*VLOOKUP('Données projet'!$B$12,Paramètres!$A$1:$I$89,5,0)</f>
        <v>144.79920000000001</v>
      </c>
      <c r="CA60" s="13">
        <f t="shared" si="39"/>
        <v>37.394268839921317</v>
      </c>
      <c r="CB60" s="20">
        <f t="shared" si="10"/>
        <v>317.32029156286296</v>
      </c>
      <c r="CC60" s="59">
        <f t="shared" si="11"/>
        <v>610.65362489619633</v>
      </c>
      <c r="CD60" s="59">
        <f ca="1">AVERAGE(OFFSET($CC$3,0,0,'Données projet'!$E$12+1,1))-AVERAGE(OFFSET($H$3,0,0,'Données projet'!$E$12+1,1))</f>
        <v>241.67556898455945</v>
      </c>
      <c r="CE60" s="59">
        <f t="shared" si="40"/>
        <v>237.71070965292648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3.7001234483473158</v>
      </c>
      <c r="CL60" s="21">
        <f>EXP(-LN(2)/25)*CL59+(1-EXP(-LN(2)/25))/(LN(2)/25)*Calculateur!CG60*Calculateur!CI60*VLOOKUP('Données projet'!$B$12,Paramètres!$A$1:$I$89,3,0)*0.475*44/12</f>
        <v>3.3470138426174612</v>
      </c>
      <c r="CM60" s="21">
        <f>EXP(-LN(2)/2)*CM59+(1-EXP(-LN(2)/2))/(LN(2)/2)*CG60*CJ60*VLOOKUP('Données projet'!$B$12,Paramètres!$A$1:$I$89,3,0)*0.475*44/12</f>
        <v>5.780485336186116E-4</v>
      </c>
      <c r="CN60" s="22">
        <f t="shared" si="12"/>
        <v>7.0477153394983958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7.4</v>
      </c>
      <c r="N61" s="13">
        <f>IF('Données projet'!$A$36&gt;35,N60+M61-V60,IF(A61&lt;'Données projet'!$A$36,$K$205^A61,IF(A61='Données projet'!$A$36,'Données projet'!$B$36,N60+M61-V60)))</f>
        <v>328.19999999999976</v>
      </c>
      <c r="O61" s="13">
        <f>N61*VLOOKUP('Données projet'!$B$9,Paramètres!$A$1:$I$89,3,0)*VLOOKUP('Données projet'!$B$9,Paramètres!$A$1:$I$89,5,0)</f>
        <v>261.11591999999985</v>
      </c>
      <c r="P61" s="13">
        <f t="shared" si="33"/>
        <v>62.960187681145797</v>
      </c>
      <c r="Q61" s="20">
        <f t="shared" si="53"/>
        <v>564.43255421132858</v>
      </c>
      <c r="R61" s="59">
        <f t="shared" si="0"/>
        <v>857.76588754466184</v>
      </c>
      <c r="S61" s="59">
        <f ca="1">AVERAGE(OFFSET($R$3,0,0,'Données projet'!$E$9+1,1))-AVERAGE(OFFSET($H$3,0,0,'Données projet'!$E$9+1,1))</f>
        <v>405.40026823646758</v>
      </c>
      <c r="T61" s="59">
        <f t="shared" si="34"/>
        <v>393.0787141050053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9.9445177768311446</v>
      </c>
      <c r="AA61" s="21">
        <f>EXP(-LN(2)/25)*AA60+(1-EXP(-LN(2)/25))/(LN(2)/25)*Calculateur!V61*Calculateur!X61*VLOOKUP('Données projet'!$B$9,Paramètres!$A$1:$I$89,3,0)*0.475*44/12</f>
        <v>9.5146854947691271</v>
      </c>
      <c r="AB61" s="21">
        <f>EXP(-LN(2)/2)*AB60+(1-EXP(-LN(2)/2))/(LN(2)/2)*V61*Y61*VLOOKUP('Données projet'!$B$9,Paramètres!$A$1:$I$89,3,0)*0.475*44/12</f>
        <v>7.2202887170923257E-4</v>
      </c>
      <c r="AC61" s="22">
        <f t="shared" si="3"/>
        <v>19.459925300471983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5.6843418860808015E-14</v>
      </c>
      <c r="AJ61" s="13">
        <f>AI61*VLOOKUP('Données projet'!$B$10,Paramètres!$A$1:$I$89,3,0)*VLOOKUP('Données projet'!$B$10,Paramètres!$A$1:$I$89,5,0)</f>
        <v>4.9658410716801891E-14</v>
      </c>
      <c r="AK61" s="13">
        <f t="shared" si="35"/>
        <v>8.0934058173791862E-13</v>
      </c>
      <c r="AL61" s="20">
        <f t="shared" si="4"/>
        <v>1.4960899118586383E-12</v>
      </c>
      <c r="AM61" s="59">
        <f t="shared" si="5"/>
        <v>293.33333333333479</v>
      </c>
      <c r="AN61" s="59">
        <f ca="1">AVERAGE(OFFSET($AM$3,0,0,'Données projet'!$E$10+1,1))-AVERAGE(OFFSET($H$3,0,0,'Données projet'!$E$10+1,1))</f>
        <v>304.32767345253382</v>
      </c>
      <c r="AO61" s="59">
        <f t="shared" si="36"/>
        <v>427.16091343339173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4.5343934817863829</v>
      </c>
      <c r="AV61" s="21">
        <f>EXP(-LN(2)/25)*AV60+(1-EXP(-LN(2)/25))/(LN(2)/25)*Calculateur!AQ61*Calculateur!AS61*VLOOKUP('Données projet'!$B$10,Paramètres!$A$1:$I$89,3,0)*0.475*44/12</f>
        <v>8.3360152615991456</v>
      </c>
      <c r="AW61" s="21">
        <f>EXP(-LN(2)/2)*AW60+(1-EXP(-LN(2)/2))/(LN(2)/2)*AQ61*AT61*VLOOKUP('Données projet'!$B$10,Paramètres!$A$1:$I$89,3,0)*0.475*44/12</f>
        <v>6.880595823405834E-4</v>
      </c>
      <c r="AX61" s="21">
        <f t="shared" si="6"/>
        <v>12.87109680296787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4.5999999999999996</v>
      </c>
      <c r="BD61" s="12">
        <f>IF('Données projet'!$A$88&gt;35,BD60+BC61-BL60,IF(A61&lt;'Données projet'!$A$88,$BA$205^A61,IF(A61='Données projet'!$A$88,'Données projet'!$B$88,BD60+BC61-BL60)))</f>
        <v>167.8</v>
      </c>
      <c r="BE61" s="13">
        <f>BD61*VLOOKUP('Données projet'!$B$11,Paramètres!$A$1:$I$89,3,0)*VLOOKUP('Données projet'!$B$11,Paramètres!$A$1:$I$89,5,0)</f>
        <v>146.59008000000003</v>
      </c>
      <c r="BF61" s="13">
        <f t="shared" si="37"/>
        <v>37.802635033193511</v>
      </c>
      <c r="BG61" s="20">
        <f t="shared" si="7"/>
        <v>321.15064534947874</v>
      </c>
      <c r="BH61" s="59">
        <f t="shared" si="8"/>
        <v>614.48397868281199</v>
      </c>
      <c r="BI61" s="59">
        <f ca="1">AVERAGE(OFFSET($BH$3,0,0,'Données projet'!$E$11+1,1))-AVERAGE(OFFSET($H$3,0,0,'Données projet'!$E$11+1,1))</f>
        <v>268.31928207836495</v>
      </c>
      <c r="BJ61" s="59">
        <f t="shared" si="38"/>
        <v>277.61304526670204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1.181782268748202</v>
      </c>
      <c r="BQ61" s="21">
        <f>EXP(-LN(2)/25)*BQ60+(1-EXP(-LN(2)/25))/(LN(2)/25)*Calculateur!BL61*Calculateur!BN61*VLOOKUP('Données projet'!$B$11,Paramètres!$A$1:$I$89,3,0)*0.475*44/12</f>
        <v>2.5911106860878812</v>
      </c>
      <c r="BR61" s="21">
        <f>EXP(-LN(2)/2)*BR60+(1-EXP(-LN(2)/2))/(LN(2)/2)*BL61*BO61*VLOOKUP('Données projet'!$B$11,Paramètres!$A$1:$I$89,3,0)*0.475*44/12</f>
        <v>4.9826698427770993E-4</v>
      </c>
      <c r="BS61" s="22">
        <f t="shared" si="9"/>
        <v>3.7733912218203609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</v>
      </c>
      <c r="BY61" s="12">
        <f>IF('Données projet'!$A$114&gt;35,BY60+BX61-CG60,IF(A61&lt;'Données projet'!$A$114,$BV$205^A61,IF(A61='Données projet'!$A$114,'Données projet'!$B$114,BY60+BX61-CG60)))</f>
        <v>186</v>
      </c>
      <c r="BZ61" s="13">
        <f>BY61*VLOOKUP('Données projet'!$B$12,Paramètres!$A$1:$I$89,3,0)*VLOOKUP('Données projet'!$B$12,Paramètres!$A$1:$I$89,5,0)</f>
        <v>147.98160000000001</v>
      </c>
      <c r="CA61" s="13">
        <f t="shared" si="39"/>
        <v>38.119535949375617</v>
      </c>
      <c r="CB61" s="20">
        <f t="shared" si="10"/>
        <v>324.12614511182926</v>
      </c>
      <c r="CC61" s="59">
        <f t="shared" si="11"/>
        <v>617.45947844516263</v>
      </c>
      <c r="CD61" s="59">
        <f ca="1">AVERAGE(OFFSET($CC$3,0,0,'Données projet'!$E$12+1,1))-AVERAGE(OFFSET($H$3,0,0,'Données projet'!$E$12+1,1))</f>
        <v>241.67556898455945</v>
      </c>
      <c r="CE61" s="59">
        <f t="shared" si="40"/>
        <v>237.71070965292648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3.6275662843776826</v>
      </c>
      <c r="CL61" s="21">
        <f>EXP(-LN(2)/25)*CL60+(1-EXP(-LN(2)/25))/(LN(2)/25)*Calculateur!CG61*Calculateur!CI61*VLOOKUP('Données projet'!$B$12,Paramètres!$A$1:$I$89,3,0)*0.475*44/12</f>
        <v>3.2554895730792786</v>
      </c>
      <c r="CM61" s="21">
        <f>EXP(-LN(2)/2)*CM60+(1-EXP(-LN(2)/2))/(LN(2)/2)*CG61*CJ61*VLOOKUP('Données projet'!$B$12,Paramètres!$A$1:$I$89,3,0)*0.475*44/12</f>
        <v>4.0874203797666025E-4</v>
      </c>
      <c r="CN61" s="22">
        <f t="shared" si="12"/>
        <v>6.8834645994949382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7.4</v>
      </c>
      <c r="N62" s="13">
        <f>IF('Données projet'!$A$36&gt;35,N61+M62-V61,IF(A62&lt;'Données projet'!$A$36,$K$205^A62,IF(A62='Données projet'!$A$36,'Données projet'!$B$36,N61+M62-V61)))</f>
        <v>335.59999999999974</v>
      </c>
      <c r="O62" s="13">
        <f>N62*VLOOKUP('Données projet'!$B$9,Paramètres!$A$1:$I$89,3,0)*VLOOKUP('Données projet'!$B$9,Paramètres!$A$1:$I$89,5,0)</f>
        <v>267.00335999999982</v>
      </c>
      <c r="P62" s="13">
        <f t="shared" si="33"/>
        <v>64.212894147794728</v>
      </c>
      <c r="Q62" s="20">
        <f t="shared" si="53"/>
        <v>576.86830930740882</v>
      </c>
      <c r="R62" s="59">
        <f t="shared" si="0"/>
        <v>870.20164264074219</v>
      </c>
      <c r="S62" s="59">
        <f ca="1">AVERAGE(OFFSET($R$3,0,0,'Données projet'!$E$9+1,1))-AVERAGE(OFFSET($H$3,0,0,'Données projet'!$E$9+1,1))</f>
        <v>405.40026823646758</v>
      </c>
      <c r="T62" s="59">
        <f t="shared" si="34"/>
        <v>393.0787141050053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9.7495118487844064</v>
      </c>
      <c r="AA62" s="21">
        <f>EXP(-LN(2)/25)*AA61+(1-EXP(-LN(2)/25))/(LN(2)/25)*Calculateur!V62*Calculateur!X62*VLOOKUP('Données projet'!$B$9,Paramètres!$A$1:$I$89,3,0)*0.475*44/12</f>
        <v>9.2545059195591008</v>
      </c>
      <c r="AB62" s="21">
        <f>EXP(-LN(2)/2)*AB61+(1-EXP(-LN(2)/2))/(LN(2)/2)*V62*Y62*VLOOKUP('Données projet'!$B$9,Paramètres!$A$1:$I$89,3,0)*0.475*44/12</f>
        <v>5.1055151139807009E-4</v>
      </c>
      <c r="AC62" s="22">
        <f t="shared" si="3"/>
        <v>19.004528319854906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5.6843418860808015E-14</v>
      </c>
      <c r="AJ62" s="13">
        <f>AI62*VLOOKUP('Données projet'!$B$10,Paramètres!$A$1:$I$89,3,0)*VLOOKUP('Données projet'!$B$10,Paramètres!$A$1:$I$89,5,0)</f>
        <v>4.9658410716801891E-14</v>
      </c>
      <c r="AK62" s="13">
        <f t="shared" si="35"/>
        <v>8.0934058173791862E-13</v>
      </c>
      <c r="AL62" s="20">
        <f t="shared" si="4"/>
        <v>1.4960899118586383E-12</v>
      </c>
      <c r="AM62" s="59">
        <f t="shared" si="5"/>
        <v>293.33333333333479</v>
      </c>
      <c r="AN62" s="59">
        <f ca="1">AVERAGE(OFFSET($AM$3,0,0,'Données projet'!$E$10+1,1))-AVERAGE(OFFSET($H$3,0,0,'Données projet'!$E$10+1,1))</f>
        <v>304.32767345253382</v>
      </c>
      <c r="AO62" s="59">
        <f t="shared" si="36"/>
        <v>427.16091343339173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4.4454767913154853</v>
      </c>
      <c r="AV62" s="21">
        <f>EXP(-LN(2)/25)*AV61+(1-EXP(-LN(2)/25))/(LN(2)/25)*Calculateur!AQ62*Calculateur!AS62*VLOOKUP('Données projet'!$B$10,Paramètres!$A$1:$I$89,3,0)*0.475*44/12</f>
        <v>8.1080664858987266</v>
      </c>
      <c r="AW62" s="21">
        <f>EXP(-LN(2)/2)*AW61+(1-EXP(-LN(2)/2))/(LN(2)/2)*AQ62*AT62*VLOOKUP('Données projet'!$B$10,Paramètres!$A$1:$I$89,3,0)*0.475*44/12</f>
        <v>4.8653159653341024E-4</v>
      </c>
      <c r="AX62" s="21">
        <f t="shared" si="6"/>
        <v>12.554029808810744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4.5999999999999996</v>
      </c>
      <c r="BD62" s="12">
        <f>IF('Données projet'!$A$88&gt;35,BD61+BC62-BL61,IF(A62&lt;'Données projet'!$A$88,$BA$205^A62,IF(A62='Données projet'!$A$88,'Données projet'!$B$88,BD61+BC62-BL61)))</f>
        <v>172.4</v>
      </c>
      <c r="BE62" s="13">
        <f>BD62*VLOOKUP('Données projet'!$B$11,Paramètres!$A$1:$I$89,3,0)*VLOOKUP('Données projet'!$B$11,Paramètres!$A$1:$I$89,5,0)</f>
        <v>150.60864000000004</v>
      </c>
      <c r="BF62" s="13">
        <f t="shared" si="37"/>
        <v>38.716868630535288</v>
      </c>
      <c r="BG62" s="20">
        <f t="shared" si="7"/>
        <v>329.74192753151567</v>
      </c>
      <c r="BH62" s="59">
        <f t="shared" si="8"/>
        <v>623.07526086484904</v>
      </c>
      <c r="BI62" s="59">
        <f ca="1">AVERAGE(OFFSET($BH$3,0,0,'Données projet'!$E$11+1,1))-AVERAGE(OFFSET($H$3,0,0,'Données projet'!$E$11+1,1))</f>
        <v>268.31928207836495</v>
      </c>
      <c r="BJ62" s="59">
        <f t="shared" si="38"/>
        <v>277.61304526670204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1.1586082392740591</v>
      </c>
      <c r="BQ62" s="21">
        <f>EXP(-LN(2)/25)*BQ61+(1-EXP(-LN(2)/25))/(LN(2)/25)*Calculateur!BL62*Calculateur!BN62*VLOOKUP('Données projet'!$B$11,Paramètres!$A$1:$I$89,3,0)*0.475*44/12</f>
        <v>2.5202566281162193</v>
      </c>
      <c r="BR62" s="21">
        <f>EXP(-LN(2)/2)*BR61+(1-EXP(-LN(2)/2))/(LN(2)/2)*BL62*BO62*VLOOKUP('Données projet'!$B$11,Paramètres!$A$1:$I$89,3,0)*0.475*44/12</f>
        <v>3.5232796342413956E-4</v>
      </c>
      <c r="BS62" s="22">
        <f t="shared" si="9"/>
        <v>3.679217195353703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</v>
      </c>
      <c r="BY62" s="12">
        <f>IF('Données projet'!$A$114&gt;35,BY61+BX62-CG61,IF(A62&lt;'Données projet'!$A$114,$BV$205^A62,IF(A62='Données projet'!$A$114,'Données projet'!$B$114,BY61+BX62-CG61)))</f>
        <v>190</v>
      </c>
      <c r="BZ62" s="13">
        <f>BY62*VLOOKUP('Données projet'!$B$12,Paramètres!$A$1:$I$89,3,0)*VLOOKUP('Données projet'!$B$12,Paramètres!$A$1:$I$89,5,0)</f>
        <v>151.16400000000002</v>
      </c>
      <c r="CA62" s="13">
        <f t="shared" si="39"/>
        <v>38.84298967415998</v>
      </c>
      <c r="CB62" s="20">
        <f t="shared" si="10"/>
        <v>330.92884034916193</v>
      </c>
      <c r="CC62" s="59">
        <f t="shared" si="11"/>
        <v>624.26217368249524</v>
      </c>
      <c r="CD62" s="59">
        <f ca="1">AVERAGE(OFFSET($CC$3,0,0,'Données projet'!$E$12+1,1))-AVERAGE(OFFSET($H$3,0,0,'Données projet'!$E$12+1,1))</f>
        <v>241.67556898455945</v>
      </c>
      <c r="CE62" s="59">
        <f t="shared" si="40"/>
        <v>237.71070965292648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3.5564319221379939</v>
      </c>
      <c r="CL62" s="21">
        <f>EXP(-LN(2)/25)*CL61+(1-EXP(-LN(2)/25))/(LN(2)/25)*Calculateur!CG62*Calculateur!CI62*VLOOKUP('Données projet'!$B$12,Paramètres!$A$1:$I$89,3,0)*0.475*44/12</f>
        <v>3.1664680395046694</v>
      </c>
      <c r="CM62" s="21">
        <f>EXP(-LN(2)/2)*CM61+(1-EXP(-LN(2)/2))/(LN(2)/2)*CG62*CJ62*VLOOKUP('Données projet'!$B$12,Paramètres!$A$1:$I$89,3,0)*0.475*44/12</f>
        <v>2.890242668093058E-4</v>
      </c>
      <c r="CN62" s="22">
        <f t="shared" si="12"/>
        <v>6.7231889859094727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343</v>
      </c>
      <c r="L63" s="12">
        <f>VLOOKUP(A63,'Données projet'!$A$35:$I$55,9,0)</f>
        <v>7.4</v>
      </c>
      <c r="M63" s="12">
        <f t="array" ref="M63">INDEX(L:L,MIN(IF(ISNUMBER(L63:L259),ROW(L63:L259),"")))</f>
        <v>7.4</v>
      </c>
      <c r="N63" s="13">
        <f>IF('Données projet'!$A$36&gt;35,N62+M63-V62,IF(A63&lt;'Données projet'!$A$36,$K$205^A63,IF(A63='Données projet'!$A$36,'Données projet'!$B$36,N62+M63-V62)))</f>
        <v>342.99999999999972</v>
      </c>
      <c r="O63" s="13">
        <f>N63*VLOOKUP('Données projet'!$B$9,Paramètres!$A$1:$I$89,3,0)*VLOOKUP('Données projet'!$B$9,Paramètres!$A$1:$I$89,5,0)</f>
        <v>272.89079999999979</v>
      </c>
      <c r="P63" s="13">
        <f t="shared" si="33"/>
        <v>65.462389231846373</v>
      </c>
      <c r="Q63" s="20">
        <f t="shared" si="53"/>
        <v>589.29847124546529</v>
      </c>
      <c r="R63" s="59">
        <f t="shared" si="0"/>
        <v>882.63180457879866</v>
      </c>
      <c r="S63" s="59">
        <f ca="1">AVERAGE(OFFSET($R$3,0,0,'Données projet'!$E$9+1,1))-AVERAGE(OFFSET($H$3,0,0,'Données projet'!$E$9+1,1))</f>
        <v>405.40026823646758</v>
      </c>
      <c r="T63" s="59">
        <f t="shared" si="34"/>
        <v>393.0787141050053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17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9.5583298680447921</v>
      </c>
      <c r="AA63" s="21">
        <f>EXP(-LN(2)/25)*AA62+(1-EXP(-LN(2)/25))/(LN(2)/25)*Calculateur!V63*Calculateur!X63*VLOOKUP('Données projet'!$B$9,Paramètres!$A$1:$I$89,3,0)*0.475*44/12</f>
        <v>9.0014409685154426</v>
      </c>
      <c r="AB63" s="21">
        <f>EXP(-LN(2)/2)*AB62+(1-EXP(-LN(2)/2))/(LN(2)/2)*V63*Y63*VLOOKUP('Données projet'!$B$9,Paramètres!$A$1:$I$89,3,0)*0.475*44/12</f>
        <v>3.6101443585461628E-4</v>
      </c>
      <c r="AC63" s="22">
        <f t="shared" si="3"/>
        <v>18.560131850996086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5.6843418860808015E-14</v>
      </c>
      <c r="AJ63" s="13">
        <f>AI63*VLOOKUP('Données projet'!$B$10,Paramètres!$A$1:$I$89,3,0)*VLOOKUP('Données projet'!$B$10,Paramètres!$A$1:$I$89,5,0)</f>
        <v>4.9658410716801891E-14</v>
      </c>
      <c r="AK63" s="13">
        <f t="shared" si="35"/>
        <v>8.0934058173791862E-13</v>
      </c>
      <c r="AL63" s="20">
        <f t="shared" si="4"/>
        <v>1.4960899118586383E-12</v>
      </c>
      <c r="AM63" s="59">
        <f t="shared" si="5"/>
        <v>293.33333333333479</v>
      </c>
      <c r="AN63" s="59">
        <f ca="1">AVERAGE(OFFSET($AM$3,0,0,'Données projet'!$E$10+1,1))-AVERAGE(OFFSET($H$3,0,0,'Données projet'!$E$10+1,1))</f>
        <v>304.32767345253382</v>
      </c>
      <c r="AO63" s="59">
        <f t="shared" si="36"/>
        <v>427.16091343339173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4.358303702910896</v>
      </c>
      <c r="AV63" s="21">
        <f>EXP(-LN(2)/25)*AV62+(1-EXP(-LN(2)/25))/(LN(2)/25)*Calculateur!AQ63*Calculateur!AS63*VLOOKUP('Données projet'!$B$10,Paramètres!$A$1:$I$89,3,0)*0.475*44/12</f>
        <v>7.8863509814571406</v>
      </c>
      <c r="AW63" s="21">
        <f>EXP(-LN(2)/2)*AW62+(1-EXP(-LN(2)/2))/(LN(2)/2)*AQ63*AT63*VLOOKUP('Données projet'!$B$10,Paramètres!$A$1:$I$89,3,0)*0.475*44/12</f>
        <v>3.4402979117029175E-4</v>
      </c>
      <c r="AX63" s="21">
        <f t="shared" si="6"/>
        <v>12.244998714159207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177</v>
      </c>
      <c r="BB63" s="12">
        <f>VLOOKUP(A63,'Données projet'!$A$87:$I$107,9,0)</f>
        <v>4.5999999999999996</v>
      </c>
      <c r="BC63" s="12">
        <f t="array" ref="BC63">INDEX(BB:BB,MIN(IF(ISNUMBER(BB63:BB259),ROW(BB63:BB259),"")))</f>
        <v>4.5999999999999996</v>
      </c>
      <c r="BD63" s="12">
        <f>IF('Données projet'!$A$88&gt;35,BD62+BC63-BL62,IF(A63&lt;'Données projet'!$A$88,$BA$205^A63,IF(A63='Données projet'!$A$88,'Données projet'!$B$88,BD62+BC63-BL62)))</f>
        <v>177</v>
      </c>
      <c r="BE63" s="13">
        <f>BD63*VLOOKUP('Données projet'!$B$11,Paramètres!$A$1:$I$89,3,0)*VLOOKUP('Données projet'!$B$11,Paramètres!$A$1:$I$89,5,0)</f>
        <v>154.62720000000002</v>
      </c>
      <c r="BF63" s="13">
        <f t="shared" si="37"/>
        <v>39.62826685000794</v>
      </c>
      <c r="BG63" s="20">
        <f t="shared" si="7"/>
        <v>338.3282714304305</v>
      </c>
      <c r="BH63" s="59">
        <f t="shared" si="8"/>
        <v>631.66160476376376</v>
      </c>
      <c r="BI63" s="59">
        <f ca="1">AVERAGE(OFFSET($BH$3,0,0,'Données projet'!$E$11+1,1))-AVERAGE(OFFSET($H$3,0,0,'Données projet'!$E$11+1,1))</f>
        <v>268.31928207836495</v>
      </c>
      <c r="BJ63" s="59">
        <f t="shared" si="38"/>
        <v>277.61304526670204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1.1358886383831417</v>
      </c>
      <c r="BQ63" s="21">
        <f>EXP(-LN(2)/25)*BQ62+(1-EXP(-LN(2)/25))/(LN(2)/25)*Calculateur!BL63*Calculateur!BN63*VLOOKUP('Données projet'!$B$11,Paramètres!$A$1:$I$89,3,0)*0.475*44/12</f>
        <v>2.4513400780858454</v>
      </c>
      <c r="BR63" s="21">
        <f>EXP(-LN(2)/2)*BR62+(1-EXP(-LN(2)/2))/(LN(2)/2)*BL63*BO63*VLOOKUP('Données projet'!$B$11,Paramètres!$A$1:$I$89,3,0)*0.475*44/12</f>
        <v>2.4913349213885497E-4</v>
      </c>
      <c r="BS63" s="22">
        <f t="shared" si="9"/>
        <v>3.5874778499611257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194</v>
      </c>
      <c r="BW63" s="12">
        <f>VLOOKUP(A63,'Données projet'!$A$113:$I$133,9,0)</f>
        <v>4</v>
      </c>
      <c r="BX63" s="12">
        <f t="array" ref="BX63">INDEX(BW:BW,MIN(IF(ISNUMBER(BW63:BW259),ROW(BW63:BW259),"")))</f>
        <v>4</v>
      </c>
      <c r="BY63" s="12">
        <f>IF('Données projet'!$A$114&gt;35,BY62+BX63-CG62,IF(A63&lt;'Données projet'!$A$114,$BV$205^A63,IF(A63='Données projet'!$A$114,'Données projet'!$B$114,BY62+BX63-CG62)))</f>
        <v>194</v>
      </c>
      <c r="BZ63" s="13">
        <f>BY63*VLOOKUP('Données projet'!$B$12,Paramètres!$A$1:$I$89,3,0)*VLOOKUP('Données projet'!$B$12,Paramètres!$A$1:$I$89,5,0)</f>
        <v>154.34639999999999</v>
      </c>
      <c r="CA63" s="13">
        <f t="shared" si="39"/>
        <v>39.56467258871259</v>
      </c>
      <c r="CB63" s="20">
        <f t="shared" si="10"/>
        <v>337.72845142534106</v>
      </c>
      <c r="CC63" s="59">
        <f t="shared" si="11"/>
        <v>631.06178475867432</v>
      </c>
      <c r="CD63" s="59">
        <f ca="1">AVERAGE(OFFSET($CC$3,0,0,'Données projet'!$E$12+1,1))-AVERAGE(OFFSET($H$3,0,0,'Données projet'!$E$12+1,1))</f>
        <v>241.67556898455945</v>
      </c>
      <c r="CE63" s="59">
        <f t="shared" si="40"/>
        <v>237.71070965292648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9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3.4866924613541488</v>
      </c>
      <c r="CL63" s="21">
        <f>EXP(-LN(2)/25)*CL62+(1-EXP(-LN(2)/25))/(LN(2)/25)*Calculateur!CG63*Calculateur!CI63*VLOOKUP('Données projet'!$B$12,Paramètres!$A$1:$I$89,3,0)*0.475*44/12</f>
        <v>3.0798808044470971</v>
      </c>
      <c r="CM63" s="21">
        <f>EXP(-LN(2)/2)*CM62+(1-EXP(-LN(2)/2))/(LN(2)/2)*CG63*CJ63*VLOOKUP('Données projet'!$B$12,Paramètres!$A$1:$I$89,3,0)*0.475*44/12</f>
        <v>2.0437101898833013E-4</v>
      </c>
      <c r="CN63" s="22">
        <f t="shared" si="12"/>
        <v>6.566777636820234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331.99999999999972</v>
      </c>
      <c r="O64" s="13">
        <f>N64*VLOOKUP('Données projet'!$B$9,Paramètres!$A$1:$I$89,3,0)*VLOOKUP('Données projet'!$B$9,Paramètres!$A$1:$I$89,5,0)</f>
        <v>264.13919999999979</v>
      </c>
      <c r="P64" s="13">
        <f t="shared" si="33"/>
        <v>63.60387543087441</v>
      </c>
      <c r="Q64" s="20">
        <f t="shared" si="53"/>
        <v>570.81918970877257</v>
      </c>
      <c r="R64" s="59">
        <f t="shared" si="0"/>
        <v>864.15252304210594</v>
      </c>
      <c r="S64" s="59">
        <f ca="1">AVERAGE(OFFSET($R$3,0,0,'Données projet'!$E$9+1,1))-AVERAGE(OFFSET($H$3,0,0,'Données projet'!$E$9+1,1))</f>
        <v>405.40026823646758</v>
      </c>
      <c r="T64" s="59">
        <f t="shared" si="34"/>
        <v>393.0787141050053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9.3708968493379885</v>
      </c>
      <c r="AA64" s="21">
        <f>EXP(-LN(2)/25)*AA63+(1-EXP(-LN(2)/25))/(LN(2)/25)*Calculateur!V64*Calculateur!X64*VLOOKUP('Données projet'!$B$9,Paramètres!$A$1:$I$89,3,0)*0.475*44/12</f>
        <v>8.75529609186618</v>
      </c>
      <c r="AB64" s="21">
        <f>EXP(-LN(2)/2)*AB63+(1-EXP(-LN(2)/2))/(LN(2)/2)*V64*Y64*VLOOKUP('Données projet'!$B$9,Paramètres!$A$1:$I$89,3,0)*0.475*44/12</f>
        <v>2.5527575569903504E-4</v>
      </c>
      <c r="AC64" s="22">
        <f t="shared" si="3"/>
        <v>18.126448216959865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5.6843418860808015E-14</v>
      </c>
      <c r="AJ64" s="13">
        <f>AI64*VLOOKUP('Données projet'!$B$10,Paramètres!$A$1:$I$89,3,0)*VLOOKUP('Données projet'!$B$10,Paramètres!$A$1:$I$89,5,0)</f>
        <v>4.9658410716801891E-14</v>
      </c>
      <c r="AK64" s="13">
        <f t="shared" si="35"/>
        <v>8.0934058173791862E-13</v>
      </c>
      <c r="AL64" s="20">
        <f t="shared" si="4"/>
        <v>1.4960899118586383E-12</v>
      </c>
      <c r="AM64" s="59">
        <f t="shared" si="5"/>
        <v>293.33333333333479</v>
      </c>
      <c r="AN64" s="59">
        <f ca="1">AVERAGE(OFFSET($AM$3,0,0,'Données projet'!$E$10+1,1))-AVERAGE(OFFSET($H$3,0,0,'Données projet'!$E$10+1,1))</f>
        <v>304.32767345253382</v>
      </c>
      <c r="AO64" s="59">
        <f t="shared" si="36"/>
        <v>427.16091343339173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4.2728400255995869</v>
      </c>
      <c r="AV64" s="21">
        <f>EXP(-LN(2)/25)*AV63+(1-EXP(-LN(2)/25))/(LN(2)/25)*Calculateur!AQ64*Calculateur!AS64*VLOOKUP('Données projet'!$B$10,Paramètres!$A$1:$I$89,3,0)*0.475*44/12</f>
        <v>7.6706982991440213</v>
      </c>
      <c r="AW64" s="21">
        <f>EXP(-LN(2)/2)*AW63+(1-EXP(-LN(2)/2))/(LN(2)/2)*AQ64*AT64*VLOOKUP('Données projet'!$B$10,Paramètres!$A$1:$I$89,3,0)*0.475*44/12</f>
        <v>2.4326579826670515E-4</v>
      </c>
      <c r="AX64" s="21">
        <f t="shared" si="6"/>
        <v>11.943781590541874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</v>
      </c>
      <c r="BD64" s="12">
        <f>IF('Données projet'!$A$88&gt;35,BD63+BC64-BL63,IF(A64&lt;'Données projet'!$A$88,$BA$205^A64,IF(A64='Données projet'!$A$88,'Données projet'!$B$88,BD63+BC64-BL63)))</f>
        <v>165</v>
      </c>
      <c r="BE64" s="13">
        <f>BD64*VLOOKUP('Données projet'!$B$11,Paramètres!$A$1:$I$89,3,0)*VLOOKUP('Données projet'!$B$11,Paramètres!$A$1:$I$89,5,0)</f>
        <v>144.14400000000001</v>
      </c>
      <c r="BF64" s="13">
        <f t="shared" si="37"/>
        <v>37.244720006976252</v>
      </c>
      <c r="BG64" s="20">
        <f t="shared" si="7"/>
        <v>315.91868734548365</v>
      </c>
      <c r="BH64" s="59">
        <f t="shared" si="8"/>
        <v>609.25202067881696</v>
      </c>
      <c r="BI64" s="59">
        <f ca="1">AVERAGE(OFFSET($BH$3,0,0,'Données projet'!$E$11+1,1))-AVERAGE(OFFSET($H$3,0,0,'Données projet'!$E$11+1,1))</f>
        <v>268.31928207836495</v>
      </c>
      <c r="BJ64" s="59">
        <f t="shared" si="38"/>
        <v>277.61304526670204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1.1136145550081071</v>
      </c>
      <c r="BQ64" s="21">
        <f>EXP(-LN(2)/25)*BQ63+(1-EXP(-LN(2)/25))/(LN(2)/25)*Calculateur!BL64*Calculateur!BN64*VLOOKUP('Données projet'!$B$11,Paramètres!$A$1:$I$89,3,0)*0.475*44/12</f>
        <v>2.3843080547402158</v>
      </c>
      <c r="BR64" s="21">
        <f>EXP(-LN(2)/2)*BR63+(1-EXP(-LN(2)/2))/(LN(2)/2)*BL64*BO64*VLOOKUP('Données projet'!$B$11,Paramètres!$A$1:$I$89,3,0)*0.475*44/12</f>
        <v>1.7616398171206978E-4</v>
      </c>
      <c r="BS64" s="22">
        <f t="shared" si="9"/>
        <v>3.4980987737300349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3.4</v>
      </c>
      <c r="BY64" s="12">
        <f>IF('Données projet'!$A$114&gt;35,BY63+BX64-CG63,IF(A64&lt;'Données projet'!$A$114,$BV$205^A64,IF(A64='Données projet'!$A$114,'Données projet'!$B$114,BY63+BX64-CG63)))</f>
        <v>188.4</v>
      </c>
      <c r="BZ64" s="13">
        <f>BY64*VLOOKUP('Données projet'!$B$12,Paramètres!$A$1:$I$89,3,0)*VLOOKUP('Données projet'!$B$12,Paramètres!$A$1:$I$89,5,0)</f>
        <v>149.89104</v>
      </c>
      <c r="CA64" s="13">
        <f t="shared" si="39"/>
        <v>38.553823022751281</v>
      </c>
      <c r="CB64" s="20">
        <f t="shared" si="10"/>
        <v>328.20813643129185</v>
      </c>
      <c r="CC64" s="59">
        <f t="shared" si="11"/>
        <v>621.54146976462516</v>
      </c>
      <c r="CD64" s="59">
        <f ca="1">AVERAGE(OFFSET($CC$3,0,0,'Données projet'!$E$12+1,1))-AVERAGE(OFFSET($H$3,0,0,'Données projet'!$E$12+1,1))</f>
        <v>241.67556898455945</v>
      </c>
      <c r="CE64" s="59">
        <f t="shared" si="40"/>
        <v>237.71070965292648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3.4183205488594037</v>
      </c>
      <c r="CL64" s="21">
        <f>EXP(-LN(2)/25)*CL63+(1-EXP(-LN(2)/25))/(LN(2)/25)*Calculateur!CG64*Calculateur!CI64*VLOOKUP('Données projet'!$B$12,Paramètres!$A$1:$I$89,3,0)*0.475*44/12</f>
        <v>2.9956613018855989</v>
      </c>
      <c r="CM64" s="21">
        <f>EXP(-LN(2)/2)*CM63+(1-EXP(-LN(2)/2))/(LN(2)/2)*CG64*CJ64*VLOOKUP('Données projet'!$B$12,Paramètres!$A$1:$I$89,3,0)*0.475*44/12</f>
        <v>1.445121334046529E-4</v>
      </c>
      <c r="CN64" s="22">
        <f t="shared" si="12"/>
        <v>6.4141263628784078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337.99999999999972</v>
      </c>
      <c r="O65" s="13">
        <f>N65*VLOOKUP('Données projet'!$B$9,Paramètres!$A$1:$I$89,3,0)*VLOOKUP('Données projet'!$B$9,Paramètres!$A$1:$I$89,5,0)</f>
        <v>268.91279999999978</v>
      </c>
      <c r="P65" s="13">
        <f t="shared" si="33"/>
        <v>64.618483855217065</v>
      </c>
      <c r="Q65" s="20">
        <f t="shared" si="53"/>
        <v>580.90031938116931</v>
      </c>
      <c r="R65" s="59">
        <f t="shared" si="0"/>
        <v>874.23365271450257</v>
      </c>
      <c r="S65" s="59">
        <f ca="1">AVERAGE(OFFSET($R$3,0,0,'Données projet'!$E$9+1,1))-AVERAGE(OFFSET($H$3,0,0,'Données projet'!$E$9+1,1))</f>
        <v>405.40026823646758</v>
      </c>
      <c r="T65" s="59">
        <f t="shared" si="34"/>
        <v>393.0787141050053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9.187139277805171</v>
      </c>
      <c r="AA65" s="21">
        <f>EXP(-LN(2)/25)*AA64+(1-EXP(-LN(2)/25))/(LN(2)/25)*Calculateur!V65*Calculateur!X65*VLOOKUP('Données projet'!$B$9,Paramètres!$A$1:$I$89,3,0)*0.475*44/12</f>
        <v>8.5158820598130891</v>
      </c>
      <c r="AB65" s="21">
        <f>EXP(-LN(2)/2)*AB64+(1-EXP(-LN(2)/2))/(LN(2)/2)*V65*Y65*VLOOKUP('Données projet'!$B$9,Paramètres!$A$1:$I$89,3,0)*0.475*44/12</f>
        <v>1.8050721792730814E-4</v>
      </c>
      <c r="AC65" s="22">
        <f t="shared" si="3"/>
        <v>17.703201844836187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5.6843418860808015E-14</v>
      </c>
      <c r="AJ65" s="13">
        <f>AI65*VLOOKUP('Données projet'!$B$10,Paramètres!$A$1:$I$89,3,0)*VLOOKUP('Données projet'!$B$10,Paramètres!$A$1:$I$89,5,0)</f>
        <v>4.9658410716801891E-14</v>
      </c>
      <c r="AK65" s="13">
        <f t="shared" si="35"/>
        <v>8.0934058173791862E-13</v>
      </c>
      <c r="AL65" s="20">
        <f t="shared" si="4"/>
        <v>1.4960899118586383E-12</v>
      </c>
      <c r="AM65" s="59">
        <f t="shared" si="5"/>
        <v>293.33333333333479</v>
      </c>
      <c r="AN65" s="59">
        <f ca="1">AVERAGE(OFFSET($AM$3,0,0,'Données projet'!$E$10+1,1))-AVERAGE(OFFSET($H$3,0,0,'Données projet'!$E$10+1,1))</f>
        <v>304.32767345253382</v>
      </c>
      <c r="AO65" s="59">
        <f t="shared" si="36"/>
        <v>427.16091343339173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4.1890522388726561</v>
      </c>
      <c r="AV65" s="21">
        <f>EXP(-LN(2)/25)*AV64+(1-EXP(-LN(2)/25))/(LN(2)/25)*Calculateur!AQ65*Calculateur!AS65*VLOOKUP('Données projet'!$B$10,Paramètres!$A$1:$I$89,3,0)*0.475*44/12</f>
        <v>7.4609426507694359</v>
      </c>
      <c r="AW65" s="21">
        <f>EXP(-LN(2)/2)*AW64+(1-EXP(-LN(2)/2))/(LN(2)/2)*AQ65*AT65*VLOOKUP('Données projet'!$B$10,Paramètres!$A$1:$I$89,3,0)*0.475*44/12</f>
        <v>1.720148955851459E-4</v>
      </c>
      <c r="AX65" s="21">
        <f t="shared" si="6"/>
        <v>11.650166904537675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</v>
      </c>
      <c r="BD65" s="12">
        <f>IF('Données projet'!$A$88&gt;35,BD64+BC65-BL64,IF(A65&lt;'Données projet'!$A$88,$BA$205^A65,IF(A65='Données projet'!$A$88,'Données projet'!$B$88,BD64+BC65-BL64)))</f>
        <v>169</v>
      </c>
      <c r="BE65" s="13">
        <f>BD65*VLOOKUP('Données projet'!$B$11,Paramètres!$A$1:$I$89,3,0)*VLOOKUP('Données projet'!$B$11,Paramètres!$A$1:$I$89,5,0)</f>
        <v>147.63840000000002</v>
      </c>
      <c r="BF65" s="13">
        <f t="shared" si="37"/>
        <v>38.04140887895133</v>
      </c>
      <c r="BG65" s="20">
        <f t="shared" si="7"/>
        <v>323.39233379750692</v>
      </c>
      <c r="BH65" s="59">
        <f t="shared" si="8"/>
        <v>616.72566713084029</v>
      </c>
      <c r="BI65" s="59">
        <f ca="1">AVERAGE(OFFSET($BH$3,0,0,'Données projet'!$E$11+1,1))-AVERAGE(OFFSET($H$3,0,0,'Données projet'!$E$11+1,1))</f>
        <v>268.31928207836495</v>
      </c>
      <c r="BJ65" s="59">
        <f t="shared" si="38"/>
        <v>277.61304526670204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1.0917772528222076</v>
      </c>
      <c r="BQ65" s="21">
        <f>EXP(-LN(2)/25)*BQ64+(1-EXP(-LN(2)/25))/(LN(2)/25)*Calculateur!BL65*Calculateur!BN65*VLOOKUP('Données projet'!$B$11,Paramètres!$A$1:$I$89,3,0)*0.475*44/12</f>
        <v>2.3191090255980336</v>
      </c>
      <c r="BR65" s="21">
        <f>EXP(-LN(2)/2)*BR64+(1-EXP(-LN(2)/2))/(LN(2)/2)*BL65*BO65*VLOOKUP('Données projet'!$B$11,Paramètres!$A$1:$I$89,3,0)*0.475*44/12</f>
        <v>1.2456674606942748E-4</v>
      </c>
      <c r="BS65" s="22">
        <f t="shared" si="9"/>
        <v>3.4110108451663108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3.4</v>
      </c>
      <c r="BY65" s="12">
        <f>IF('Données projet'!$A$114&gt;35,BY64+BX65-CG64,IF(A65&lt;'Données projet'!$A$114,$BV$205^A65,IF(A65='Données projet'!$A$114,'Données projet'!$B$114,BY64+BX65-CG64)))</f>
        <v>191.8</v>
      </c>
      <c r="BZ65" s="13">
        <f>BY65*VLOOKUP('Données projet'!$B$12,Paramètres!$A$1:$I$89,3,0)*VLOOKUP('Données projet'!$B$12,Paramètres!$A$1:$I$89,5,0)</f>
        <v>152.59608000000003</v>
      </c>
      <c r="CA65" s="13">
        <f t="shared" si="39"/>
        <v>39.167963646360036</v>
      </c>
      <c r="CB65" s="20">
        <f t="shared" si="10"/>
        <v>333.98904268407705</v>
      </c>
      <c r="CC65" s="59">
        <f t="shared" si="11"/>
        <v>627.32237601741031</v>
      </c>
      <c r="CD65" s="59">
        <f ca="1">AVERAGE(OFFSET($CC$3,0,0,'Données projet'!$E$12+1,1))-AVERAGE(OFFSET($H$3,0,0,'Données projet'!$E$12+1,1))</f>
        <v>241.67556898455945</v>
      </c>
      <c r="CE65" s="59">
        <f t="shared" si="40"/>
        <v>237.71070965292648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3.3512893678659319</v>
      </c>
      <c r="CL65" s="21">
        <f>EXP(-LN(2)/25)*CL64+(1-EXP(-LN(2)/25))/(LN(2)/25)*Calculateur!CG65*Calculateur!CI65*VLOOKUP('Données projet'!$B$12,Paramètres!$A$1:$I$89,3,0)*0.475*44/12</f>
        <v>2.9137447860505561</v>
      </c>
      <c r="CM65" s="21">
        <f>EXP(-LN(2)/2)*CM64+(1-EXP(-LN(2)/2))/(LN(2)/2)*CG65*CJ65*VLOOKUP('Données projet'!$B$12,Paramètres!$A$1:$I$89,3,0)*0.475*44/12</f>
        <v>1.0218550949416506E-4</v>
      </c>
      <c r="CN65" s="22">
        <f t="shared" si="12"/>
        <v>6.2651363394259825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343.99999999999972</v>
      </c>
      <c r="O66" s="13">
        <f>N66*VLOOKUP('Données projet'!$B$9,Paramètres!$A$1:$I$89,3,0)*VLOOKUP('Données projet'!$B$9,Paramètres!$A$1:$I$89,5,0)</f>
        <v>273.68639999999976</v>
      </c>
      <c r="P66" s="13">
        <f t="shared" si="33"/>
        <v>65.630997870536959</v>
      </c>
      <c r="Q66" s="20">
        <f t="shared" si="53"/>
        <v>590.97780129118485</v>
      </c>
      <c r="R66" s="59">
        <f t="shared" si="0"/>
        <v>884.31113462451822</v>
      </c>
      <c r="S66" s="59">
        <f ca="1">AVERAGE(OFFSET($R$3,0,0,'Données projet'!$E$9+1,1))-AVERAGE(OFFSET($H$3,0,0,'Données projet'!$E$9+1,1))</f>
        <v>405.40026823646758</v>
      </c>
      <c r="T66" s="59">
        <f t="shared" si="34"/>
        <v>393.0787141050053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9.006985080169061</v>
      </c>
      <c r="AA66" s="21">
        <f>EXP(-LN(2)/25)*AA65+(1-EXP(-LN(2)/25))/(LN(2)/25)*Calculateur!V66*Calculateur!X66*VLOOKUP('Données projet'!$B$9,Paramètres!$A$1:$I$89,3,0)*0.475*44/12</f>
        <v>8.2830148170567259</v>
      </c>
      <c r="AB66" s="21">
        <f>EXP(-LN(2)/2)*AB65+(1-EXP(-LN(2)/2))/(LN(2)/2)*V66*Y66*VLOOKUP('Données projet'!$B$9,Paramètres!$A$1:$I$89,3,0)*0.475*44/12</f>
        <v>1.2763787784951752E-4</v>
      </c>
      <c r="AC66" s="22">
        <f t="shared" si="3"/>
        <v>17.290127535103636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5.6843418860808015E-14</v>
      </c>
      <c r="AJ66" s="13">
        <f>AI66*VLOOKUP('Données projet'!$B$10,Paramètres!$A$1:$I$89,3,0)*VLOOKUP('Données projet'!$B$10,Paramètres!$A$1:$I$89,5,0)</f>
        <v>4.9658410716801891E-14</v>
      </c>
      <c r="AK66" s="13">
        <f t="shared" si="35"/>
        <v>8.0934058173791862E-13</v>
      </c>
      <c r="AL66" s="20">
        <f t="shared" si="4"/>
        <v>1.4960899118586383E-12</v>
      </c>
      <c r="AM66" s="59">
        <f t="shared" si="5"/>
        <v>293.33333333333479</v>
      </c>
      <c r="AN66" s="59">
        <f ca="1">AVERAGE(OFFSET($AM$3,0,0,'Données projet'!$E$10+1,1))-AVERAGE(OFFSET($H$3,0,0,'Données projet'!$E$10+1,1))</f>
        <v>304.32767345253382</v>
      </c>
      <c r="AO66" s="59">
        <f t="shared" si="36"/>
        <v>427.16091343339173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4.106907479537937</v>
      </c>
      <c r="AV66" s="21">
        <f>EXP(-LN(2)/25)*AV65+(1-EXP(-LN(2)/25))/(LN(2)/25)*Calculateur!AQ66*Calculateur!AS66*VLOOKUP('Données projet'!$B$10,Paramètres!$A$1:$I$89,3,0)*0.475*44/12</f>
        <v>7.256922781630224</v>
      </c>
      <c r="AW66" s="21">
        <f>EXP(-LN(2)/2)*AW65+(1-EXP(-LN(2)/2))/(LN(2)/2)*AQ66*AT66*VLOOKUP('Données projet'!$B$10,Paramètres!$A$1:$I$89,3,0)*0.475*44/12</f>
        <v>1.2163289913335259E-4</v>
      </c>
      <c r="AX66" s="21">
        <f t="shared" si="6"/>
        <v>11.363951894067295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</v>
      </c>
      <c r="BD66" s="12">
        <f>IF('Données projet'!$A$88&gt;35,BD65+BC66-BL65,IF(A66&lt;'Données projet'!$A$88,$BA$205^A66,IF(A66='Données projet'!$A$88,'Données projet'!$B$88,BD65+BC66-BL65)))</f>
        <v>173</v>
      </c>
      <c r="BE66" s="13">
        <f>BD66*VLOOKUP('Données projet'!$B$11,Paramètres!$A$1:$I$89,3,0)*VLOOKUP('Données projet'!$B$11,Paramètres!$A$1:$I$89,5,0)</f>
        <v>151.13280000000003</v>
      </c>
      <c r="BF66" s="13">
        <f t="shared" si="37"/>
        <v>38.835905653934425</v>
      </c>
      <c r="BG66" s="20">
        <f t="shared" si="7"/>
        <v>330.86216234726913</v>
      </c>
      <c r="BH66" s="59">
        <f t="shared" si="8"/>
        <v>624.19549568060245</v>
      </c>
      <c r="BI66" s="59">
        <f ca="1">AVERAGE(OFFSET($BH$3,0,0,'Données projet'!$E$11+1,1))-AVERAGE(OFFSET($H$3,0,0,'Données projet'!$E$11+1,1))</f>
        <v>268.31928207836495</v>
      </c>
      <c r="BJ66" s="59">
        <f t="shared" si="38"/>
        <v>277.61304526670204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1.0703681668127343</v>
      </c>
      <c r="BQ66" s="21">
        <f>EXP(-LN(2)/25)*BQ65+(1-EXP(-LN(2)/25))/(LN(2)/25)*Calculateur!BL66*Calculateur!BN66*VLOOKUP('Données projet'!$B$11,Paramètres!$A$1:$I$89,3,0)*0.475*44/12</f>
        <v>2.2556928673364123</v>
      </c>
      <c r="BR66" s="21">
        <f>EXP(-LN(2)/2)*BR65+(1-EXP(-LN(2)/2))/(LN(2)/2)*BL66*BO66*VLOOKUP('Données projet'!$B$11,Paramètres!$A$1:$I$89,3,0)*0.475*44/12</f>
        <v>8.8081990856034889E-5</v>
      </c>
      <c r="BS66" s="22">
        <f t="shared" si="9"/>
        <v>3.326149116140003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3.4</v>
      </c>
      <c r="BY66" s="12">
        <f>IF('Données projet'!$A$114&gt;35,BY65+BX66-CG65,IF(A66&lt;'Données projet'!$A$114,$BV$205^A66,IF(A66='Données projet'!$A$114,'Données projet'!$B$114,BY65+BX66-CG65)))</f>
        <v>195.20000000000002</v>
      </c>
      <c r="BZ66" s="13">
        <f>BY66*VLOOKUP('Données projet'!$B$12,Paramètres!$A$1:$I$89,3,0)*VLOOKUP('Données projet'!$B$12,Paramètres!$A$1:$I$89,5,0)</f>
        <v>155.30112000000003</v>
      </c>
      <c r="CA66" s="13">
        <f t="shared" si="39"/>
        <v>39.780838288983972</v>
      </c>
      <c r="CB66" s="20">
        <f t="shared" si="10"/>
        <v>339.76774401998046</v>
      </c>
      <c r="CC66" s="59">
        <f t="shared" si="11"/>
        <v>633.10107735331371</v>
      </c>
      <c r="CD66" s="59">
        <f ca="1">AVERAGE(OFFSET($CC$3,0,0,'Données projet'!$E$12+1,1))-AVERAGE(OFFSET($H$3,0,0,'Données projet'!$E$12+1,1))</f>
        <v>241.67556898455945</v>
      </c>
      <c r="CE66" s="59">
        <f t="shared" si="40"/>
        <v>237.71070965292648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3.2855726274467587</v>
      </c>
      <c r="CL66" s="21">
        <f>EXP(-LN(2)/25)*CL65+(1-EXP(-LN(2)/25))/(LN(2)/25)*Calculateur!CG66*Calculateur!CI66*VLOOKUP('Données projet'!$B$12,Paramètres!$A$1:$I$89,3,0)*0.475*44/12</f>
        <v>2.834068281648825</v>
      </c>
      <c r="CM66" s="21">
        <f>EXP(-LN(2)/2)*CM65+(1-EXP(-LN(2)/2))/(LN(2)/2)*CG66*CJ66*VLOOKUP('Données projet'!$B$12,Paramètres!$A$1:$I$89,3,0)*0.475*44/12</f>
        <v>7.225606670232645E-5</v>
      </c>
      <c r="CN66" s="22">
        <f t="shared" si="12"/>
        <v>6.1197131651622856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349.99999999999972</v>
      </c>
      <c r="O67" s="13">
        <f>N67*VLOOKUP('Données projet'!$B$9,Paramètres!$A$1:$I$89,3,0)*VLOOKUP('Données projet'!$B$9,Paramètres!$A$1:$I$89,5,0)</f>
        <v>278.45999999999981</v>
      </c>
      <c r="P67" s="13">
        <f t="shared" si="33"/>
        <v>66.641458222154824</v>
      </c>
      <c r="Q67" s="20">
        <f t="shared" ref="Q67:Q98" si="54">(O67+P67)*0.475*44/12</f>
        <v>601.05170640358597</v>
      </c>
      <c r="R67" s="59">
        <f t="shared" ref="R67:R130" si="55">Q67+(I67+J67)*44/12</f>
        <v>894.38503973691923</v>
      </c>
      <c r="S67" s="59">
        <f ca="1">AVERAGE(OFFSET($R$3,0,0,'Données projet'!$E$9+1,1))-AVERAGE(OFFSET($H$3,0,0,'Données projet'!$E$9+1,1))</f>
        <v>405.40026823646758</v>
      </c>
      <c r="T67" s="59">
        <f t="shared" si="34"/>
        <v>393.0787141050053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8.8303635964653857</v>
      </c>
      <c r="AA67" s="21">
        <f>EXP(-LN(2)/25)*AA66+(1-EXP(-LN(2)/25))/(LN(2)/25)*Calculateur!V67*Calculateur!X67*VLOOKUP('Données projet'!$B$9,Paramètres!$A$1:$I$89,3,0)*0.475*44/12</f>
        <v>8.056515341299491</v>
      </c>
      <c r="AB67" s="21">
        <f>EXP(-LN(2)/2)*AB66+(1-EXP(-LN(2)/2))/(LN(2)/2)*V67*Y67*VLOOKUP('Données projet'!$B$9,Paramètres!$A$1:$I$89,3,0)*0.475*44/12</f>
        <v>9.0253608963654071E-5</v>
      </c>
      <c r="AC67" s="22">
        <f t="shared" si="3"/>
        <v>16.88696919137384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5.6843418860808015E-14</v>
      </c>
      <c r="AJ67" s="13">
        <f>AI67*VLOOKUP('Données projet'!$B$10,Paramètres!$A$1:$I$89,3,0)*VLOOKUP('Données projet'!$B$10,Paramètres!$A$1:$I$89,5,0)</f>
        <v>4.9658410716801891E-14</v>
      </c>
      <c r="AK67" s="13">
        <f t="shared" si="35"/>
        <v>8.0934058173791862E-13</v>
      </c>
      <c r="AL67" s="20">
        <f t="shared" si="4"/>
        <v>1.4960899118586383E-12</v>
      </c>
      <c r="AM67" s="59">
        <f t="shared" si="5"/>
        <v>293.33333333333479</v>
      </c>
      <c r="AN67" s="59">
        <f ca="1">AVERAGE(OFFSET($AM$3,0,0,'Données projet'!$E$10+1,1))-AVERAGE(OFFSET($H$3,0,0,'Données projet'!$E$10+1,1))</f>
        <v>304.32767345253382</v>
      </c>
      <c r="AO67" s="59">
        <f t="shared" si="36"/>
        <v>427.16091343339173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4.0263735288304154</v>
      </c>
      <c r="AV67" s="21">
        <f>EXP(-LN(2)/25)*AV66+(1-EXP(-LN(2)/25))/(LN(2)/25)*Calculateur!AQ67*Calculateur!AS67*VLOOKUP('Données projet'!$B$10,Paramètres!$A$1:$I$89,3,0)*0.475*44/12</f>
        <v>7.0584818465415626</v>
      </c>
      <c r="AW67" s="21">
        <f>EXP(-LN(2)/2)*AW66+(1-EXP(-LN(2)/2))/(LN(2)/2)*AQ67*AT67*VLOOKUP('Données projet'!$B$10,Paramètres!$A$1:$I$89,3,0)*0.475*44/12</f>
        <v>8.6007447792572965E-5</v>
      </c>
      <c r="AX67" s="21">
        <f t="shared" si="6"/>
        <v>11.084941382819771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</v>
      </c>
      <c r="BD67" s="12">
        <f>IF('Données projet'!$A$88&gt;35,BD66+BC67-BL66,IF(A67&lt;'Données projet'!$A$88,$BA$205^A67,IF(A67='Données projet'!$A$88,'Données projet'!$B$88,BD66+BC67-BL66)))</f>
        <v>177</v>
      </c>
      <c r="BE67" s="13">
        <f>BD67*VLOOKUP('Données projet'!$B$11,Paramètres!$A$1:$I$89,3,0)*VLOOKUP('Données projet'!$B$11,Paramètres!$A$1:$I$89,5,0)</f>
        <v>154.62720000000002</v>
      </c>
      <c r="BF67" s="13">
        <f t="shared" si="37"/>
        <v>39.62826685000794</v>
      </c>
      <c r="BG67" s="20">
        <f t="shared" si="7"/>
        <v>338.3282714304305</v>
      </c>
      <c r="BH67" s="59">
        <f t="shared" si="8"/>
        <v>631.66160476376376</v>
      </c>
      <c r="BI67" s="59">
        <f ca="1">AVERAGE(OFFSET($BH$3,0,0,'Données projet'!$E$11+1,1))-AVERAGE(OFFSET($H$3,0,0,'Données projet'!$E$11+1,1))</f>
        <v>268.31928207836495</v>
      </c>
      <c r="BJ67" s="59">
        <f t="shared" si="38"/>
        <v>277.61304526670204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1.0493788999216538</v>
      </c>
      <c r="BQ67" s="21">
        <f>EXP(-LN(2)/25)*BQ66+(1-EXP(-LN(2)/25))/(LN(2)/25)*Calculateur!BL67*Calculateur!BN67*VLOOKUP('Données projet'!$B$11,Paramètres!$A$1:$I$89,3,0)*0.475*44/12</f>
        <v>2.1940108272573657</v>
      </c>
      <c r="BR67" s="21">
        <f>EXP(-LN(2)/2)*BR66+(1-EXP(-LN(2)/2))/(LN(2)/2)*BL67*BO67*VLOOKUP('Données projet'!$B$11,Paramètres!$A$1:$I$89,3,0)*0.475*44/12</f>
        <v>6.2283373034713741E-5</v>
      </c>
      <c r="BS67" s="22">
        <f t="shared" si="9"/>
        <v>3.2434520105520543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3.4</v>
      </c>
      <c r="BY67" s="12">
        <f>IF('Données projet'!$A$114&gt;35,BY66+BX67-CG66,IF(A67&lt;'Données projet'!$A$114,$BV$205^A67,IF(A67='Données projet'!$A$114,'Données projet'!$B$114,BY66+BX67-CG66)))</f>
        <v>198.60000000000002</v>
      </c>
      <c r="BZ67" s="13">
        <f>BY67*VLOOKUP('Données projet'!$B$12,Paramètres!$A$1:$I$89,3,0)*VLOOKUP('Données projet'!$B$12,Paramètres!$A$1:$I$89,5,0)</f>
        <v>158.00616000000002</v>
      </c>
      <c r="CA67" s="13">
        <f t="shared" si="39"/>
        <v>40.392471545814118</v>
      </c>
      <c r="CB67" s="20">
        <f t="shared" si="10"/>
        <v>345.54428327562624</v>
      </c>
      <c r="CC67" s="59">
        <f t="shared" si="11"/>
        <v>638.87761660895956</v>
      </c>
      <c r="CD67" s="59">
        <f ca="1">AVERAGE(OFFSET($CC$3,0,0,'Données projet'!$E$12+1,1))-AVERAGE(OFFSET($H$3,0,0,'Données projet'!$E$12+1,1))</f>
        <v>241.67556898455945</v>
      </c>
      <c r="CE67" s="59">
        <f t="shared" si="40"/>
        <v>237.71070965292648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3.2211445522239517</v>
      </c>
      <c r="CL67" s="21">
        <f>EXP(-LN(2)/25)*CL66+(1-EXP(-LN(2)/25))/(LN(2)/25)*Calculateur!CG67*Calculateur!CI67*VLOOKUP('Données projet'!$B$12,Paramètres!$A$1:$I$89,3,0)*0.475*44/12</f>
        <v>2.7565705354499643</v>
      </c>
      <c r="CM67" s="21">
        <f>EXP(-LN(2)/2)*CM66+(1-EXP(-LN(2)/2))/(LN(2)/2)*CG67*CJ67*VLOOKUP('Données projet'!$B$12,Paramètres!$A$1:$I$89,3,0)*0.475*44/12</f>
        <v>5.1092754747082532E-5</v>
      </c>
      <c r="CN67" s="22">
        <f t="shared" si="12"/>
        <v>5.977766180428663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356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355.99999999999972</v>
      </c>
      <c r="O68" s="13">
        <f>N68*VLOOKUP('Données projet'!$B$9,Paramètres!$A$1:$I$89,3,0)*VLOOKUP('Données projet'!$B$9,Paramètres!$A$1:$I$89,5,0)</f>
        <v>283.2335999999998</v>
      </c>
      <c r="P68" s="13">
        <f t="shared" si="33"/>
        <v>67.649904178362377</v>
      </c>
      <c r="Q68" s="20">
        <f t="shared" si="54"/>
        <v>611.12210311064734</v>
      </c>
      <c r="R68" s="59">
        <f t="shared" si="55"/>
        <v>904.45543644398072</v>
      </c>
      <c r="S68" s="59">
        <f ca="1">AVERAGE(OFFSET($R$3,0,0,'Données projet'!$E$9+1,1))-AVERAGE(OFFSET($H$3,0,0,'Données projet'!$E$9+1,1))</f>
        <v>405.40026823646758</v>
      </c>
      <c r="T68" s="59">
        <f t="shared" si="34"/>
        <v>393.0787141050053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16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8.6572055523286711</v>
      </c>
      <c r="AA68" s="21">
        <f>EXP(-LN(2)/25)*AA67+(1-EXP(-LN(2)/25))/(LN(2)/25)*Calculateur!V68*Calculateur!X68*VLOOKUP('Données projet'!$B$9,Paramètres!$A$1:$I$89,3,0)*0.475*44/12</f>
        <v>7.8362095056179282</v>
      </c>
      <c r="AB68" s="21">
        <f>EXP(-LN(2)/2)*AB67+(1-EXP(-LN(2)/2))/(LN(2)/2)*V68*Y68*VLOOKUP('Données projet'!$B$9,Paramètres!$A$1:$I$89,3,0)*0.475*44/12</f>
        <v>6.3818938924758761E-5</v>
      </c>
      <c r="AC68" s="22">
        <f t="shared" ref="AC68:AC131" si="57">SUM(Z68:AB68)</f>
        <v>16.493478876885526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5.6843418860808015E-14</v>
      </c>
      <c r="AJ68" s="13">
        <f>AI68*VLOOKUP('Données projet'!$B$10,Paramètres!$A$1:$I$89,3,0)*VLOOKUP('Données projet'!$B$10,Paramètres!$A$1:$I$89,5,0)</f>
        <v>4.9658410716801891E-14</v>
      </c>
      <c r="AK68" s="13">
        <f t="shared" si="35"/>
        <v>8.0934058173791862E-13</v>
      </c>
      <c r="AL68" s="20">
        <f t="shared" ref="AL68:AL131" si="58">(AJ68+AK68)*0.475*44/12</f>
        <v>1.4960899118586383E-12</v>
      </c>
      <c r="AM68" s="59">
        <f t="shared" ref="AM68:AM131" si="59">AL68+(AD68+AE68)*44/12</f>
        <v>293.33333333333479</v>
      </c>
      <c r="AN68" s="59">
        <f ca="1">AVERAGE(OFFSET($AM$3,0,0,'Données projet'!$E$10+1,1))-AVERAGE(OFFSET($H$3,0,0,'Données projet'!$E$10+1,1))</f>
        <v>304.32767345253382</v>
      </c>
      <c r="AO68" s="59">
        <f t="shared" si="36"/>
        <v>427.16091343339173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3.9474187997754089</v>
      </c>
      <c r="AV68" s="21">
        <f>EXP(-LN(2)/25)*AV67+(1-EXP(-LN(2)/25))/(LN(2)/25)*Calculateur!AQ68*Calculateur!AS68*VLOOKUP('Données projet'!$B$10,Paramètres!$A$1:$I$89,3,0)*0.475*44/12</f>
        <v>6.8654672892584561</v>
      </c>
      <c r="AW68" s="21">
        <f>EXP(-LN(2)/2)*AW67+(1-EXP(-LN(2)/2))/(LN(2)/2)*AQ68*AT68*VLOOKUP('Données projet'!$B$10,Paramètres!$A$1:$I$89,3,0)*0.475*44/12</f>
        <v>6.0816449566676307E-5</v>
      </c>
      <c r="AX68" s="21">
        <f t="shared" ref="AX68:AX131" si="60">SUM(AU68:AW68)</f>
        <v>10.812946905483432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181</v>
      </c>
      <c r="BB68" s="12">
        <f>VLOOKUP(A68,'Données projet'!$A$87:$I$107,9,0)</f>
        <v>4</v>
      </c>
      <c r="BC68" s="12">
        <f t="array" ref="BC68">INDEX(BB:BB,MIN(IF(ISNUMBER(BB68:BB264),ROW(BB68:BB264),"")))</f>
        <v>4</v>
      </c>
      <c r="BD68" s="12">
        <f>IF('Données projet'!$A$88&gt;35,BD67+BC68-BL67,IF(A68&lt;'Données projet'!$A$88,$BA$205^A68,IF(A68='Données projet'!$A$88,'Données projet'!$B$88,BD67+BC68-BL67)))</f>
        <v>181</v>
      </c>
      <c r="BE68" s="13">
        <f>BD68*VLOOKUP('Données projet'!$B$11,Paramètres!$A$1:$I$89,3,0)*VLOOKUP('Données projet'!$B$11,Paramètres!$A$1:$I$89,5,0)</f>
        <v>158.12160000000003</v>
      </c>
      <c r="BF68" s="13">
        <f t="shared" si="37"/>
        <v>40.418546284954211</v>
      </c>
      <c r="BG68" s="20">
        <f t="shared" ref="BG68:BG131" si="61">(BE68+BF68)*0.475*44/12</f>
        <v>345.79075477962857</v>
      </c>
      <c r="BH68" s="59">
        <f t="shared" ref="BH68:BH131" si="62">BG68+(AY68+AZ68)*44/12</f>
        <v>639.12408811296189</v>
      </c>
      <c r="BI68" s="59">
        <f ca="1">AVERAGE(OFFSET($BH$3,0,0,'Données projet'!$E$11+1,1))-AVERAGE(OFFSET($H$3,0,0,'Données projet'!$E$11+1,1))</f>
        <v>268.31928207836495</v>
      </c>
      <c r="BJ68" s="59">
        <f t="shared" si="38"/>
        <v>277.61304526670204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1.0288012197521186</v>
      </c>
      <c r="BQ68" s="21">
        <f>EXP(-LN(2)/25)*BQ67+(1-EXP(-LN(2)/25))/(LN(2)/25)*Calculateur!BL68*Calculateur!BN68*VLOOKUP('Données projet'!$B$11,Paramètres!$A$1:$I$89,3,0)*0.475*44/12</f>
        <v>2.134015485807998</v>
      </c>
      <c r="BR68" s="21">
        <f>EXP(-LN(2)/2)*BR67+(1-EXP(-LN(2)/2))/(LN(2)/2)*BL68*BO68*VLOOKUP('Données projet'!$B$11,Paramètres!$A$1:$I$89,3,0)*0.475*44/12</f>
        <v>4.4040995428017444E-5</v>
      </c>
      <c r="BS68" s="22">
        <f t="shared" ref="BS68:BS131" si="63">SUM(BP68:BR68)</f>
        <v>3.1628607465555443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202</v>
      </c>
      <c r="BW68" s="12">
        <f>VLOOKUP(A68,'Données projet'!$A$113:$I$133,9,0)</f>
        <v>3.4</v>
      </c>
      <c r="BX68" s="12">
        <f t="array" ref="BX68">INDEX(BW:BW,MIN(IF(ISNUMBER(BW68:BW264),ROW(BW68:BW264),"")))</f>
        <v>3.4</v>
      </c>
      <c r="BY68" s="12">
        <f>IF('Données projet'!$A$114&gt;35,BY67+BX68-CG67,IF(A68&lt;'Données projet'!$A$114,$BV$205^A68,IF(A68='Données projet'!$A$114,'Données projet'!$B$114,BY67+BX68-CG67)))</f>
        <v>202.00000000000003</v>
      </c>
      <c r="BZ68" s="13">
        <f>BY68*VLOOKUP('Données projet'!$B$12,Paramètres!$A$1:$I$89,3,0)*VLOOKUP('Données projet'!$B$12,Paramètres!$A$1:$I$89,5,0)</f>
        <v>160.71120000000002</v>
      </c>
      <c r="CA68" s="13">
        <f t="shared" si="39"/>
        <v>41.002887121655327</v>
      </c>
      <c r="CB68" s="20">
        <f t="shared" ref="CB68:CB131" si="64">(BZ68+CA68)*0.475*44/12</f>
        <v>351.31870173688304</v>
      </c>
      <c r="CC68" s="59">
        <f t="shared" ref="CC68:CC131" si="65">CB68+(BT68+BU68)*44/12</f>
        <v>644.65203507021636</v>
      </c>
      <c r="CD68" s="59">
        <f ca="1">AVERAGE(OFFSET($CC$3,0,0,'Données projet'!$E$12+1,1))-AVERAGE(OFFSET($H$3,0,0,'Données projet'!$E$12+1,1))</f>
        <v>241.67556898455945</v>
      </c>
      <c r="CE68" s="59">
        <f t="shared" si="40"/>
        <v>237.71070965292648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8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3.1579798722590184</v>
      </c>
      <c r="CL68" s="21">
        <f>EXP(-LN(2)/25)*CL67+(1-EXP(-LN(2)/25))/(LN(2)/25)*Calculateur!CG68*Calculateur!CI68*VLOOKUP('Données projet'!$B$12,Paramètres!$A$1:$I$89,3,0)*0.475*44/12</f>
        <v>2.6811919691963406</v>
      </c>
      <c r="CM68" s="21">
        <f>EXP(-LN(2)/2)*CM67+(1-EXP(-LN(2)/2))/(LN(2)/2)*CG68*CJ68*VLOOKUP('Données projet'!$B$12,Paramètres!$A$1:$I$89,3,0)*0.475*44/12</f>
        <v>3.6128033351163225E-5</v>
      </c>
      <c r="CN68" s="22">
        <f t="shared" ref="CN68:CN131" si="66">SUM(CK68:CM68)</f>
        <v>5.8392079694887098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345.1999999999997</v>
      </c>
      <c r="O69" s="13">
        <f>N69*VLOOKUP('Données projet'!$B$9,Paramètres!$A$1:$I$89,3,0)*VLOOKUP('Données projet'!$B$9,Paramètres!$A$1:$I$89,5,0)</f>
        <v>274.64111999999977</v>
      </c>
      <c r="P69" s="13">
        <f t="shared" ref="P69:P132" si="87">EXP(-1.0587+0.8836*LN(O69)+0.284)</f>
        <v>65.833252956609641</v>
      </c>
      <c r="Q69" s="20">
        <f t="shared" si="54"/>
        <v>592.99286623276123</v>
      </c>
      <c r="R69" s="59">
        <f t="shared" si="55"/>
        <v>886.3261995660946</v>
      </c>
      <c r="S69" s="59">
        <f ca="1">AVERAGE(OFFSET($R$3,0,0,'Données projet'!$E$9+1,1))-AVERAGE(OFFSET($H$3,0,0,'Données projet'!$E$9+1,1))</f>
        <v>405.40026823646758</v>
      </c>
      <c r="T69" s="59">
        <f t="shared" ref="T69:T132" si="88">$T$3</f>
        <v>393.0787141050053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8.4874430318214991</v>
      </c>
      <c r="AA69" s="21">
        <f>EXP(-LN(2)/25)*AA68+(1-EXP(-LN(2)/25))/(LN(2)/25)*Calculateur!V69*Calculateur!X69*VLOOKUP('Données projet'!$B$9,Paramètres!$A$1:$I$89,3,0)*0.475*44/12</f>
        <v>7.6219279445984576</v>
      </c>
      <c r="AB69" s="21">
        <f>EXP(-LN(2)/2)*AB68+(1-EXP(-LN(2)/2))/(LN(2)/2)*V69*Y69*VLOOKUP('Données projet'!$B$9,Paramètres!$A$1:$I$89,3,0)*0.475*44/12</f>
        <v>4.5126804481827035E-5</v>
      </c>
      <c r="AC69" s="22">
        <f t="shared" si="57"/>
        <v>16.10941610322444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5.6843418860808015E-14</v>
      </c>
      <c r="AJ69" s="13">
        <f>AI69*VLOOKUP('Données projet'!$B$10,Paramètres!$A$1:$I$89,3,0)*VLOOKUP('Données projet'!$B$10,Paramètres!$A$1:$I$89,5,0)</f>
        <v>4.9658410716801891E-14</v>
      </c>
      <c r="AK69" s="13">
        <f t="shared" ref="AK69:AK132" si="89">EXP(-1.0587+0.8836*LN(AJ69)+0.284)</f>
        <v>8.0934058173791862E-13</v>
      </c>
      <c r="AL69" s="20">
        <f t="shared" si="58"/>
        <v>1.4960899118586383E-12</v>
      </c>
      <c r="AM69" s="59">
        <f t="shared" si="59"/>
        <v>293.33333333333479</v>
      </c>
      <c r="AN69" s="59">
        <f ca="1">AVERAGE(OFFSET($AM$3,0,0,'Données projet'!$E$10+1,1))-AVERAGE(OFFSET($H$3,0,0,'Données projet'!$E$10+1,1))</f>
        <v>304.32767345253382</v>
      </c>
      <c r="AO69" s="59">
        <f t="shared" ref="AO69:AO132" si="90">$AO$3</f>
        <v>427.16091343339173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3.8700123247995415</v>
      </c>
      <c r="AV69" s="21">
        <f>EXP(-LN(2)/25)*AV68+(1-EXP(-LN(2)/25))/(LN(2)/25)*Calculateur!AQ69*Calculateur!AS69*VLOOKUP('Données projet'!$B$10,Paramètres!$A$1:$I$89,3,0)*0.475*44/12</f>
        <v>6.6777307251944498</v>
      </c>
      <c r="AW69" s="21">
        <f>EXP(-LN(2)/2)*AW68+(1-EXP(-LN(2)/2))/(LN(2)/2)*AQ69*AT69*VLOOKUP('Données projet'!$B$10,Paramètres!$A$1:$I$89,3,0)*0.475*44/12</f>
        <v>4.3003723896286489E-5</v>
      </c>
      <c r="AX69" s="21">
        <f t="shared" si="60"/>
        <v>10.547786053717887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3.4</v>
      </c>
      <c r="BD69" s="12">
        <f>IF('Données projet'!$A$88&gt;35,BD68+BC69-BL68,IF(A69&lt;'Données projet'!$A$88,$BA$205^A69,IF(A69='Données projet'!$A$88,'Données projet'!$B$88,BD68+BC69-BL68)))</f>
        <v>170.4</v>
      </c>
      <c r="BE69" s="13">
        <f>BD69*VLOOKUP('Données projet'!$B$11,Paramètres!$A$1:$I$89,3,0)*VLOOKUP('Données projet'!$B$11,Paramètres!$A$1:$I$89,5,0)</f>
        <v>148.86144000000002</v>
      </c>
      <c r="BF69" s="13">
        <f t="shared" ref="BF69:BF132" si="91">EXP(-1.0587+0.8836*LN(BE69)+0.284)</f>
        <v>38.319729148991918</v>
      </c>
      <c r="BG69" s="20">
        <f t="shared" si="61"/>
        <v>326.00720293449427</v>
      </c>
      <c r="BH69" s="59">
        <f t="shared" si="62"/>
        <v>619.34053626782759</v>
      </c>
      <c r="BI69" s="59">
        <f ca="1">AVERAGE(OFFSET($BH$3,0,0,'Données projet'!$E$11+1,1))-AVERAGE(OFFSET($H$3,0,0,'Données projet'!$E$11+1,1))</f>
        <v>268.31928207836495</v>
      </c>
      <c r="BJ69" s="59">
        <f t="shared" ref="BJ69:BJ132" si="92">$BJ$3</f>
        <v>277.61304526670204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1.0086270553395624</v>
      </c>
      <c r="BQ69" s="21">
        <f>EXP(-LN(2)/25)*BQ68+(1-EXP(-LN(2)/25))/(LN(2)/25)*Calculateur!BL69*Calculateur!BN69*VLOOKUP('Données projet'!$B$11,Paramètres!$A$1:$I$89,3,0)*0.475*44/12</f>
        <v>2.0756607201255814</v>
      </c>
      <c r="BR69" s="21">
        <f>EXP(-LN(2)/2)*BR68+(1-EXP(-LN(2)/2))/(LN(2)/2)*BL69*BO69*VLOOKUP('Données projet'!$B$11,Paramètres!$A$1:$I$89,3,0)*0.475*44/12</f>
        <v>3.1141686517356871E-5</v>
      </c>
      <c r="BS69" s="22">
        <f t="shared" si="63"/>
        <v>3.0843189171516614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</v>
      </c>
      <c r="BY69" s="12">
        <f>IF('Données projet'!$A$114&gt;35,BY68+BX69-CG68,IF(A69&lt;'Données projet'!$A$114,$BV$205^A69,IF(A69='Données projet'!$A$114,'Données projet'!$B$114,BY68+BX69-CG68)))</f>
        <v>197.00000000000003</v>
      </c>
      <c r="BZ69" s="13">
        <f>BY69*VLOOKUP('Données projet'!$B$12,Paramètres!$A$1:$I$89,3,0)*VLOOKUP('Données projet'!$B$12,Paramètres!$A$1:$I$89,5,0)</f>
        <v>156.73320000000004</v>
      </c>
      <c r="CA69" s="13">
        <f t="shared" ref="CA69:CA132" si="93">EXP(-1.0587+0.8836*LN(BZ69)+0.284)</f>
        <v>40.104797241533682</v>
      </c>
      <c r="CB69" s="20">
        <f t="shared" si="64"/>
        <v>342.82617852900449</v>
      </c>
      <c r="CC69" s="59">
        <f t="shared" si="65"/>
        <v>636.15951186233781</v>
      </c>
      <c r="CD69" s="59">
        <f ca="1">AVERAGE(OFFSET($CC$3,0,0,'Données projet'!$E$12+1,1))-AVERAGE(OFFSET($H$3,0,0,'Données projet'!$E$12+1,1))</f>
        <v>241.67556898455945</v>
      </c>
      <c r="CE69" s="59">
        <f t="shared" ref="CE69:CE132" si="94">$CE$3</f>
        <v>237.71070965292648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3.0960538131415469</v>
      </c>
      <c r="CL69" s="21">
        <f>EXP(-LN(2)/25)*CL68+(1-EXP(-LN(2)/25))/(LN(2)/25)*Calculateur!CG69*Calculateur!CI69*VLOOKUP('Données projet'!$B$12,Paramètres!$A$1:$I$89,3,0)*0.475*44/12</f>
        <v>2.6078746338009089</v>
      </c>
      <c r="CM69" s="21">
        <f>EXP(-LN(2)/2)*CM68+(1-EXP(-LN(2)/2))/(LN(2)/2)*CG69*CJ69*VLOOKUP('Données projet'!$B$12,Paramètres!$A$1:$I$89,3,0)*0.475*44/12</f>
        <v>2.5546377373541266E-5</v>
      </c>
      <c r="CN69" s="22">
        <f t="shared" si="66"/>
        <v>5.7039539933198293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350.39999999999969</v>
      </c>
      <c r="O70" s="13">
        <f>N70*VLOOKUP('Données projet'!$B$9,Paramètres!$A$1:$I$89,3,0)*VLOOKUP('Données projet'!$B$9,Paramètres!$A$1:$I$89,5,0)</f>
        <v>278.77823999999976</v>
      </c>
      <c r="P70" s="13">
        <f t="shared" si="87"/>
        <v>66.70875019643654</v>
      </c>
      <c r="Q70" s="20">
        <f t="shared" si="54"/>
        <v>601.7231745921265</v>
      </c>
      <c r="R70" s="59">
        <f t="shared" si="55"/>
        <v>895.05650792545975</v>
      </c>
      <c r="S70" s="59">
        <f ca="1">AVERAGE(OFFSET($R$3,0,0,'Données projet'!$E$9+1,1))-AVERAGE(OFFSET($H$3,0,0,'Données projet'!$E$9+1,1))</f>
        <v>405.40026823646758</v>
      </c>
      <c r="T70" s="59">
        <f t="shared" si="88"/>
        <v>393.0787141050053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8.3210094507965593</v>
      </c>
      <c r="AA70" s="21">
        <f>EXP(-LN(2)/25)*AA69+(1-EXP(-LN(2)/25))/(LN(2)/25)*Calculateur!V70*Calculateur!X70*VLOOKUP('Données projet'!$B$9,Paramètres!$A$1:$I$89,3,0)*0.475*44/12</f>
        <v>7.4135059241336423</v>
      </c>
      <c r="AB70" s="21">
        <f>EXP(-LN(2)/2)*AB69+(1-EXP(-LN(2)/2))/(LN(2)/2)*V70*Y70*VLOOKUP('Données projet'!$B$9,Paramètres!$A$1:$I$89,3,0)*0.475*44/12</f>
        <v>3.1909469462379381E-5</v>
      </c>
      <c r="AC70" s="22">
        <f t="shared" si="57"/>
        <v>15.734547284399664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5.6843418860808015E-14</v>
      </c>
      <c r="AJ70" s="13">
        <f>AI70*VLOOKUP('Données projet'!$B$10,Paramètres!$A$1:$I$89,3,0)*VLOOKUP('Données projet'!$B$10,Paramètres!$A$1:$I$89,5,0)</f>
        <v>4.9658410716801891E-14</v>
      </c>
      <c r="AK70" s="13">
        <f t="shared" si="89"/>
        <v>8.0934058173791862E-13</v>
      </c>
      <c r="AL70" s="20">
        <f t="shared" si="58"/>
        <v>1.4960899118586383E-12</v>
      </c>
      <c r="AM70" s="59">
        <f t="shared" si="59"/>
        <v>293.33333333333479</v>
      </c>
      <c r="AN70" s="59">
        <f ca="1">AVERAGE(OFFSET($AM$3,0,0,'Données projet'!$E$10+1,1))-AVERAGE(OFFSET($H$3,0,0,'Données projet'!$E$10+1,1))</f>
        <v>304.32767345253382</v>
      </c>
      <c r="AO70" s="59">
        <f t="shared" si="90"/>
        <v>427.16091343339173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3.7941237435846631</v>
      </c>
      <c r="AV70" s="21">
        <f>EXP(-LN(2)/25)*AV69+(1-EXP(-LN(2)/25))/(LN(2)/25)*Calculateur!AQ70*Calculateur!AS70*VLOOKUP('Données projet'!$B$10,Paramètres!$A$1:$I$89,3,0)*0.475*44/12</f>
        <v>6.4951278273474111</v>
      </c>
      <c r="AW70" s="21">
        <f>EXP(-LN(2)/2)*AW69+(1-EXP(-LN(2)/2))/(LN(2)/2)*AQ70*AT70*VLOOKUP('Données projet'!$B$10,Paramètres!$A$1:$I$89,3,0)*0.475*44/12</f>
        <v>3.0408224783338157E-5</v>
      </c>
      <c r="AX70" s="21">
        <f t="shared" si="60"/>
        <v>10.289281979156856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3.4</v>
      </c>
      <c r="BD70" s="12">
        <f>IF('Données projet'!$A$88&gt;35,BD69+BC70-BL69,IF(A70&lt;'Données projet'!$A$88,$BA$205^A70,IF(A70='Données projet'!$A$88,'Données projet'!$B$88,BD69+BC70-BL69)))</f>
        <v>173.8</v>
      </c>
      <c r="BE70" s="13">
        <f>BD70*VLOOKUP('Données projet'!$B$11,Paramètres!$A$1:$I$89,3,0)*VLOOKUP('Données projet'!$B$11,Paramètres!$A$1:$I$89,5,0)</f>
        <v>151.83168000000003</v>
      </c>
      <c r="BF70" s="13">
        <f t="shared" si="91"/>
        <v>38.99454697963769</v>
      </c>
      <c r="BG70" s="20">
        <f t="shared" si="61"/>
        <v>332.35567865620237</v>
      </c>
      <c r="BH70" s="59">
        <f t="shared" si="62"/>
        <v>625.68901198953563</v>
      </c>
      <c r="BI70" s="59">
        <f ca="1">AVERAGE(OFFSET($BH$3,0,0,'Données projet'!$E$11+1,1))-AVERAGE(OFFSET($H$3,0,0,'Données projet'!$E$11+1,1))</f>
        <v>268.31928207836495</v>
      </c>
      <c r="BJ70" s="59">
        <f t="shared" si="92"/>
        <v>277.61304526670204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0.98884849398611119</v>
      </c>
      <c r="BQ70" s="21">
        <f>EXP(-LN(2)/25)*BQ69+(1-EXP(-LN(2)/25))/(LN(2)/25)*Calculateur!BL70*Calculateur!BN70*VLOOKUP('Données projet'!$B$11,Paramètres!$A$1:$I$89,3,0)*0.475*44/12</f>
        <v>2.018901668579494</v>
      </c>
      <c r="BR70" s="21">
        <f>EXP(-LN(2)/2)*BR69+(1-EXP(-LN(2)/2))/(LN(2)/2)*BL70*BO70*VLOOKUP('Données projet'!$B$11,Paramètres!$A$1:$I$89,3,0)*0.475*44/12</f>
        <v>2.2020497714008722E-5</v>
      </c>
      <c r="BS70" s="22">
        <f t="shared" si="63"/>
        <v>3.0077721830633193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</v>
      </c>
      <c r="BY70" s="12">
        <f>IF('Données projet'!$A$114&gt;35,BY69+BX70-CG69,IF(A70&lt;'Données projet'!$A$114,$BV$205^A70,IF(A70='Données projet'!$A$114,'Données projet'!$B$114,BY69+BX70-CG69)))</f>
        <v>200.00000000000003</v>
      </c>
      <c r="BZ70" s="13">
        <f>BY70*VLOOKUP('Données projet'!$B$12,Paramètres!$A$1:$I$89,3,0)*VLOOKUP('Données projet'!$B$12,Paramètres!$A$1:$I$89,5,0)</f>
        <v>159.12000000000003</v>
      </c>
      <c r="CA70" s="13">
        <f t="shared" si="93"/>
        <v>40.643965284387697</v>
      </c>
      <c r="CB70" s="20">
        <f t="shared" si="64"/>
        <v>347.92223953697527</v>
      </c>
      <c r="CC70" s="59">
        <f t="shared" si="65"/>
        <v>641.25557287030858</v>
      </c>
      <c r="CD70" s="59">
        <f ca="1">AVERAGE(OFFSET($CC$3,0,0,'Données projet'!$E$12+1,1))-AVERAGE(OFFSET($H$3,0,0,'Données projet'!$E$12+1,1))</f>
        <v>241.67556898455945</v>
      </c>
      <c r="CE70" s="59">
        <f t="shared" si="94"/>
        <v>237.71070965292648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3.0353420862722027</v>
      </c>
      <c r="CL70" s="21">
        <f>EXP(-LN(2)/25)*CL69+(1-EXP(-LN(2)/25))/(LN(2)/25)*Calculateur!CG70*Calculateur!CI70*VLOOKUP('Données projet'!$B$12,Paramètres!$A$1:$I$89,3,0)*0.475*44/12</f>
        <v>2.5365621647974566</v>
      </c>
      <c r="CM70" s="21">
        <f>EXP(-LN(2)/2)*CM69+(1-EXP(-LN(2)/2))/(LN(2)/2)*CG70*CJ70*VLOOKUP('Données projet'!$B$12,Paramètres!$A$1:$I$89,3,0)*0.475*44/12</f>
        <v>1.8064016675581612E-5</v>
      </c>
      <c r="CN70" s="22">
        <f t="shared" si="66"/>
        <v>5.5719223150863346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355.59999999999968</v>
      </c>
      <c r="O71" s="13">
        <f>N71*VLOOKUP('Données projet'!$B$9,Paramètres!$A$1:$I$89,3,0)*VLOOKUP('Données projet'!$B$9,Paramètres!$A$1:$I$89,5,0)</f>
        <v>282.91535999999979</v>
      </c>
      <c r="P71" s="13">
        <f t="shared" si="87"/>
        <v>67.582736351531807</v>
      </c>
      <c r="Q71" s="20">
        <f t="shared" si="54"/>
        <v>610.45085114558412</v>
      </c>
      <c r="R71" s="59">
        <f t="shared" si="55"/>
        <v>903.7841844789175</v>
      </c>
      <c r="S71" s="59">
        <f ca="1">AVERAGE(OFFSET($R$3,0,0,'Données projet'!$E$9+1,1))-AVERAGE(OFFSET($H$3,0,0,'Données projet'!$E$9+1,1))</f>
        <v>405.40026823646758</v>
      </c>
      <c r="T71" s="59">
        <f t="shared" si="88"/>
        <v>393.0787141050053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8.1578395307810574</v>
      </c>
      <c r="AA71" s="21">
        <f>EXP(-LN(2)/25)*AA70+(1-EXP(-LN(2)/25))/(LN(2)/25)*Calculateur!V71*Calculateur!X71*VLOOKUP('Données projet'!$B$9,Paramètres!$A$1:$I$89,3,0)*0.475*44/12</f>
        <v>7.2107832147788749</v>
      </c>
      <c r="AB71" s="21">
        <f>EXP(-LN(2)/2)*AB70+(1-EXP(-LN(2)/2))/(LN(2)/2)*V71*Y71*VLOOKUP('Données projet'!$B$9,Paramètres!$A$1:$I$89,3,0)*0.475*44/12</f>
        <v>2.2563402240913518E-5</v>
      </c>
      <c r="AC71" s="22">
        <f t="shared" si="57"/>
        <v>15.368645308962174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5.6843418860808015E-14</v>
      </c>
      <c r="AJ71" s="13">
        <f>AI71*VLOOKUP('Données projet'!$B$10,Paramètres!$A$1:$I$89,3,0)*VLOOKUP('Données projet'!$B$10,Paramètres!$A$1:$I$89,5,0)</f>
        <v>4.9658410716801891E-14</v>
      </c>
      <c r="AK71" s="13">
        <f t="shared" si="89"/>
        <v>8.0934058173791862E-13</v>
      </c>
      <c r="AL71" s="20">
        <f t="shared" si="58"/>
        <v>1.4960899118586383E-12</v>
      </c>
      <c r="AM71" s="59">
        <f t="shared" si="59"/>
        <v>293.33333333333479</v>
      </c>
      <c r="AN71" s="59">
        <f ca="1">AVERAGE(OFFSET($AM$3,0,0,'Données projet'!$E$10+1,1))-AVERAGE(OFFSET($H$3,0,0,'Données projet'!$E$10+1,1))</f>
        <v>304.32767345253382</v>
      </c>
      <c r="AO71" s="59">
        <f t="shared" si="90"/>
        <v>427.16091343339173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3.7197232911599443</v>
      </c>
      <c r="AV71" s="21">
        <f>EXP(-LN(2)/25)*AV70+(1-EXP(-LN(2)/25))/(LN(2)/25)*Calculateur!AQ71*Calculateur!AS71*VLOOKUP('Données projet'!$B$10,Paramètres!$A$1:$I$89,3,0)*0.475*44/12</f>
        <v>6.317518215344669</v>
      </c>
      <c r="AW71" s="21">
        <f>EXP(-LN(2)/2)*AW70+(1-EXP(-LN(2)/2))/(LN(2)/2)*AQ71*AT71*VLOOKUP('Données projet'!$B$10,Paramètres!$A$1:$I$89,3,0)*0.475*44/12</f>
        <v>2.1501861948143248E-5</v>
      </c>
      <c r="AX71" s="21">
        <f t="shared" si="60"/>
        <v>10.037263008366562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3.4</v>
      </c>
      <c r="BD71" s="12">
        <f>IF('Données projet'!$A$88&gt;35,BD70+BC71-BL70,IF(A71&lt;'Données projet'!$A$88,$BA$205^A71,IF(A71='Données projet'!$A$88,'Données projet'!$B$88,BD70+BC71-BL70)))</f>
        <v>177.20000000000002</v>
      </c>
      <c r="BE71" s="13">
        <f>BD71*VLOOKUP('Données projet'!$B$11,Paramètres!$A$1:$I$89,3,0)*VLOOKUP('Données projet'!$B$11,Paramètres!$A$1:$I$89,5,0)</f>
        <v>154.80192000000002</v>
      </c>
      <c r="BF71" s="13">
        <f t="shared" si="91"/>
        <v>39.667829827227955</v>
      </c>
      <c r="BG71" s="20">
        <f t="shared" si="61"/>
        <v>338.70148094908876</v>
      </c>
      <c r="BH71" s="59">
        <f t="shared" si="62"/>
        <v>632.03481428242208</v>
      </c>
      <c r="BI71" s="59">
        <f ca="1">AVERAGE(OFFSET($BH$3,0,0,'Données projet'!$E$11+1,1))-AVERAGE(OFFSET($H$3,0,0,'Données projet'!$E$11+1,1))</f>
        <v>268.31928207836495</v>
      </c>
      <c r="BJ71" s="59">
        <f t="shared" si="92"/>
        <v>277.61304526670204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0.9694577781570699</v>
      </c>
      <c r="BQ71" s="21">
        <f>EXP(-LN(2)/25)*BQ70+(1-EXP(-LN(2)/25))/(LN(2)/25)*Calculateur!BL71*Calculateur!BN71*VLOOKUP('Données projet'!$B$11,Paramètres!$A$1:$I$89,3,0)*0.475*44/12</f>
        <v>1.9636946962827633</v>
      </c>
      <c r="BR71" s="21">
        <f>EXP(-LN(2)/2)*BR70+(1-EXP(-LN(2)/2))/(LN(2)/2)*BL71*BO71*VLOOKUP('Données projet'!$B$11,Paramètres!$A$1:$I$89,3,0)*0.475*44/12</f>
        <v>1.5570843258678435E-5</v>
      </c>
      <c r="BS71" s="22">
        <f t="shared" si="63"/>
        <v>2.9331680452830917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</v>
      </c>
      <c r="BY71" s="12">
        <f>IF('Données projet'!$A$114&gt;35,BY70+BX71-CG70,IF(A71&lt;'Données projet'!$A$114,$BV$205^A71,IF(A71='Données projet'!$A$114,'Données projet'!$B$114,BY70+BX71-CG70)))</f>
        <v>203.00000000000003</v>
      </c>
      <c r="BZ71" s="13">
        <f>BY71*VLOOKUP('Données projet'!$B$12,Paramètres!$A$1:$I$89,3,0)*VLOOKUP('Données projet'!$B$12,Paramètres!$A$1:$I$89,5,0)</f>
        <v>161.50680000000003</v>
      </c>
      <c r="CA71" s="13">
        <f t="shared" si="93"/>
        <v>41.182192723897103</v>
      </c>
      <c r="CB71" s="20">
        <f t="shared" si="64"/>
        <v>353.01666232745418</v>
      </c>
      <c r="CC71" s="59">
        <f t="shared" si="65"/>
        <v>646.3499956607875</v>
      </c>
      <c r="CD71" s="59">
        <f ca="1">AVERAGE(OFFSET($CC$3,0,0,'Données projet'!$E$12+1,1))-AVERAGE(OFFSET($H$3,0,0,'Données projet'!$E$12+1,1))</f>
        <v>241.67556898455945</v>
      </c>
      <c r="CE71" s="59">
        <f t="shared" si="94"/>
        <v>237.71070965292648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2.9758208793362693</v>
      </c>
      <c r="CL71" s="21">
        <f>EXP(-LN(2)/25)*CL70+(1-EXP(-LN(2)/25))/(LN(2)/25)*Calculateur!CG71*Calculateur!CI71*VLOOKUP('Données projet'!$B$12,Paramètres!$A$1:$I$89,3,0)*0.475*44/12</f>
        <v>2.4671997390090632</v>
      </c>
      <c r="CM71" s="21">
        <f>EXP(-LN(2)/2)*CM70+(1-EXP(-LN(2)/2))/(LN(2)/2)*CG71*CJ71*VLOOKUP('Données projet'!$B$12,Paramètres!$A$1:$I$89,3,0)*0.475*44/12</f>
        <v>1.2773188686770633E-5</v>
      </c>
      <c r="CN71" s="22">
        <f t="shared" si="66"/>
        <v>5.4430333915340201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360.79999999999967</v>
      </c>
      <c r="O72" s="13">
        <f>N72*VLOOKUP('Données projet'!$B$9,Paramètres!$A$1:$I$89,3,0)*VLOOKUP('Données projet'!$B$9,Paramètres!$A$1:$I$89,5,0)</f>
        <v>287.05247999999978</v>
      </c>
      <c r="P72" s="13">
        <f t="shared" si="87"/>
        <v>68.455236071606535</v>
      </c>
      <c r="Q72" s="20">
        <f t="shared" si="54"/>
        <v>619.17593882471431</v>
      </c>
      <c r="R72" s="59">
        <f t="shared" si="55"/>
        <v>912.50927215804768</v>
      </c>
      <c r="S72" s="59">
        <f ca="1">AVERAGE(OFFSET($R$3,0,0,'Données projet'!$E$9+1,1))-AVERAGE(OFFSET($H$3,0,0,'Données projet'!$E$9+1,1))</f>
        <v>405.40026823646758</v>
      </c>
      <c r="T72" s="59">
        <f t="shared" si="88"/>
        <v>393.0787141050053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7.9978692733732357</v>
      </c>
      <c r="AA72" s="21">
        <f>EXP(-LN(2)/25)*AA71+(1-EXP(-LN(2)/25))/(LN(2)/25)*Calculateur!V72*Calculateur!X72*VLOOKUP('Données projet'!$B$9,Paramètres!$A$1:$I$89,3,0)*0.475*44/12</f>
        <v>7.0136039685721379</v>
      </c>
      <c r="AB72" s="21">
        <f>EXP(-LN(2)/2)*AB71+(1-EXP(-LN(2)/2))/(LN(2)/2)*V72*Y72*VLOOKUP('Données projet'!$B$9,Paramètres!$A$1:$I$89,3,0)*0.475*44/12</f>
        <v>1.595473473118969E-5</v>
      </c>
      <c r="AC72" s="22">
        <f t="shared" si="57"/>
        <v>15.011489196680106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5.6843418860808015E-14</v>
      </c>
      <c r="AJ72" s="13">
        <f>AI72*VLOOKUP('Données projet'!$B$10,Paramètres!$A$1:$I$89,3,0)*VLOOKUP('Données projet'!$B$10,Paramètres!$A$1:$I$89,5,0)</f>
        <v>4.9658410716801891E-14</v>
      </c>
      <c r="AK72" s="13">
        <f t="shared" si="89"/>
        <v>8.0934058173791862E-13</v>
      </c>
      <c r="AL72" s="20">
        <f t="shared" si="58"/>
        <v>1.4960899118586383E-12</v>
      </c>
      <c r="AM72" s="59">
        <f t="shared" si="59"/>
        <v>293.33333333333479</v>
      </c>
      <c r="AN72" s="59">
        <f ca="1">AVERAGE(OFFSET($AM$3,0,0,'Données projet'!$E$10+1,1))-AVERAGE(OFFSET($H$3,0,0,'Données projet'!$E$10+1,1))</f>
        <v>304.32767345253382</v>
      </c>
      <c r="AO72" s="59">
        <f t="shared" si="90"/>
        <v>427.16091343339173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3.6467817862274794</v>
      </c>
      <c r="AV72" s="21">
        <f>EXP(-LN(2)/25)*AV71+(1-EXP(-LN(2)/25))/(LN(2)/25)*Calculateur!AQ72*Calculateur!AS72*VLOOKUP('Données projet'!$B$10,Paramètres!$A$1:$I$89,3,0)*0.475*44/12</f>
        <v>6.1447653475222248</v>
      </c>
      <c r="AW72" s="21">
        <f>EXP(-LN(2)/2)*AW71+(1-EXP(-LN(2)/2))/(LN(2)/2)*AQ72*AT72*VLOOKUP('Données projet'!$B$10,Paramètres!$A$1:$I$89,3,0)*0.475*44/12</f>
        <v>1.5204112391669082E-5</v>
      </c>
      <c r="AX72" s="21">
        <f t="shared" si="60"/>
        <v>9.7915623378620964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3.4</v>
      </c>
      <c r="BD72" s="12">
        <f>IF('Données projet'!$A$88&gt;35,BD71+BC72-BL71,IF(A72&lt;'Données projet'!$A$88,$BA$205^A72,IF(A72='Données projet'!$A$88,'Données projet'!$B$88,BD71+BC72-BL71)))</f>
        <v>180.60000000000002</v>
      </c>
      <c r="BE72" s="13">
        <f>BD72*VLOOKUP('Données projet'!$B$11,Paramètres!$A$1:$I$89,3,0)*VLOOKUP('Données projet'!$B$11,Paramètres!$A$1:$I$89,5,0)</f>
        <v>157.77216000000004</v>
      </c>
      <c r="BF72" s="13">
        <f t="shared" si="91"/>
        <v>40.339610539653599</v>
      </c>
      <c r="BG72" s="20">
        <f t="shared" si="61"/>
        <v>345.04466702323003</v>
      </c>
      <c r="BH72" s="59">
        <f t="shared" si="62"/>
        <v>638.37800035656335</v>
      </c>
      <c r="BI72" s="59">
        <f ca="1">AVERAGE(OFFSET($BH$3,0,0,'Données projet'!$E$11+1,1))-AVERAGE(OFFSET($H$3,0,0,'Données projet'!$E$11+1,1))</f>
        <v>268.31928207836495</v>
      </c>
      <c r="BJ72" s="59">
        <f t="shared" si="92"/>
        <v>277.61304526670204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0.95044730243826736</v>
      </c>
      <c r="BQ72" s="21">
        <f>EXP(-LN(2)/25)*BQ71+(1-EXP(-LN(2)/25))/(LN(2)/25)*Calculateur!BL72*Calculateur!BN72*VLOOKUP('Données projet'!$B$11,Paramètres!$A$1:$I$89,3,0)*0.475*44/12</f>
        <v>1.9099973615466952</v>
      </c>
      <c r="BR72" s="21">
        <f>EXP(-LN(2)/2)*BR71+(1-EXP(-LN(2)/2))/(LN(2)/2)*BL72*BO72*VLOOKUP('Données projet'!$B$11,Paramètres!$A$1:$I$89,3,0)*0.475*44/12</f>
        <v>1.1010248857004361E-5</v>
      </c>
      <c r="BS72" s="22">
        <f t="shared" si="63"/>
        <v>2.8604556742338194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</v>
      </c>
      <c r="BY72" s="12">
        <f>IF('Données projet'!$A$114&gt;35,BY71+BX72-CG71,IF(A72&lt;'Données projet'!$A$114,$BV$205^A72,IF(A72='Données projet'!$A$114,'Données projet'!$B$114,BY71+BX72-CG71)))</f>
        <v>206.00000000000003</v>
      </c>
      <c r="BZ72" s="13">
        <f>BY72*VLOOKUP('Données projet'!$B$12,Paramètres!$A$1:$I$89,3,0)*VLOOKUP('Données projet'!$B$12,Paramètres!$A$1:$I$89,5,0)</f>
        <v>163.89360000000002</v>
      </c>
      <c r="CA72" s="13">
        <f t="shared" si="93"/>
        <v>41.71949506642347</v>
      </c>
      <c r="CB72" s="20">
        <f t="shared" si="64"/>
        <v>358.10947390735419</v>
      </c>
      <c r="CC72" s="59">
        <f t="shared" si="65"/>
        <v>651.44280724068744</v>
      </c>
      <c r="CD72" s="59">
        <f ca="1">AVERAGE(OFFSET($CC$3,0,0,'Données projet'!$E$12+1,1))-AVERAGE(OFFSET($H$3,0,0,'Données projet'!$E$12+1,1))</f>
        <v>241.67556898455945</v>
      </c>
      <c r="CE72" s="59">
        <f t="shared" si="94"/>
        <v>237.71070965292648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2.9174668469639982</v>
      </c>
      <c r="CL72" s="21">
        <f>EXP(-LN(2)/25)*CL71+(1-EXP(-LN(2)/25))/(LN(2)/25)*Calculateur!CG72*Calculateur!CI72*VLOOKUP('Données projet'!$B$12,Paramètres!$A$1:$I$89,3,0)*0.475*44/12</f>
        <v>2.3997340324014651</v>
      </c>
      <c r="CM72" s="21">
        <f>EXP(-LN(2)/2)*CM71+(1-EXP(-LN(2)/2))/(LN(2)/2)*CG72*CJ72*VLOOKUP('Données projet'!$B$12,Paramètres!$A$1:$I$89,3,0)*0.475*44/12</f>
        <v>9.0320083377908062E-6</v>
      </c>
      <c r="CN72" s="22">
        <f t="shared" si="66"/>
        <v>5.3172099113738014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366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365.99999999999966</v>
      </c>
      <c r="O73" s="13">
        <f>N73*VLOOKUP('Données projet'!$B$9,Paramètres!$A$1:$I$89,3,0)*VLOOKUP('Données projet'!$B$9,Paramètres!$A$1:$I$89,5,0)</f>
        <v>291.18959999999976</v>
      </c>
      <c r="P73" s="13">
        <f t="shared" si="87"/>
        <v>69.326273255048633</v>
      </c>
      <c r="Q73" s="20">
        <f t="shared" si="54"/>
        <v>627.89847925254264</v>
      </c>
      <c r="R73" s="59">
        <f t="shared" si="55"/>
        <v>921.23181258587601</v>
      </c>
      <c r="S73" s="59">
        <f ca="1">AVERAGE(OFFSET($R$3,0,0,'Données projet'!$E$9+1,1))-AVERAGE(OFFSET($H$3,0,0,'Données projet'!$E$9+1,1))</f>
        <v>405.40026823646758</v>
      </c>
      <c r="T73" s="59">
        <f t="shared" si="88"/>
        <v>393.0787141050053</v>
      </c>
      <c r="U73" s="15">
        <f>IF(ISNA(VLOOKUP(A73,'Données projet'!$A$35:$I$55,3,0)),0,VLOOKUP(A73,'Données projet'!$A$35:$I$55,3,0))</f>
        <v>13</v>
      </c>
      <c r="V73" s="15">
        <f>IF(ISNA(VLOOKUP(A73,'Données projet'!$A$35:$I$55,4,0)),0,VLOOKUP(A73,'Données projet'!$A$35:$I$55,4,0))</f>
        <v>15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7.8410359351409591</v>
      </c>
      <c r="AA73" s="21">
        <f>EXP(-LN(2)/25)*AA72+(1-EXP(-LN(2)/25))/(LN(2)/25)*Calculateur!V73*Calculateur!X73*VLOOKUP('Données projet'!$B$9,Paramètres!$A$1:$I$89,3,0)*0.475*44/12</f>
        <v>6.8218165992221298</v>
      </c>
      <c r="AB73" s="21">
        <f>EXP(-LN(2)/2)*AB72+(1-EXP(-LN(2)/2))/(LN(2)/2)*V73*Y73*VLOOKUP('Données projet'!$B$9,Paramètres!$A$1:$I$89,3,0)*0.475*44/12</f>
        <v>1.1281701120456759E-5</v>
      </c>
      <c r="AC73" s="22">
        <f t="shared" si="57"/>
        <v>14.66286381606421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5.6843418860808015E-14</v>
      </c>
      <c r="AJ73" s="13">
        <f>AI73*VLOOKUP('Données projet'!$B$10,Paramètres!$A$1:$I$89,3,0)*VLOOKUP('Données projet'!$B$10,Paramètres!$A$1:$I$89,5,0)</f>
        <v>4.9658410716801891E-14</v>
      </c>
      <c r="AK73" s="13">
        <f t="shared" si="89"/>
        <v>8.0934058173791862E-13</v>
      </c>
      <c r="AL73" s="20">
        <f t="shared" si="58"/>
        <v>1.4960899118586383E-12</v>
      </c>
      <c r="AM73" s="59">
        <f t="shared" si="59"/>
        <v>293.33333333333479</v>
      </c>
      <c r="AN73" s="59">
        <f ca="1">AVERAGE(OFFSET($AM$3,0,0,'Données projet'!$E$10+1,1))-AVERAGE(OFFSET($H$3,0,0,'Données projet'!$E$10+1,1))</f>
        <v>304.32767345253382</v>
      </c>
      <c r="AO73" s="59">
        <f t="shared" si="90"/>
        <v>427.16091343339173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3.5752706197168149</v>
      </c>
      <c r="AV73" s="21">
        <f>EXP(-LN(2)/25)*AV72+(1-EXP(-LN(2)/25))/(LN(2)/25)*Calculateur!AQ73*Calculateur!AS73*VLOOKUP('Données projet'!$B$10,Paramètres!$A$1:$I$89,3,0)*0.475*44/12</f>
        <v>5.976736415955064</v>
      </c>
      <c r="AW73" s="21">
        <f>EXP(-LN(2)/2)*AW72+(1-EXP(-LN(2)/2))/(LN(2)/2)*AQ73*AT73*VLOOKUP('Données projet'!$B$10,Paramètres!$A$1:$I$89,3,0)*0.475*44/12</f>
        <v>1.0750930974071626E-5</v>
      </c>
      <c r="AX73" s="21">
        <f t="shared" si="60"/>
        <v>9.5520177866028533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184</v>
      </c>
      <c r="BB73" s="12">
        <f>VLOOKUP(A73,'Données projet'!$A$87:$I$107,9,0)</f>
        <v>3.4</v>
      </c>
      <c r="BC73" s="12">
        <f t="array" ref="BC73">INDEX(BB:BB,MIN(IF(ISNUMBER(BB73:BB269),ROW(BB73:BB269),"")))</f>
        <v>3.4</v>
      </c>
      <c r="BD73" s="12">
        <f>IF('Données projet'!$A$88&gt;35,BD72+BC73-BL72,IF(A73&lt;'Données projet'!$A$88,$BA$205^A73,IF(A73='Données projet'!$A$88,'Données projet'!$B$88,BD72+BC73-BL72)))</f>
        <v>184.00000000000003</v>
      </c>
      <c r="BE73" s="13">
        <f>BD73*VLOOKUP('Données projet'!$B$11,Paramètres!$A$1:$I$89,3,0)*VLOOKUP('Données projet'!$B$11,Paramètres!$A$1:$I$89,5,0)</f>
        <v>160.74240000000003</v>
      </c>
      <c r="BF73" s="13">
        <f t="shared" si="91"/>
        <v>41.009920657227809</v>
      </c>
      <c r="BG73" s="20">
        <f t="shared" si="61"/>
        <v>351.38529181133845</v>
      </c>
      <c r="BH73" s="59">
        <f t="shared" si="62"/>
        <v>644.71862514467171</v>
      </c>
      <c r="BI73" s="59">
        <f ca="1">AVERAGE(OFFSET($BH$3,0,0,'Données projet'!$E$11+1,1))-AVERAGE(OFFSET($H$3,0,0,'Données projet'!$E$11+1,1))</f>
        <v>268.31928207836495</v>
      </c>
      <c r="BJ73" s="59">
        <f t="shared" si="92"/>
        <v>277.61304526670204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0.93180961055306522</v>
      </c>
      <c r="BQ73" s="21">
        <f>EXP(-LN(2)/25)*BQ72+(1-EXP(-LN(2)/25))/(LN(2)/25)*Calculateur!BL73*Calculateur!BN73*VLOOKUP('Données projet'!$B$11,Paramètres!$A$1:$I$89,3,0)*0.475*44/12</f>
        <v>1.8577683832528049</v>
      </c>
      <c r="BR73" s="21">
        <f>EXP(-LN(2)/2)*BR72+(1-EXP(-LN(2)/2))/(LN(2)/2)*BL73*BO73*VLOOKUP('Données projet'!$B$11,Paramètres!$A$1:$I$89,3,0)*0.475*44/12</f>
        <v>7.7854216293392177E-6</v>
      </c>
      <c r="BS73" s="22">
        <f t="shared" si="63"/>
        <v>2.7895857792274992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209</v>
      </c>
      <c r="BW73" s="12">
        <f>VLOOKUP(A73,'Données projet'!$A$113:$I$133,9,0)</f>
        <v>3</v>
      </c>
      <c r="BX73" s="12">
        <f t="array" ref="BX73">INDEX(BW:BW,MIN(IF(ISNUMBER(BW73:BW269),ROW(BW73:BW269),"")))</f>
        <v>3</v>
      </c>
      <c r="BY73" s="12">
        <f>IF('Données projet'!$A$114&gt;35,BY72+BX73-CG72,IF(A73&lt;'Données projet'!$A$114,$BV$205^A73,IF(A73='Données projet'!$A$114,'Données projet'!$B$114,BY72+BX73-CG72)))</f>
        <v>209.00000000000003</v>
      </c>
      <c r="BZ73" s="13">
        <f>BY73*VLOOKUP('Données projet'!$B$12,Paramètres!$A$1:$I$89,3,0)*VLOOKUP('Données projet'!$B$12,Paramètres!$A$1:$I$89,5,0)</f>
        <v>166.28040000000004</v>
      </c>
      <c r="CA73" s="13">
        <f t="shared" si="93"/>
        <v>42.255887340755905</v>
      </c>
      <c r="CB73" s="20">
        <f t="shared" si="64"/>
        <v>363.2007004518166</v>
      </c>
      <c r="CC73" s="59">
        <f t="shared" si="65"/>
        <v>656.53403378514986</v>
      </c>
      <c r="CD73" s="59">
        <f ca="1">AVERAGE(OFFSET($CC$3,0,0,'Données projet'!$E$12+1,1))-AVERAGE(OFFSET($H$3,0,0,'Données projet'!$E$12+1,1))</f>
        <v>241.67556898455945</v>
      </c>
      <c r="CE73" s="59">
        <f t="shared" si="94"/>
        <v>237.71070965292648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2.8602571015741018</v>
      </c>
      <c r="CL73" s="21">
        <f>EXP(-LN(2)/25)*CL72+(1-EXP(-LN(2)/25))/(LN(2)/25)*Calculateur!CG73*Calculateur!CI73*VLOOKUP('Données projet'!$B$12,Paramètres!$A$1:$I$89,3,0)*0.475*44/12</f>
        <v>2.3341131790889191</v>
      </c>
      <c r="CM73" s="21">
        <f>EXP(-LN(2)/2)*CM72+(1-EXP(-LN(2)/2))/(LN(2)/2)*CG73*CJ73*VLOOKUP('Données projet'!$B$12,Paramètres!$A$1:$I$89,3,0)*0.475*44/12</f>
        <v>6.3865943433853164E-6</v>
      </c>
      <c r="CN73" s="22">
        <f t="shared" si="66"/>
        <v>5.1943766672573641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355.79999999999967</v>
      </c>
      <c r="O74" s="13">
        <f>N74*VLOOKUP('Données projet'!$B$9,Paramètres!$A$1:$I$89,3,0)*VLOOKUP('Données projet'!$B$9,Paramètres!$A$1:$I$89,5,0)</f>
        <v>283.07447999999977</v>
      </c>
      <c r="P74" s="13">
        <f t="shared" si="87"/>
        <v>67.616321363645156</v>
      </c>
      <c r="Q74" s="20">
        <f t="shared" si="54"/>
        <v>610.78647904168156</v>
      </c>
      <c r="R74" s="59">
        <f t="shared" si="55"/>
        <v>904.11981237501482</v>
      </c>
      <c r="S74" s="59">
        <f ca="1">AVERAGE(OFFSET($R$3,0,0,'Données projet'!$E$9+1,1))-AVERAGE(OFFSET($H$3,0,0,'Données projet'!$E$9+1,1))</f>
        <v>405.40026823646758</v>
      </c>
      <c r="T74" s="59">
        <f t="shared" si="88"/>
        <v>393.0787141050053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7.6872780030125272</v>
      </c>
      <c r="AA74" s="21">
        <f>EXP(-LN(2)/25)*AA73+(1-EXP(-LN(2)/25))/(LN(2)/25)*Calculateur!V74*Calculateur!X74*VLOOKUP('Données projet'!$B$9,Paramètres!$A$1:$I$89,3,0)*0.475*44/12</f>
        <v>6.6352736655726572</v>
      </c>
      <c r="AB74" s="21">
        <f>EXP(-LN(2)/2)*AB73+(1-EXP(-LN(2)/2))/(LN(2)/2)*V74*Y74*VLOOKUP('Données projet'!$B$9,Paramètres!$A$1:$I$89,3,0)*0.475*44/12</f>
        <v>7.9773673655948451E-6</v>
      </c>
      <c r="AC74" s="22">
        <f t="shared" si="57"/>
        <v>14.32255964595255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5.6843418860808015E-14</v>
      </c>
      <c r="AJ74" s="13">
        <f>AI74*VLOOKUP('Données projet'!$B$10,Paramètres!$A$1:$I$89,3,0)*VLOOKUP('Données projet'!$B$10,Paramètres!$A$1:$I$89,5,0)</f>
        <v>4.9658410716801891E-14</v>
      </c>
      <c r="AK74" s="13">
        <f t="shared" si="89"/>
        <v>8.0934058173791862E-13</v>
      </c>
      <c r="AL74" s="20">
        <f t="shared" si="58"/>
        <v>1.4960899118586383E-12</v>
      </c>
      <c r="AM74" s="59">
        <f t="shared" si="59"/>
        <v>293.33333333333479</v>
      </c>
      <c r="AN74" s="59">
        <f ca="1">AVERAGE(OFFSET($AM$3,0,0,'Données projet'!$E$10+1,1))-AVERAGE(OFFSET($H$3,0,0,'Données projet'!$E$10+1,1))</f>
        <v>304.32767345253382</v>
      </c>
      <c r="AO74" s="59">
        <f t="shared" si="90"/>
        <v>427.16091343339173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3.50516174356392</v>
      </c>
      <c r="AV74" s="21">
        <f>EXP(-LN(2)/25)*AV73+(1-EXP(-LN(2)/25))/(LN(2)/25)*Calculateur!AQ74*Calculateur!AS74*VLOOKUP('Données projet'!$B$10,Paramètres!$A$1:$I$89,3,0)*0.475*44/12</f>
        <v>5.8133022443578648</v>
      </c>
      <c r="AW74" s="21">
        <f>EXP(-LN(2)/2)*AW73+(1-EXP(-LN(2)/2))/(LN(2)/2)*AQ74*AT74*VLOOKUP('Données projet'!$B$10,Paramètres!$A$1:$I$89,3,0)*0.475*44/12</f>
        <v>7.6020561958345418E-6</v>
      </c>
      <c r="AX74" s="21">
        <f t="shared" si="60"/>
        <v>9.31847158997798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</v>
      </c>
      <c r="BD74" s="12">
        <f>IF('Données projet'!$A$88&gt;35,BD73+BC74-BL73,IF(A74&lt;'Données projet'!$A$88,$BA$205^A74,IF(A74='Données projet'!$A$88,'Données projet'!$B$88,BD73+BC74-BL73)))</f>
        <v>175.00000000000003</v>
      </c>
      <c r="BE74" s="13">
        <f>BD74*VLOOKUP('Données projet'!$B$11,Paramètres!$A$1:$I$89,3,0)*VLOOKUP('Données projet'!$B$11,Paramètres!$A$1:$I$89,5,0)</f>
        <v>152.88000000000005</v>
      </c>
      <c r="BF74" s="13">
        <f t="shared" si="91"/>
        <v>39.232349774697852</v>
      </c>
      <c r="BG74" s="20">
        <f t="shared" si="61"/>
        <v>334.59567585759885</v>
      </c>
      <c r="BH74" s="59">
        <f t="shared" si="62"/>
        <v>627.92900919093222</v>
      </c>
      <c r="BI74" s="59">
        <f ca="1">AVERAGE(OFFSET($BH$3,0,0,'Données projet'!$E$11+1,1))-AVERAGE(OFFSET($H$3,0,0,'Données projet'!$E$11+1,1))</f>
        <v>268.31928207836495</v>
      </c>
      <c r="BJ74" s="59">
        <f t="shared" si="92"/>
        <v>277.61304526670204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0.91353739243786236</v>
      </c>
      <c r="BQ74" s="21">
        <f>EXP(-LN(2)/25)*BQ73+(1-EXP(-LN(2)/25))/(LN(2)/25)*Calculateur!BL74*Calculateur!BN74*VLOOKUP('Données projet'!$B$11,Paramètres!$A$1:$I$89,3,0)*0.475*44/12</f>
        <v>1.8069676091169637</v>
      </c>
      <c r="BR74" s="21">
        <f>EXP(-LN(2)/2)*BR73+(1-EXP(-LN(2)/2))/(LN(2)/2)*BL74*BO74*VLOOKUP('Données projet'!$B$11,Paramètres!$A$1:$I$89,3,0)*0.475*44/12</f>
        <v>5.5051244285021805E-6</v>
      </c>
      <c r="BS74" s="22">
        <f t="shared" si="63"/>
        <v>2.7205105066792545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2.6</v>
      </c>
      <c r="BY74" s="12">
        <f>IF('Données projet'!$A$114&gt;35,BY73+BX74-CG73,IF(A74&lt;'Données projet'!$A$114,$BV$205^A74,IF(A74='Données projet'!$A$114,'Données projet'!$B$114,BY73+BX74-CG73)))</f>
        <v>203.60000000000002</v>
      </c>
      <c r="BZ74" s="13">
        <f>BY74*VLOOKUP('Données projet'!$B$12,Paramètres!$A$1:$I$89,3,0)*VLOOKUP('Données projet'!$B$12,Paramètres!$A$1:$I$89,5,0)</f>
        <v>161.98416000000003</v>
      </c>
      <c r="CA74" s="13">
        <f t="shared" si="93"/>
        <v>41.289726712501803</v>
      </c>
      <c r="CB74" s="20">
        <f t="shared" si="64"/>
        <v>354.03535269094073</v>
      </c>
      <c r="CC74" s="59">
        <f t="shared" si="65"/>
        <v>647.36868602427398</v>
      </c>
      <c r="CD74" s="59">
        <f ca="1">AVERAGE(OFFSET($CC$3,0,0,'Données projet'!$E$12+1,1))-AVERAGE(OFFSET($H$3,0,0,'Données projet'!$E$12+1,1))</f>
        <v>241.67556898455945</v>
      </c>
      <c r="CE74" s="59">
        <f t="shared" si="94"/>
        <v>237.71070965292648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2.8041692043968021</v>
      </c>
      <c r="CL74" s="21">
        <f>EXP(-LN(2)/25)*CL73+(1-EXP(-LN(2)/25))/(LN(2)/25)*Calculateur!CG74*Calculateur!CI74*VLOOKUP('Données projet'!$B$12,Paramètres!$A$1:$I$89,3,0)*0.475*44/12</f>
        <v>2.2702867314610553</v>
      </c>
      <c r="CM74" s="21">
        <f>EXP(-LN(2)/2)*CM73+(1-EXP(-LN(2)/2))/(LN(2)/2)*CG74*CJ74*VLOOKUP('Données projet'!$B$12,Paramètres!$A$1:$I$89,3,0)*0.475*44/12</f>
        <v>4.5160041688954031E-6</v>
      </c>
      <c r="CN74" s="22">
        <f t="shared" si="66"/>
        <v>5.0744604518620262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360.59999999999968</v>
      </c>
      <c r="O75" s="13">
        <f>N75*VLOOKUP('Données projet'!$B$9,Paramètres!$A$1:$I$89,3,0)*VLOOKUP('Données projet'!$B$9,Paramètres!$A$1:$I$89,5,0)</f>
        <v>286.89335999999975</v>
      </c>
      <c r="P75" s="13">
        <f t="shared" si="87"/>
        <v>68.421705584684744</v>
      </c>
      <c r="Q75" s="20">
        <f t="shared" si="54"/>
        <v>618.84040589332551</v>
      </c>
      <c r="R75" s="59">
        <f t="shared" si="55"/>
        <v>912.17373922665888</v>
      </c>
      <c r="S75" s="59">
        <f ca="1">AVERAGE(OFFSET($R$3,0,0,'Données projet'!$E$9+1,1))-AVERAGE(OFFSET($H$3,0,0,'Données projet'!$E$9+1,1))</f>
        <v>405.40026823646758</v>
      </c>
      <c r="T75" s="59">
        <f t="shared" si="88"/>
        <v>393.0787141050053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7.5365351701500547</v>
      </c>
      <c r="AA75" s="21">
        <f>EXP(-LN(2)/25)*AA74+(1-EXP(-LN(2)/25))/(LN(2)/25)*Calculateur!V75*Calculateur!X75*VLOOKUP('Données projet'!$B$9,Paramètres!$A$1:$I$89,3,0)*0.475*44/12</f>
        <v>6.4538317582536955</v>
      </c>
      <c r="AB75" s="21">
        <f>EXP(-LN(2)/2)*AB74+(1-EXP(-LN(2)/2))/(LN(2)/2)*V75*Y75*VLOOKUP('Données projet'!$B$9,Paramètres!$A$1:$I$89,3,0)*0.475*44/12</f>
        <v>5.6408505602283794E-6</v>
      </c>
      <c r="AC75" s="22">
        <f t="shared" si="57"/>
        <v>13.99037256925431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5.6843418860808015E-14</v>
      </c>
      <c r="AJ75" s="13">
        <f>AI75*VLOOKUP('Données projet'!$B$10,Paramètres!$A$1:$I$89,3,0)*VLOOKUP('Données projet'!$B$10,Paramètres!$A$1:$I$89,5,0)</f>
        <v>4.9658410716801891E-14</v>
      </c>
      <c r="AK75" s="13">
        <f t="shared" si="89"/>
        <v>8.0934058173791862E-13</v>
      </c>
      <c r="AL75" s="20">
        <f t="shared" si="58"/>
        <v>1.4960899118586383E-12</v>
      </c>
      <c r="AM75" s="59">
        <f t="shared" si="59"/>
        <v>293.33333333333479</v>
      </c>
      <c r="AN75" s="59">
        <f ca="1">AVERAGE(OFFSET($AM$3,0,0,'Données projet'!$E$10+1,1))-AVERAGE(OFFSET($H$3,0,0,'Données projet'!$E$10+1,1))</f>
        <v>304.32767345253382</v>
      </c>
      <c r="AO75" s="59">
        <f t="shared" si="90"/>
        <v>427.16091343339173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3.4364276597101915</v>
      </c>
      <c r="AV75" s="21">
        <f>EXP(-LN(2)/25)*AV74+(1-EXP(-LN(2)/25))/(LN(2)/25)*Calculateur!AQ75*Calculateur!AS75*VLOOKUP('Données projet'!$B$10,Paramètres!$A$1:$I$89,3,0)*0.475*44/12</f>
        <v>5.6543371887776201</v>
      </c>
      <c r="AW75" s="21">
        <f>EXP(-LN(2)/2)*AW74+(1-EXP(-LN(2)/2))/(LN(2)/2)*AQ75*AT75*VLOOKUP('Données projet'!$B$10,Paramètres!$A$1:$I$89,3,0)*0.475*44/12</f>
        <v>5.3754654870358137E-6</v>
      </c>
      <c r="AX75" s="21">
        <f t="shared" si="60"/>
        <v>9.0907702239532995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</v>
      </c>
      <c r="BD75" s="12">
        <f>IF('Données projet'!$A$88&gt;35,BD74+BC75-BL74,IF(A75&lt;'Données projet'!$A$88,$BA$205^A75,IF(A75='Données projet'!$A$88,'Données projet'!$B$88,BD74+BC75-BL74)))</f>
        <v>178.00000000000003</v>
      </c>
      <c r="BE75" s="13">
        <f>BD75*VLOOKUP('Données projet'!$B$11,Paramètres!$A$1:$I$89,3,0)*VLOOKUP('Données projet'!$B$11,Paramètres!$A$1:$I$89,5,0)</f>
        <v>155.50080000000003</v>
      </c>
      <c r="BF75" s="13">
        <f t="shared" si="91"/>
        <v>39.826029828200333</v>
      </c>
      <c r="BG75" s="20">
        <f t="shared" si="61"/>
        <v>340.19422861744891</v>
      </c>
      <c r="BH75" s="59">
        <f t="shared" si="62"/>
        <v>633.52756195078223</v>
      </c>
      <c r="BI75" s="59">
        <f ca="1">AVERAGE(OFFSET($BH$3,0,0,'Données projet'!$E$11+1,1))-AVERAGE(OFFSET($H$3,0,0,'Données projet'!$E$11+1,1))</f>
        <v>268.31928207836495</v>
      </c>
      <c r="BJ75" s="59">
        <f t="shared" si="92"/>
        <v>277.61304526670204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0.89562348137494607</v>
      </c>
      <c r="BQ75" s="21">
        <f>EXP(-LN(2)/25)*BQ74+(1-EXP(-LN(2)/25))/(LN(2)/25)*Calculateur!BL75*Calculateur!BN75*VLOOKUP('Données projet'!$B$11,Paramètres!$A$1:$I$89,3,0)*0.475*44/12</f>
        <v>1.7575559848213638</v>
      </c>
      <c r="BR75" s="21">
        <f>EXP(-LN(2)/2)*BR74+(1-EXP(-LN(2)/2))/(LN(2)/2)*BL75*BO75*VLOOKUP('Données projet'!$B$11,Paramètres!$A$1:$I$89,3,0)*0.475*44/12</f>
        <v>3.8927108146696088E-6</v>
      </c>
      <c r="BS75" s="22">
        <f t="shared" si="63"/>
        <v>2.6531833589071243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2.6</v>
      </c>
      <c r="BY75" s="12">
        <f>IF('Données projet'!$A$114&gt;35,BY74+BX75-CG74,IF(A75&lt;'Données projet'!$A$114,$BV$205^A75,IF(A75='Données projet'!$A$114,'Données projet'!$B$114,BY74+BX75-CG74)))</f>
        <v>206.20000000000002</v>
      </c>
      <c r="BZ75" s="13">
        <f>BY75*VLOOKUP('Données projet'!$B$12,Paramètres!$A$1:$I$89,3,0)*VLOOKUP('Données projet'!$B$12,Paramètres!$A$1:$I$89,5,0)</f>
        <v>164.05272000000002</v>
      </c>
      <c r="CA75" s="13">
        <f t="shared" si="93"/>
        <v>41.755282701020434</v>
      </c>
      <c r="CB75" s="20">
        <f t="shared" si="64"/>
        <v>358.44893803761056</v>
      </c>
      <c r="CC75" s="59">
        <f t="shared" si="65"/>
        <v>651.78227137094382</v>
      </c>
      <c r="CD75" s="59">
        <f ca="1">AVERAGE(OFFSET($CC$3,0,0,'Données projet'!$E$12+1,1))-AVERAGE(OFFSET($H$3,0,0,'Données projet'!$E$12+1,1))</f>
        <v>241.67556898455945</v>
      </c>
      <c r="CE75" s="59">
        <f t="shared" si="94"/>
        <v>237.71070965292648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2.7491811566729099</v>
      </c>
      <c r="CL75" s="21">
        <f>EXP(-LN(2)/25)*CL74+(1-EXP(-LN(2)/25))/(LN(2)/25)*Calculateur!CG75*Calculateur!CI75*VLOOKUP('Données projet'!$B$12,Paramètres!$A$1:$I$89,3,0)*0.475*44/12</f>
        <v>2.2082056214000625</v>
      </c>
      <c r="CM75" s="21">
        <f>EXP(-LN(2)/2)*CM74+(1-EXP(-LN(2)/2))/(LN(2)/2)*CG75*CJ75*VLOOKUP('Données projet'!$B$12,Paramètres!$A$1:$I$89,3,0)*0.475*44/12</f>
        <v>3.1932971716926582E-6</v>
      </c>
      <c r="CN75" s="22">
        <f t="shared" si="66"/>
        <v>4.9573899713701444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365.39999999999969</v>
      </c>
      <c r="O76" s="13">
        <f>N76*VLOOKUP('Données projet'!$B$9,Paramètres!$A$1:$I$89,3,0)*VLOOKUP('Données projet'!$B$9,Paramètres!$A$1:$I$89,5,0)</f>
        <v>290.71223999999978</v>
      </c>
      <c r="P76" s="13">
        <f t="shared" si="87"/>
        <v>69.225842856510994</v>
      </c>
      <c r="Q76" s="20">
        <f t="shared" si="54"/>
        <v>626.89216097508961</v>
      </c>
      <c r="R76" s="59">
        <f t="shared" si="55"/>
        <v>920.22549430842287</v>
      </c>
      <c r="S76" s="59">
        <f ca="1">AVERAGE(OFFSET($R$3,0,0,'Données projet'!$E$9+1,1))-AVERAGE(OFFSET($H$3,0,0,'Données projet'!$E$9+1,1))</f>
        <v>405.40026823646758</v>
      </c>
      <c r="T76" s="59">
        <f t="shared" si="88"/>
        <v>393.0787141050053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7.3887483122959665</v>
      </c>
      <c r="AA76" s="21">
        <f>EXP(-LN(2)/25)*AA75+(1-EXP(-LN(2)/25))/(LN(2)/25)*Calculateur!V76*Calculateur!X76*VLOOKUP('Données projet'!$B$9,Paramètres!$A$1:$I$89,3,0)*0.475*44/12</f>
        <v>6.2773513894319866</v>
      </c>
      <c r="AB76" s="21">
        <f>EXP(-LN(2)/2)*AB75+(1-EXP(-LN(2)/2))/(LN(2)/2)*V76*Y76*VLOOKUP('Données projet'!$B$9,Paramètres!$A$1:$I$89,3,0)*0.475*44/12</f>
        <v>3.9886836827974226E-6</v>
      </c>
      <c r="AC76" s="22">
        <f t="shared" si="57"/>
        <v>13.666103690411635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5.6843418860808015E-14</v>
      </c>
      <c r="AJ76" s="13">
        <f>AI76*VLOOKUP('Données projet'!$B$10,Paramètres!$A$1:$I$89,3,0)*VLOOKUP('Données projet'!$B$10,Paramètres!$A$1:$I$89,5,0)</f>
        <v>4.9658410716801891E-14</v>
      </c>
      <c r="AK76" s="13">
        <f t="shared" si="89"/>
        <v>8.0934058173791862E-13</v>
      </c>
      <c r="AL76" s="20">
        <f t="shared" si="58"/>
        <v>1.4960899118586383E-12</v>
      </c>
      <c r="AM76" s="59">
        <f t="shared" si="59"/>
        <v>293.33333333333479</v>
      </c>
      <c r="AN76" s="59">
        <f ca="1">AVERAGE(OFFSET($AM$3,0,0,'Données projet'!$E$10+1,1))-AVERAGE(OFFSET($H$3,0,0,'Données projet'!$E$10+1,1))</f>
        <v>304.32767345253382</v>
      </c>
      <c r="AO76" s="59">
        <f t="shared" si="90"/>
        <v>427.16091343339173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3.369041409317183</v>
      </c>
      <c r="AV76" s="21">
        <f>EXP(-LN(2)/25)*AV75+(1-EXP(-LN(2)/25))/(LN(2)/25)*Calculateur!AQ76*Calculateur!AS76*VLOOKUP('Données projet'!$B$10,Paramètres!$A$1:$I$89,3,0)*0.475*44/12</f>
        <v>5.4997190410018266</v>
      </c>
      <c r="AW76" s="21">
        <f>EXP(-LN(2)/2)*AW75+(1-EXP(-LN(2)/2))/(LN(2)/2)*AQ76*AT76*VLOOKUP('Données projet'!$B$10,Paramètres!$A$1:$I$89,3,0)*0.475*44/12</f>
        <v>3.8010280979172713E-6</v>
      </c>
      <c r="AX76" s="21">
        <f t="shared" si="60"/>
        <v>8.8687642513471072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</v>
      </c>
      <c r="BD76" s="12">
        <f>IF('Données projet'!$A$88&gt;35,BD75+BC76-BL75,IF(A76&lt;'Données projet'!$A$88,$BA$205^A76,IF(A76='Données projet'!$A$88,'Données projet'!$B$88,BD75+BC76-BL75)))</f>
        <v>181.00000000000003</v>
      </c>
      <c r="BE76" s="13">
        <f>BD76*VLOOKUP('Données projet'!$B$11,Paramètres!$A$1:$I$89,3,0)*VLOOKUP('Données projet'!$B$11,Paramètres!$A$1:$I$89,5,0)</f>
        <v>158.12160000000006</v>
      </c>
      <c r="BF76" s="13">
        <f t="shared" si="91"/>
        <v>40.418546284954246</v>
      </c>
      <c r="BG76" s="20">
        <f t="shared" si="61"/>
        <v>345.79075477962868</v>
      </c>
      <c r="BH76" s="59">
        <f t="shared" si="62"/>
        <v>639.124088112962</v>
      </c>
      <c r="BI76" s="59">
        <f ca="1">AVERAGE(OFFSET($BH$3,0,0,'Données projet'!$E$11+1,1))-AVERAGE(OFFSET($H$3,0,0,'Données projet'!$E$11+1,1))</f>
        <v>268.31928207836495</v>
      </c>
      <c r="BJ76" s="59">
        <f t="shared" si="92"/>
        <v>277.61304526670204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0.87806085118156674</v>
      </c>
      <c r="BQ76" s="21">
        <f>EXP(-LN(2)/25)*BQ75+(1-EXP(-LN(2)/25))/(LN(2)/25)*Calculateur!BL76*Calculateur!BN76*VLOOKUP('Données projet'!$B$11,Paramètres!$A$1:$I$89,3,0)*0.475*44/12</f>
        <v>1.7094955239905714</v>
      </c>
      <c r="BR76" s="21">
        <f>EXP(-LN(2)/2)*BR75+(1-EXP(-LN(2)/2))/(LN(2)/2)*BL76*BO76*VLOOKUP('Données projet'!$B$11,Paramètres!$A$1:$I$89,3,0)*0.475*44/12</f>
        <v>2.7525622142510903E-6</v>
      </c>
      <c r="BS76" s="22">
        <f t="shared" si="63"/>
        <v>2.5875591277343521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2.6</v>
      </c>
      <c r="BY76" s="12">
        <f>IF('Données projet'!$A$114&gt;35,BY75+BX76-CG75,IF(A76&lt;'Données projet'!$A$114,$BV$205^A76,IF(A76='Données projet'!$A$114,'Données projet'!$B$114,BY75+BX76-CG75)))</f>
        <v>208.8</v>
      </c>
      <c r="BZ76" s="13">
        <f>BY76*VLOOKUP('Données projet'!$B$12,Paramètres!$A$1:$I$89,3,0)*VLOOKUP('Données projet'!$B$12,Paramètres!$A$1:$I$89,5,0)</f>
        <v>166.12128000000001</v>
      </c>
      <c r="CA76" s="13">
        <f t="shared" si="93"/>
        <v>42.220155874487318</v>
      </c>
      <c r="CB76" s="20">
        <f t="shared" si="64"/>
        <v>362.86133414806545</v>
      </c>
      <c r="CC76" s="59">
        <f t="shared" si="65"/>
        <v>656.19466748139871</v>
      </c>
      <c r="CD76" s="59">
        <f ca="1">AVERAGE(OFFSET($CC$3,0,0,'Données projet'!$E$12+1,1))-AVERAGE(OFFSET($H$3,0,0,'Données projet'!$E$12+1,1))</f>
        <v>241.67556898455945</v>
      </c>
      <c r="CE76" s="59">
        <f t="shared" si="94"/>
        <v>237.71070965292648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2.6952713910254862</v>
      </c>
      <c r="CL76" s="21">
        <f>EXP(-LN(2)/25)*CL75+(1-EXP(-LN(2)/25))/(LN(2)/25)*Calculateur!CG76*Calculateur!CI76*VLOOKUP('Données projet'!$B$12,Paramètres!$A$1:$I$89,3,0)*0.475*44/12</f>
        <v>2.1478221225583911</v>
      </c>
      <c r="CM76" s="21">
        <f>EXP(-LN(2)/2)*CM75+(1-EXP(-LN(2)/2))/(LN(2)/2)*CG76*CJ76*VLOOKUP('Données projet'!$B$12,Paramètres!$A$1:$I$89,3,0)*0.475*44/12</f>
        <v>2.2580020844477016E-6</v>
      </c>
      <c r="CN76" s="22">
        <f t="shared" si="66"/>
        <v>4.8430957715859622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370.1999999999997</v>
      </c>
      <c r="O77" s="13">
        <f>N77*VLOOKUP('Données projet'!$B$9,Paramètres!$A$1:$I$89,3,0)*VLOOKUP('Données projet'!$B$9,Paramètres!$A$1:$I$89,5,0)</f>
        <v>294.53111999999976</v>
      </c>
      <c r="P77" s="13">
        <f t="shared" si="87"/>
        <v>70.028751453157682</v>
      </c>
      <c r="Q77" s="20">
        <f t="shared" si="54"/>
        <v>634.94177611424914</v>
      </c>
      <c r="R77" s="59">
        <f t="shared" si="55"/>
        <v>928.27510944758251</v>
      </c>
      <c r="S77" s="59">
        <f ca="1">AVERAGE(OFFSET($R$3,0,0,'Données projet'!$E$9+1,1))-AVERAGE(OFFSET($H$3,0,0,'Données projet'!$E$9+1,1))</f>
        <v>405.40026823646758</v>
      </c>
      <c r="T77" s="59">
        <f t="shared" si="88"/>
        <v>393.0787141050053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7.2438594645833145</v>
      </c>
      <c r="AA77" s="21">
        <f>EXP(-LN(2)/25)*AA76+(1-EXP(-LN(2)/25))/(LN(2)/25)*Calculateur!V77*Calculateur!X77*VLOOKUP('Données projet'!$B$9,Paramètres!$A$1:$I$89,3,0)*0.475*44/12</f>
        <v>6.105696885576406</v>
      </c>
      <c r="AB77" s="21">
        <f>EXP(-LN(2)/2)*AB76+(1-EXP(-LN(2)/2))/(LN(2)/2)*V77*Y77*VLOOKUP('Données projet'!$B$9,Paramètres!$A$1:$I$89,3,0)*0.475*44/12</f>
        <v>2.8204252801141897E-6</v>
      </c>
      <c r="AC77" s="22">
        <f t="shared" si="57"/>
        <v>13.349559170585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5.6843418860808015E-14</v>
      </c>
      <c r="AJ77" s="13">
        <f>AI77*VLOOKUP('Données projet'!$B$10,Paramètres!$A$1:$I$89,3,0)*VLOOKUP('Données projet'!$B$10,Paramètres!$A$1:$I$89,5,0)</f>
        <v>4.9658410716801891E-14</v>
      </c>
      <c r="AK77" s="13">
        <f t="shared" si="89"/>
        <v>8.0934058173791862E-13</v>
      </c>
      <c r="AL77" s="20">
        <f t="shared" si="58"/>
        <v>1.4960899118586383E-12</v>
      </c>
      <c r="AM77" s="59">
        <f t="shared" si="59"/>
        <v>293.33333333333479</v>
      </c>
      <c r="AN77" s="59">
        <f ca="1">AVERAGE(OFFSET($AM$3,0,0,'Données projet'!$E$10+1,1))-AVERAGE(OFFSET($H$3,0,0,'Données projet'!$E$10+1,1))</f>
        <v>304.32767345253382</v>
      </c>
      <c r="AO77" s="59">
        <f t="shared" si="90"/>
        <v>427.16091343339173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3.3029765621928271</v>
      </c>
      <c r="AV77" s="21">
        <f>EXP(-LN(2)/25)*AV76+(1-EXP(-LN(2)/25))/(LN(2)/25)*Calculateur!AQ77*Calculateur!AS77*VLOOKUP('Données projet'!$B$10,Paramètres!$A$1:$I$89,3,0)*0.475*44/12</f>
        <v>5.3493289346079766</v>
      </c>
      <c r="AW77" s="21">
        <f>EXP(-LN(2)/2)*AW76+(1-EXP(-LN(2)/2))/(LN(2)/2)*AQ77*AT77*VLOOKUP('Données projet'!$B$10,Paramètres!$A$1:$I$89,3,0)*0.475*44/12</f>
        <v>2.6877327435179073E-6</v>
      </c>
      <c r="AX77" s="21">
        <f t="shared" si="60"/>
        <v>8.6523081845335472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</v>
      </c>
      <c r="BD77" s="12">
        <f>IF('Données projet'!$A$88&gt;35,BD76+BC77-BL76,IF(A77&lt;'Données projet'!$A$88,$BA$205^A77,IF(A77='Données projet'!$A$88,'Données projet'!$B$88,BD76+BC77-BL76)))</f>
        <v>184.00000000000003</v>
      </c>
      <c r="BE77" s="13">
        <f>BD77*VLOOKUP('Données projet'!$B$11,Paramètres!$A$1:$I$89,3,0)*VLOOKUP('Données projet'!$B$11,Paramètres!$A$1:$I$89,5,0)</f>
        <v>160.74240000000003</v>
      </c>
      <c r="BF77" s="13">
        <f t="shared" si="91"/>
        <v>41.009920657227809</v>
      </c>
      <c r="BG77" s="20">
        <f t="shared" si="61"/>
        <v>351.38529181133845</v>
      </c>
      <c r="BH77" s="59">
        <f t="shared" si="62"/>
        <v>644.71862514467171</v>
      </c>
      <c r="BI77" s="59">
        <f ca="1">AVERAGE(OFFSET($BH$3,0,0,'Données projet'!$E$11+1,1))-AVERAGE(OFFSET($H$3,0,0,'Données projet'!$E$11+1,1))</f>
        <v>268.31928207836495</v>
      </c>
      <c r="BJ77" s="59">
        <f t="shared" si="92"/>
        <v>277.61304526670204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0.86084261345413282</v>
      </c>
      <c r="BQ77" s="21">
        <f>EXP(-LN(2)/25)*BQ76+(1-EXP(-LN(2)/25))/(LN(2)/25)*Calculateur!BL77*Calculateur!BN77*VLOOKUP('Données projet'!$B$11,Paramètres!$A$1:$I$89,3,0)*0.475*44/12</f>
        <v>1.6627492789885867</v>
      </c>
      <c r="BR77" s="21">
        <f>EXP(-LN(2)/2)*BR76+(1-EXP(-LN(2)/2))/(LN(2)/2)*BL77*BO77*VLOOKUP('Données projet'!$B$11,Paramètres!$A$1:$I$89,3,0)*0.475*44/12</f>
        <v>1.9463554073348044E-6</v>
      </c>
      <c r="BS77" s="22">
        <f t="shared" si="63"/>
        <v>2.5235938387981269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2.6</v>
      </c>
      <c r="BY77" s="12">
        <f>IF('Données projet'!$A$114&gt;35,BY76+BX77-CG76,IF(A77&lt;'Données projet'!$A$114,$BV$205^A77,IF(A77='Données projet'!$A$114,'Données projet'!$B$114,BY76+BX77-CG76)))</f>
        <v>211.4</v>
      </c>
      <c r="BZ77" s="13">
        <f>BY77*VLOOKUP('Données projet'!$B$12,Paramètres!$A$1:$I$89,3,0)*VLOOKUP('Données projet'!$B$12,Paramètres!$A$1:$I$89,5,0)</f>
        <v>168.18984</v>
      </c>
      <c r="CA77" s="13">
        <f t="shared" si="93"/>
        <v>42.684355718695393</v>
      </c>
      <c r="CB77" s="20">
        <f t="shared" si="64"/>
        <v>367.2725575433945</v>
      </c>
      <c r="CC77" s="59">
        <f t="shared" si="65"/>
        <v>660.60589087672781</v>
      </c>
      <c r="CD77" s="59">
        <f ca="1">AVERAGE(OFFSET($CC$3,0,0,'Données projet'!$E$12+1,1))-AVERAGE(OFFSET($H$3,0,0,'Données projet'!$E$12+1,1))</f>
        <v>241.67556898455945</v>
      </c>
      <c r="CE77" s="59">
        <f t="shared" si="94"/>
        <v>237.71070965292648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2.6424187630006979</v>
      </c>
      <c r="CL77" s="21">
        <f>EXP(-LN(2)/25)*CL76+(1-EXP(-LN(2)/25))/(LN(2)/25)*Calculateur!CG77*Calculateur!CI77*VLOOKUP('Données projet'!$B$12,Paramètres!$A$1:$I$89,3,0)*0.475*44/12</f>
        <v>2.0890898136679752</v>
      </c>
      <c r="CM77" s="21">
        <f>EXP(-LN(2)/2)*CM76+(1-EXP(-LN(2)/2))/(LN(2)/2)*CG77*CJ77*VLOOKUP('Données projet'!$B$12,Paramètres!$A$1:$I$89,3,0)*0.475*44/12</f>
        <v>1.5966485858463291E-6</v>
      </c>
      <c r="CN77" s="22">
        <f t="shared" si="66"/>
        <v>4.7315101733172593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375</v>
      </c>
      <c r="L78" s="12">
        <f>VLOOKUP(A78,'Données projet'!$A$35:$I$55,9,0)</f>
        <v>4.8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374.99999999999972</v>
      </c>
      <c r="O78" s="13">
        <f>N78*VLOOKUP('Données projet'!$B$9,Paramètres!$A$1:$I$89,3,0)*VLOOKUP('Données projet'!$B$9,Paramètres!$A$1:$I$89,5,0)</f>
        <v>298.3499999999998</v>
      </c>
      <c r="P78" s="13">
        <f t="shared" si="87"/>
        <v>70.83044914753448</v>
      </c>
      <c r="Q78" s="20">
        <f t="shared" si="54"/>
        <v>642.98928226528881</v>
      </c>
      <c r="R78" s="59">
        <f t="shared" si="55"/>
        <v>936.32261559862218</v>
      </c>
      <c r="S78" s="59">
        <f ca="1">AVERAGE(OFFSET($R$3,0,0,'Données projet'!$E$9+1,1))-AVERAGE(OFFSET($H$3,0,0,'Données projet'!$E$9+1,1))</f>
        <v>405.40026823646758</v>
      </c>
      <c r="T78" s="59">
        <f t="shared" si="88"/>
        <v>393.0787141050053</v>
      </c>
      <c r="U78" s="15">
        <f>IF(ISNA(VLOOKUP(A78,'Données projet'!$A$35:$I$55,3,0)),0,VLOOKUP(A78,'Données projet'!$A$35:$I$55,3,0))</f>
        <v>14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7.1018117988008367</v>
      </c>
      <c r="AA78" s="21">
        <f>EXP(-LN(2)/25)*AA77+(1-EXP(-LN(2)/25))/(LN(2)/25)*Calculateur!V78*Calculateur!X78*VLOOKUP('Données projet'!$B$9,Paramètres!$A$1:$I$89,3,0)*0.475*44/12</f>
        <v>5.9387362831556745</v>
      </c>
      <c r="AB78" s="21">
        <f>EXP(-LN(2)/2)*AB77+(1-EXP(-LN(2)/2))/(LN(2)/2)*V78*Y78*VLOOKUP('Données projet'!$B$9,Paramètres!$A$1:$I$89,3,0)*0.475*44/12</f>
        <v>1.9943418413987113E-6</v>
      </c>
      <c r="AC78" s="22">
        <f t="shared" si="57"/>
        <v>13.040550076298354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5.6843418860808015E-14</v>
      </c>
      <c r="AJ78" s="13">
        <f>AI78*VLOOKUP('Données projet'!$B$10,Paramètres!$A$1:$I$89,3,0)*VLOOKUP('Données projet'!$B$10,Paramètres!$A$1:$I$89,5,0)</f>
        <v>4.9658410716801891E-14</v>
      </c>
      <c r="AK78" s="13">
        <f t="shared" si="89"/>
        <v>8.0934058173791862E-13</v>
      </c>
      <c r="AL78" s="20">
        <f t="shared" si="58"/>
        <v>1.4960899118586383E-12</v>
      </c>
      <c r="AM78" s="59">
        <f t="shared" si="59"/>
        <v>293.33333333333479</v>
      </c>
      <c r="AN78" s="59">
        <f ca="1">AVERAGE(OFFSET($AM$3,0,0,'Données projet'!$E$10+1,1))-AVERAGE(OFFSET($H$3,0,0,'Données projet'!$E$10+1,1))</f>
        <v>304.32767345253382</v>
      </c>
      <c r="AO78" s="59">
        <f t="shared" si="90"/>
        <v>427.16091343339173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3.2382072064250016</v>
      </c>
      <c r="AV78" s="21">
        <f>EXP(-LN(2)/25)*AV77+(1-EXP(-LN(2)/25))/(LN(2)/25)*Calculateur!AQ78*Calculateur!AS78*VLOOKUP('Données projet'!$B$10,Paramètres!$A$1:$I$89,3,0)*0.475*44/12</f>
        <v>5.2030512535821387</v>
      </c>
      <c r="AW78" s="21">
        <f>EXP(-LN(2)/2)*AW77+(1-EXP(-LN(2)/2))/(LN(2)/2)*AQ78*AT78*VLOOKUP('Données projet'!$B$10,Paramètres!$A$1:$I$89,3,0)*0.475*44/12</f>
        <v>1.9005140489586361E-6</v>
      </c>
      <c r="AX78" s="21">
        <f t="shared" si="60"/>
        <v>8.4412603605211896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187</v>
      </c>
      <c r="BB78" s="12">
        <f>VLOOKUP(A78,'Données projet'!$A$87:$I$107,9,0)</f>
        <v>3</v>
      </c>
      <c r="BC78" s="12">
        <f t="array" ref="BC78">INDEX(BB:BB,MIN(IF(ISNUMBER(BB78:BB274),ROW(BB78:BB274),"")))</f>
        <v>3</v>
      </c>
      <c r="BD78" s="12">
        <f>IF('Données projet'!$A$88&gt;35,BD77+BC78-BL77,IF(A78&lt;'Données projet'!$A$88,$BA$205^A78,IF(A78='Données projet'!$A$88,'Données projet'!$B$88,BD77+BC78-BL77)))</f>
        <v>187.00000000000003</v>
      </c>
      <c r="BE78" s="13">
        <f>BD78*VLOOKUP('Données projet'!$B$11,Paramètres!$A$1:$I$89,3,0)*VLOOKUP('Données projet'!$B$11,Paramètres!$A$1:$I$89,5,0)</f>
        <v>163.36320000000003</v>
      </c>
      <c r="BF78" s="13">
        <f t="shared" si="91"/>
        <v>41.600173715581626</v>
      </c>
      <c r="BG78" s="20">
        <f t="shared" si="61"/>
        <v>356.97787588797138</v>
      </c>
      <c r="BH78" s="59">
        <f t="shared" si="62"/>
        <v>650.31120922130469</v>
      </c>
      <c r="BI78" s="59">
        <f ca="1">AVERAGE(OFFSET($BH$3,0,0,'Données projet'!$E$11+1,1))-AVERAGE(OFFSET($H$3,0,0,'Données projet'!$E$11+1,1))</f>
        <v>268.31928207836495</v>
      </c>
      <c r="BJ78" s="59">
        <f t="shared" si="92"/>
        <v>277.61304526670204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11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0.84396201486644595</v>
      </c>
      <c r="BQ78" s="21">
        <f>EXP(-LN(2)/25)*BQ77+(1-EXP(-LN(2)/25))/(LN(2)/25)*Calculateur!BL78*Calculateur!BN78*VLOOKUP('Données projet'!$B$11,Paramètres!$A$1:$I$89,3,0)*0.475*44/12</f>
        <v>1.6172813125144594</v>
      </c>
      <c r="BR78" s="21">
        <f>EXP(-LN(2)/2)*BR77+(1-EXP(-LN(2)/2))/(LN(2)/2)*BL78*BO78*VLOOKUP('Données projet'!$B$11,Paramètres!$A$1:$I$89,3,0)*0.475*44/12</f>
        <v>1.3762811071255451E-6</v>
      </c>
      <c r="BS78" s="22">
        <f t="shared" si="63"/>
        <v>2.4612447036620124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214</v>
      </c>
      <c r="BW78" s="12">
        <f>VLOOKUP(A78,'Données projet'!$A$113:$I$133,9,0)</f>
        <v>2.6</v>
      </c>
      <c r="BX78" s="12">
        <f t="array" ref="BX78">INDEX(BW:BW,MIN(IF(ISNUMBER(BW78:BW274),ROW(BW78:BW274),"")))</f>
        <v>2.6</v>
      </c>
      <c r="BY78" s="12">
        <f>IF('Données projet'!$A$114&gt;35,BY77+BX78-CG77,IF(A78&lt;'Données projet'!$A$114,$BV$205^A78,IF(A78='Données projet'!$A$114,'Données projet'!$B$114,BY77+BX78-CG77)))</f>
        <v>214</v>
      </c>
      <c r="BZ78" s="13">
        <f>BY78*VLOOKUP('Données projet'!$B$12,Paramètres!$A$1:$I$89,3,0)*VLOOKUP('Données projet'!$B$12,Paramètres!$A$1:$I$89,5,0)</f>
        <v>170.25839999999999</v>
      </c>
      <c r="CA78" s="13">
        <f t="shared" si="93"/>
        <v>43.147891472685053</v>
      </c>
      <c r="CB78" s="20">
        <f t="shared" si="64"/>
        <v>371.68262431492644</v>
      </c>
      <c r="CC78" s="59">
        <f t="shared" si="65"/>
        <v>665.0159576482597</v>
      </c>
      <c r="CD78" s="59">
        <f ca="1">AVERAGE(OFFSET($CC$3,0,0,'Données projet'!$E$12+1,1))-AVERAGE(OFFSET($H$3,0,0,'Données projet'!$E$12+1,1))</f>
        <v>241.67556898455945</v>
      </c>
      <c r="CE78" s="59">
        <f t="shared" si="94"/>
        <v>237.71070965292648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7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2.590602542774556</v>
      </c>
      <c r="CL78" s="21">
        <f>EXP(-LN(2)/25)*CL77+(1-EXP(-LN(2)/25))/(LN(2)/25)*Calculateur!CG78*Calculateur!CI78*VLOOKUP('Données projet'!$B$12,Paramètres!$A$1:$I$89,3,0)*0.475*44/12</f>
        <v>2.0319635428527656</v>
      </c>
      <c r="CM78" s="21">
        <f>EXP(-LN(2)/2)*CM77+(1-EXP(-LN(2)/2))/(LN(2)/2)*CG78*CJ78*VLOOKUP('Données projet'!$B$12,Paramètres!$A$1:$I$89,3,0)*0.475*44/12</f>
        <v>1.1290010422238508E-6</v>
      </c>
      <c r="CN78" s="22">
        <f t="shared" si="66"/>
        <v>4.6225672146283632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</v>
      </c>
      <c r="N79" s="13">
        <f>IF('Données projet'!$A$36&gt;35,N78+M79-V78,IF(A79&lt;'Données projet'!$A$36,$K$205^A79,IF(A79='Données projet'!$A$36,'Données projet'!$B$36,N78+M79-V78)))</f>
        <v>364.99999999999972</v>
      </c>
      <c r="O79" s="13">
        <f>N79*VLOOKUP('Données projet'!$B$9,Paramètres!$A$1:$I$89,3,0)*VLOOKUP('Données projet'!$B$9,Paramètres!$A$1:$I$89,5,0)</f>
        <v>290.39399999999978</v>
      </c>
      <c r="P79" s="13">
        <f t="shared" si="87"/>
        <v>69.158878594433091</v>
      </c>
      <c r="Q79" s="20">
        <f t="shared" si="54"/>
        <v>626.22126355197054</v>
      </c>
      <c r="R79" s="59">
        <f t="shared" si="55"/>
        <v>919.55459688530391</v>
      </c>
      <c r="S79" s="59">
        <f ca="1">AVERAGE(OFFSET($R$3,0,0,'Données projet'!$E$9+1,1))-AVERAGE(OFFSET($H$3,0,0,'Données projet'!$E$9+1,1))</f>
        <v>405.40026823646758</v>
      </c>
      <c r="T79" s="59">
        <f t="shared" si="88"/>
        <v>393.0787141050053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6.9625496011038317</v>
      </c>
      <c r="AA79" s="21">
        <f>EXP(-LN(2)/25)*AA78+(1-EXP(-LN(2)/25))/(LN(2)/25)*Calculateur!V79*Calculateur!X79*VLOOKUP('Données projet'!$B$9,Paramètres!$A$1:$I$89,3,0)*0.475*44/12</f>
        <v>5.7763412271882144</v>
      </c>
      <c r="AB79" s="21">
        <f>EXP(-LN(2)/2)*AB78+(1-EXP(-LN(2)/2))/(LN(2)/2)*V79*Y79*VLOOKUP('Données projet'!$B$9,Paramètres!$A$1:$I$89,3,0)*0.475*44/12</f>
        <v>1.4102126400570949E-6</v>
      </c>
      <c r="AC79" s="22">
        <f t="shared" si="57"/>
        <v>12.738892238504686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5.6843418860808015E-14</v>
      </c>
      <c r="AJ79" s="13">
        <f>AI79*VLOOKUP('Données projet'!$B$10,Paramètres!$A$1:$I$89,3,0)*VLOOKUP('Données projet'!$B$10,Paramètres!$A$1:$I$89,5,0)</f>
        <v>4.9658410716801891E-14</v>
      </c>
      <c r="AK79" s="13">
        <f t="shared" si="89"/>
        <v>8.0934058173791862E-13</v>
      </c>
      <c r="AL79" s="20">
        <f t="shared" si="58"/>
        <v>1.4960899118586383E-12</v>
      </c>
      <c r="AM79" s="59">
        <f t="shared" si="59"/>
        <v>293.33333333333479</v>
      </c>
      <c r="AN79" s="59">
        <f ca="1">AVERAGE(OFFSET($AM$3,0,0,'Données projet'!$E$10+1,1))-AVERAGE(OFFSET($H$3,0,0,'Données projet'!$E$10+1,1))</f>
        <v>304.32767345253382</v>
      </c>
      <c r="AO79" s="59">
        <f t="shared" si="90"/>
        <v>427.16091343339173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3.1747079382183774</v>
      </c>
      <c r="AV79" s="21">
        <f>EXP(-LN(2)/25)*AV78+(1-EXP(-LN(2)/25))/(LN(2)/25)*Calculateur!AQ79*Calculateur!AS79*VLOOKUP('Données projet'!$B$10,Paramètres!$A$1:$I$89,3,0)*0.475*44/12</f>
        <v>5.0607735434363619</v>
      </c>
      <c r="AW79" s="21">
        <f>EXP(-LN(2)/2)*AW78+(1-EXP(-LN(2)/2))/(LN(2)/2)*AQ79*AT79*VLOOKUP('Données projet'!$B$10,Paramètres!$A$1:$I$89,3,0)*0.475*44/12</f>
        <v>1.3438663717589538E-6</v>
      </c>
      <c r="AX79" s="21">
        <f t="shared" si="60"/>
        <v>8.2354828255211103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2.6</v>
      </c>
      <c r="BD79" s="12">
        <f>IF('Données projet'!$A$88&gt;35,BD78+BC79-BL78,IF(A79&lt;'Données projet'!$A$88,$BA$205^A79,IF(A79='Données projet'!$A$88,'Données projet'!$B$88,BD78+BC79-BL78)))</f>
        <v>178.60000000000002</v>
      </c>
      <c r="BE79" s="13">
        <f>BD79*VLOOKUP('Données projet'!$B$11,Paramètres!$A$1:$I$89,3,0)*VLOOKUP('Données projet'!$B$11,Paramètres!$A$1:$I$89,5,0)</f>
        <v>156.02496000000005</v>
      </c>
      <c r="BF79" s="13">
        <f t="shared" si="91"/>
        <v>39.944625507905997</v>
      </c>
      <c r="BG79" s="20">
        <f t="shared" si="61"/>
        <v>341.31369475960304</v>
      </c>
      <c r="BH79" s="59">
        <f t="shared" si="62"/>
        <v>634.64702809293635</v>
      </c>
      <c r="BI79" s="59">
        <f ca="1">AVERAGE(OFFSET($BH$3,0,0,'Données projet'!$E$11+1,1))-AVERAGE(OFFSET($H$3,0,0,'Données projet'!$E$11+1,1))</f>
        <v>268.31928207836495</v>
      </c>
      <c r="BJ79" s="59">
        <f t="shared" si="92"/>
        <v>277.61304526670204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0.82741243452091506</v>
      </c>
      <c r="BQ79" s="21">
        <f>EXP(-LN(2)/25)*BQ78+(1-EXP(-LN(2)/25))/(LN(2)/25)*Calculateur!BL79*Calculateur!BN79*VLOOKUP('Données projet'!$B$11,Paramètres!$A$1:$I$89,3,0)*0.475*44/12</f>
        <v>1.5730566699746236</v>
      </c>
      <c r="BR79" s="21">
        <f>EXP(-LN(2)/2)*BR78+(1-EXP(-LN(2)/2))/(LN(2)/2)*BL79*BO79*VLOOKUP('Données projet'!$B$11,Paramètres!$A$1:$I$89,3,0)*0.475*44/12</f>
        <v>9.7317770366740221E-7</v>
      </c>
      <c r="BS79" s="22">
        <f t="shared" si="63"/>
        <v>2.4004700776732424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2.4</v>
      </c>
      <c r="BY79" s="12">
        <f>IF('Données projet'!$A$114&gt;35,BY78+BX79-CG78,IF(A79&lt;'Données projet'!$A$114,$BV$205^A79,IF(A79='Données projet'!$A$114,'Données projet'!$B$114,BY78+BX79-CG78)))</f>
        <v>209.4</v>
      </c>
      <c r="BZ79" s="13">
        <f>BY79*VLOOKUP('Données projet'!$B$12,Paramètres!$A$1:$I$89,3,0)*VLOOKUP('Données projet'!$B$12,Paramètres!$A$1:$I$89,5,0)</f>
        <v>166.59864000000002</v>
      </c>
      <c r="CA79" s="13">
        <f t="shared" si="93"/>
        <v>42.327338338081049</v>
      </c>
      <c r="CB79" s="20">
        <f t="shared" si="64"/>
        <v>363.87941227215782</v>
      </c>
      <c r="CC79" s="59">
        <f t="shared" si="65"/>
        <v>657.21274560549114</v>
      </c>
      <c r="CD79" s="59">
        <f ca="1">AVERAGE(OFFSET($CC$3,0,0,'Données projet'!$E$12+1,1))-AVERAGE(OFFSET($H$3,0,0,'Données projet'!$E$12+1,1))</f>
        <v>241.67556898455945</v>
      </c>
      <c r="CE79" s="59">
        <f t="shared" si="94"/>
        <v>237.71070965292648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2.5398024070222749</v>
      </c>
      <c r="CL79" s="21">
        <f>EXP(-LN(2)/25)*CL78+(1-EXP(-LN(2)/25))/(LN(2)/25)*Calculateur!CG79*Calculateur!CI79*VLOOKUP('Données projet'!$B$12,Paramètres!$A$1:$I$89,3,0)*0.475*44/12</f>
        <v>1.9763993929171382</v>
      </c>
      <c r="CM79" s="21">
        <f>EXP(-LN(2)/2)*CM78+(1-EXP(-LN(2)/2))/(LN(2)/2)*CG79*CJ79*VLOOKUP('Données projet'!$B$12,Paramètres!$A$1:$I$89,3,0)*0.475*44/12</f>
        <v>7.9832429292316456E-7</v>
      </c>
      <c r="CN79" s="22">
        <f t="shared" si="66"/>
        <v>4.516202598263706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</v>
      </c>
      <c r="N80" s="13">
        <f>IF('Données projet'!$A$36&gt;35,N79+M80-V79,IF(A80&lt;'Données projet'!$A$36,$K$205^A80,IF(A80='Données projet'!$A$36,'Données projet'!$B$36,N79+M80-V79)))</f>
        <v>368.99999999999972</v>
      </c>
      <c r="O80" s="13">
        <f>N80*VLOOKUP('Données projet'!$B$9,Paramètres!$A$1:$I$89,3,0)*VLOOKUP('Données projet'!$B$9,Paramètres!$A$1:$I$89,5,0)</f>
        <v>293.57639999999981</v>
      </c>
      <c r="P80" s="13">
        <f t="shared" si="87"/>
        <v>69.828138511965548</v>
      </c>
      <c r="Q80" s="20">
        <f t="shared" si="54"/>
        <v>632.92957124167299</v>
      </c>
      <c r="R80" s="59">
        <f t="shared" si="55"/>
        <v>926.26290457500636</v>
      </c>
      <c r="S80" s="59">
        <f ca="1">AVERAGE(OFFSET($R$3,0,0,'Données projet'!$E$9+1,1))-AVERAGE(OFFSET($H$3,0,0,'Données projet'!$E$9+1,1))</f>
        <v>405.40026823646758</v>
      </c>
      <c r="T80" s="59">
        <f t="shared" si="88"/>
        <v>393.0787141050053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6.8260182501621118</v>
      </c>
      <c r="AA80" s="21">
        <f>EXP(-LN(2)/25)*AA79+(1-EXP(-LN(2)/25))/(LN(2)/25)*Calculateur!V80*Calculateur!X80*VLOOKUP('Données projet'!$B$9,Paramètres!$A$1:$I$89,3,0)*0.475*44/12</f>
        <v>5.6183868725661696</v>
      </c>
      <c r="AB80" s="21">
        <f>EXP(-LN(2)/2)*AB79+(1-EXP(-LN(2)/2))/(LN(2)/2)*V80*Y80*VLOOKUP('Données projet'!$B$9,Paramètres!$A$1:$I$89,3,0)*0.475*44/12</f>
        <v>9.9717092069935564E-7</v>
      </c>
      <c r="AC80" s="22">
        <f t="shared" si="57"/>
        <v>12.444406119899201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5.6843418860808015E-14</v>
      </c>
      <c r="AJ80" s="13">
        <f>AI80*VLOOKUP('Données projet'!$B$10,Paramètres!$A$1:$I$89,3,0)*VLOOKUP('Données projet'!$B$10,Paramètres!$A$1:$I$89,5,0)</f>
        <v>4.9658410716801891E-14</v>
      </c>
      <c r="AK80" s="13">
        <f t="shared" si="89"/>
        <v>8.0934058173791862E-13</v>
      </c>
      <c r="AL80" s="20">
        <f t="shared" si="58"/>
        <v>1.4960899118586383E-12</v>
      </c>
      <c r="AM80" s="59">
        <f t="shared" si="59"/>
        <v>293.33333333333479</v>
      </c>
      <c r="AN80" s="59">
        <f ca="1">AVERAGE(OFFSET($AM$3,0,0,'Données projet'!$E$10+1,1))-AVERAGE(OFFSET($H$3,0,0,'Données projet'!$E$10+1,1))</f>
        <v>304.32767345253382</v>
      </c>
      <c r="AO80" s="59">
        <f t="shared" si="90"/>
        <v>427.16091343339173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3.1124538519305558</v>
      </c>
      <c r="AV80" s="21">
        <f>EXP(-LN(2)/25)*AV79+(1-EXP(-LN(2)/25))/(LN(2)/25)*Calculateur!AQ80*Calculateur!AS80*VLOOKUP('Données projet'!$B$10,Paramètres!$A$1:$I$89,3,0)*0.475*44/12</f>
        <v>4.9223864247565805</v>
      </c>
      <c r="AW80" s="21">
        <f>EXP(-LN(2)/2)*AW79+(1-EXP(-LN(2)/2))/(LN(2)/2)*AQ80*AT80*VLOOKUP('Données projet'!$B$10,Paramètres!$A$1:$I$89,3,0)*0.475*44/12</f>
        <v>9.5025702447931815E-7</v>
      </c>
      <c r="AX80" s="21">
        <f t="shared" si="60"/>
        <v>8.0348412269441614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2.6</v>
      </c>
      <c r="BD80" s="12">
        <f>IF('Données projet'!$A$88&gt;35,BD79+BC80-BL79,IF(A80&lt;'Données projet'!$A$88,$BA$205^A80,IF(A80='Données projet'!$A$88,'Données projet'!$B$88,BD79+BC80-BL79)))</f>
        <v>181.20000000000002</v>
      </c>
      <c r="BE80" s="13">
        <f>BD80*VLOOKUP('Données projet'!$B$11,Paramètres!$A$1:$I$89,3,0)*VLOOKUP('Données projet'!$B$11,Paramètres!$A$1:$I$89,5,0)</f>
        <v>158.29632000000004</v>
      </c>
      <c r="BF80" s="13">
        <f t="shared" si="91"/>
        <v>40.458006540983739</v>
      </c>
      <c r="BG80" s="20">
        <f t="shared" si="61"/>
        <v>346.16378539221341</v>
      </c>
      <c r="BH80" s="59">
        <f t="shared" si="62"/>
        <v>639.49711872554667</v>
      </c>
      <c r="BI80" s="59">
        <f ca="1">AVERAGE(OFFSET($BH$3,0,0,'Données projet'!$E$11+1,1))-AVERAGE(OFFSET($H$3,0,0,'Données projet'!$E$11+1,1))</f>
        <v>268.31928207836495</v>
      </c>
      <c r="BJ80" s="59">
        <f t="shared" si="92"/>
        <v>277.61304526670204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0.81118738135171276</v>
      </c>
      <c r="BQ80" s="21">
        <f>EXP(-LN(2)/25)*BQ79+(1-EXP(-LN(2)/25))/(LN(2)/25)*Calculateur!BL80*Calculateur!BN80*VLOOKUP('Données projet'!$B$11,Paramètres!$A$1:$I$89,3,0)*0.475*44/12</f>
        <v>1.5300413526107124</v>
      </c>
      <c r="BR80" s="21">
        <f>EXP(-LN(2)/2)*BR79+(1-EXP(-LN(2)/2))/(LN(2)/2)*BL80*BO80*VLOOKUP('Données projet'!$B$11,Paramètres!$A$1:$I$89,3,0)*0.475*44/12</f>
        <v>6.8814055356277257E-7</v>
      </c>
      <c r="BS80" s="22">
        <f t="shared" si="63"/>
        <v>2.3412294221029786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2.4</v>
      </c>
      <c r="BY80" s="12">
        <f>IF('Données projet'!$A$114&gt;35,BY79+BX80-CG79,IF(A80&lt;'Données projet'!$A$114,$BV$205^A80,IF(A80='Données projet'!$A$114,'Données projet'!$B$114,BY79+BX80-CG79)))</f>
        <v>211.8</v>
      </c>
      <c r="BZ80" s="13">
        <f>BY80*VLOOKUP('Données projet'!$B$12,Paramètres!$A$1:$I$89,3,0)*VLOOKUP('Données projet'!$B$12,Paramètres!$A$1:$I$89,5,0)</f>
        <v>168.50808000000001</v>
      </c>
      <c r="CA80" s="13">
        <f t="shared" si="93"/>
        <v>42.755711908378153</v>
      </c>
      <c r="CB80" s="20">
        <f t="shared" si="64"/>
        <v>367.95110424042531</v>
      </c>
      <c r="CC80" s="59">
        <f t="shared" si="65"/>
        <v>661.28443757375862</v>
      </c>
      <c r="CD80" s="59">
        <f ca="1">AVERAGE(OFFSET($CC$3,0,0,'Données projet'!$E$12+1,1))-AVERAGE(OFFSET($H$3,0,0,'Données projet'!$E$12+1,1))</f>
        <v>241.67556898455945</v>
      </c>
      <c r="CE80" s="59">
        <f t="shared" si="94"/>
        <v>237.71070965292648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2.4899984309470726</v>
      </c>
      <c r="CL80" s="21">
        <f>EXP(-LN(2)/25)*CL79+(1-EXP(-LN(2)/25))/(LN(2)/25)*Calculateur!CG80*Calculateur!CI80*VLOOKUP('Données projet'!$B$12,Paramètres!$A$1:$I$89,3,0)*0.475*44/12</f>
        <v>1.9223546475834921</v>
      </c>
      <c r="CM80" s="21">
        <f>EXP(-LN(2)/2)*CM79+(1-EXP(-LN(2)/2))/(LN(2)/2)*CG80*CJ80*VLOOKUP('Données projet'!$B$12,Paramètres!$A$1:$I$89,3,0)*0.475*44/12</f>
        <v>5.6450052111192539E-7</v>
      </c>
      <c r="CN80" s="22">
        <f t="shared" si="66"/>
        <v>4.4123536430310857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</v>
      </c>
      <c r="N81" s="13">
        <f>IF('Données projet'!$A$36&gt;35,N80+M81-V80,IF(A81&lt;'Données projet'!$A$36,$K$205^A81,IF(A81='Données projet'!$A$36,'Données projet'!$B$36,N80+M81-V80)))</f>
        <v>372.99999999999972</v>
      </c>
      <c r="O81" s="13">
        <f>N81*VLOOKUP('Données projet'!$B$9,Paramètres!$A$1:$I$89,3,0)*VLOOKUP('Données projet'!$B$9,Paramètres!$A$1:$I$89,5,0)</f>
        <v>296.75879999999978</v>
      </c>
      <c r="P81" s="13">
        <f t="shared" si="87"/>
        <v>70.496554480015604</v>
      </c>
      <c r="Q81" s="20">
        <f t="shared" si="54"/>
        <v>639.63640905269347</v>
      </c>
      <c r="R81" s="59">
        <f t="shared" si="55"/>
        <v>932.96974238602684</v>
      </c>
      <c r="S81" s="59">
        <f ca="1">AVERAGE(OFFSET($R$3,0,0,'Données projet'!$E$9+1,1))-AVERAGE(OFFSET($H$3,0,0,'Données projet'!$E$9+1,1))</f>
        <v>405.40026823646758</v>
      </c>
      <c r="T81" s="59">
        <f t="shared" si="88"/>
        <v>393.0787141050053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6.6921641957364582</v>
      </c>
      <c r="AA81" s="21">
        <f>EXP(-LN(2)/25)*AA80+(1-EXP(-LN(2)/25))/(LN(2)/25)*Calculateur!V81*Calculateur!X81*VLOOKUP('Données projet'!$B$9,Paramètres!$A$1:$I$89,3,0)*0.475*44/12</f>
        <v>5.4647517880777228</v>
      </c>
      <c r="AB81" s="21">
        <f>EXP(-LN(2)/2)*AB80+(1-EXP(-LN(2)/2))/(LN(2)/2)*V81*Y81*VLOOKUP('Données projet'!$B$9,Paramètres!$A$1:$I$89,3,0)*0.475*44/12</f>
        <v>7.0510632002854743E-7</v>
      </c>
      <c r="AC81" s="22">
        <f t="shared" si="57"/>
        <v>12.1569166889205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5.6843418860808015E-14</v>
      </c>
      <c r="AJ81" s="13">
        <f>AI81*VLOOKUP('Données projet'!$B$10,Paramètres!$A$1:$I$89,3,0)*VLOOKUP('Données projet'!$B$10,Paramètres!$A$1:$I$89,5,0)</f>
        <v>4.9658410716801891E-14</v>
      </c>
      <c r="AK81" s="13">
        <f t="shared" si="89"/>
        <v>8.0934058173791862E-13</v>
      </c>
      <c r="AL81" s="20">
        <f t="shared" si="58"/>
        <v>1.4960899118586383E-12</v>
      </c>
      <c r="AM81" s="59">
        <f t="shared" si="59"/>
        <v>293.33333333333479</v>
      </c>
      <c r="AN81" s="59">
        <f ca="1">AVERAGE(OFFSET($AM$3,0,0,'Données projet'!$E$10+1,1))-AVERAGE(OFFSET($H$3,0,0,'Données projet'!$E$10+1,1))</f>
        <v>304.32767345253382</v>
      </c>
      <c r="AO81" s="59">
        <f t="shared" si="90"/>
        <v>427.16091343339173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3.0514205303035951</v>
      </c>
      <c r="AV81" s="21">
        <f>EXP(-LN(2)/25)*AV80+(1-EXP(-LN(2)/25))/(LN(2)/25)*Calculateur!AQ81*Calculateur!AS81*VLOOKUP('Données projet'!$B$10,Paramètres!$A$1:$I$89,3,0)*0.475*44/12</f>
        <v>4.7877835091145604</v>
      </c>
      <c r="AW81" s="21">
        <f>EXP(-LN(2)/2)*AW80+(1-EXP(-LN(2)/2))/(LN(2)/2)*AQ81*AT81*VLOOKUP('Données projet'!$B$10,Paramètres!$A$1:$I$89,3,0)*0.475*44/12</f>
        <v>6.7193318587947703E-7</v>
      </c>
      <c r="AX81" s="21">
        <f t="shared" si="60"/>
        <v>7.839204711351341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2.6</v>
      </c>
      <c r="BD81" s="12">
        <f>IF('Données projet'!$A$88&gt;35,BD80+BC81-BL80,IF(A81&lt;'Données projet'!$A$88,$BA$205^A81,IF(A81='Données projet'!$A$88,'Données projet'!$B$88,BD80+BC81-BL80)))</f>
        <v>183.8</v>
      </c>
      <c r="BE81" s="13">
        <f>BD81*VLOOKUP('Données projet'!$B$11,Paramètres!$A$1:$I$89,3,0)*VLOOKUP('Données projet'!$B$11,Paramètres!$A$1:$I$89,5,0)</f>
        <v>160.56768000000002</v>
      </c>
      <c r="BF81" s="13">
        <f t="shared" si="91"/>
        <v>40.970530810309882</v>
      </c>
      <c r="BG81" s="20">
        <f t="shared" si="61"/>
        <v>351.0123838279564</v>
      </c>
      <c r="BH81" s="59">
        <f t="shared" si="62"/>
        <v>644.34571716128971</v>
      </c>
      <c r="BI81" s="59">
        <f ca="1">AVERAGE(OFFSET($BH$3,0,0,'Données projet'!$E$11+1,1))-AVERAGE(OFFSET($H$3,0,0,'Données projet'!$E$11+1,1))</f>
        <v>268.31928207836495</v>
      </c>
      <c r="BJ81" s="59">
        <f t="shared" si="92"/>
        <v>277.61304526670204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0.79528049157885328</v>
      </c>
      <c r="BQ81" s="21">
        <f>EXP(-LN(2)/25)*BQ80+(1-EXP(-LN(2)/25))/(LN(2)/25)*Calculateur!BL81*Calculateur!BN81*VLOOKUP('Données projet'!$B$11,Paramètres!$A$1:$I$89,3,0)*0.475*44/12</f>
        <v>1.4882022913621946</v>
      </c>
      <c r="BR81" s="21">
        <f>EXP(-LN(2)/2)*BR80+(1-EXP(-LN(2)/2))/(LN(2)/2)*BL81*BO81*VLOOKUP('Données projet'!$B$11,Paramètres!$A$1:$I$89,3,0)*0.475*44/12</f>
        <v>4.865888518337011E-7</v>
      </c>
      <c r="BS81" s="22">
        <f t="shared" si="63"/>
        <v>2.2834832695298997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2.4</v>
      </c>
      <c r="BY81" s="12">
        <f>IF('Données projet'!$A$114&gt;35,BY80+BX81-CG80,IF(A81&lt;'Données projet'!$A$114,$BV$205^A81,IF(A81='Données projet'!$A$114,'Données projet'!$B$114,BY80+BX81-CG80)))</f>
        <v>214.20000000000002</v>
      </c>
      <c r="BZ81" s="13">
        <f>BY81*VLOOKUP('Données projet'!$B$12,Paramètres!$A$1:$I$89,3,0)*VLOOKUP('Données projet'!$B$12,Paramètres!$A$1:$I$89,5,0)</f>
        <v>170.41752000000002</v>
      </c>
      <c r="CA81" s="13">
        <f t="shared" si="93"/>
        <v>43.183520822110523</v>
      </c>
      <c r="CB81" s="20">
        <f t="shared" si="64"/>
        <v>372.02181276517587</v>
      </c>
      <c r="CC81" s="59">
        <f t="shared" si="65"/>
        <v>665.35514609850918</v>
      </c>
      <c r="CD81" s="59">
        <f ca="1">AVERAGE(OFFSET($CC$3,0,0,'Données projet'!$E$12+1,1))-AVERAGE(OFFSET($H$3,0,0,'Données projet'!$E$12+1,1))</f>
        <v>241.67556898455945</v>
      </c>
      <c r="CE81" s="59">
        <f t="shared" si="94"/>
        <v>237.71070965292648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2.4411710804652795</v>
      </c>
      <c r="CL81" s="21">
        <f>EXP(-LN(2)/25)*CL80+(1-EXP(-LN(2)/25))/(LN(2)/25)*Calculateur!CG81*Calculateur!CI81*VLOOKUP('Données projet'!$B$12,Paramètres!$A$1:$I$89,3,0)*0.475*44/12</f>
        <v>1.8697877586530842</v>
      </c>
      <c r="CM81" s="21">
        <f>EXP(-LN(2)/2)*CM80+(1-EXP(-LN(2)/2))/(LN(2)/2)*CG81*CJ81*VLOOKUP('Données projet'!$B$12,Paramètres!$A$1:$I$89,3,0)*0.475*44/12</f>
        <v>3.9916214646158228E-7</v>
      </c>
      <c r="CN81" s="22">
        <f t="shared" si="66"/>
        <v>4.3109592382805104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</v>
      </c>
      <c r="N82" s="13">
        <f>IF('Données projet'!$A$36&gt;35,N81+M82-V81,IF(A82&lt;'Données projet'!$A$36,$K$205^A82,IF(A82='Données projet'!$A$36,'Données projet'!$B$36,N81+M82-V81)))</f>
        <v>376.99999999999972</v>
      </c>
      <c r="O82" s="13">
        <f>N82*VLOOKUP('Données projet'!$B$9,Paramètres!$A$1:$I$89,3,0)*VLOOKUP('Données projet'!$B$9,Paramètres!$A$1:$I$89,5,0)</f>
        <v>299.94119999999981</v>
      </c>
      <c r="P82" s="13">
        <f t="shared" si="87"/>
        <v>71.164136596531506</v>
      </c>
      <c r="Q82" s="20">
        <f t="shared" si="54"/>
        <v>646.34179457229197</v>
      </c>
      <c r="R82" s="59">
        <f t="shared" si="55"/>
        <v>939.67512790562523</v>
      </c>
      <c r="S82" s="59">
        <f ca="1">AVERAGE(OFFSET($R$3,0,0,'Données projet'!$E$9+1,1))-AVERAGE(OFFSET($H$3,0,0,'Données projet'!$E$9+1,1))</f>
        <v>405.40026823646758</v>
      </c>
      <c r="T82" s="59">
        <f t="shared" si="88"/>
        <v>393.0787141050053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6.5609349376751798</v>
      </c>
      <c r="AA82" s="21">
        <f>EXP(-LN(2)/25)*AA81+(1-EXP(-LN(2)/25))/(LN(2)/25)*Calculateur!V82*Calculateur!X82*VLOOKUP('Données projet'!$B$9,Paramètres!$A$1:$I$89,3,0)*0.475*44/12</f>
        <v>5.3153178630539308</v>
      </c>
      <c r="AB82" s="21">
        <f>EXP(-LN(2)/2)*AB81+(1-EXP(-LN(2)/2))/(LN(2)/2)*V82*Y82*VLOOKUP('Données projet'!$B$9,Paramètres!$A$1:$I$89,3,0)*0.475*44/12</f>
        <v>4.9858546034967782E-7</v>
      </c>
      <c r="AC82" s="22">
        <f t="shared" si="57"/>
        <v>11.876253299314572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5.6843418860808015E-14</v>
      </c>
      <c r="AJ82" s="13">
        <f>AI82*VLOOKUP('Données projet'!$B$10,Paramètres!$A$1:$I$89,3,0)*VLOOKUP('Données projet'!$B$10,Paramètres!$A$1:$I$89,5,0)</f>
        <v>4.9658410716801891E-14</v>
      </c>
      <c r="AK82" s="13">
        <f t="shared" si="89"/>
        <v>8.0934058173791862E-13</v>
      </c>
      <c r="AL82" s="20">
        <f t="shared" si="58"/>
        <v>1.4960899118586383E-12</v>
      </c>
      <c r="AM82" s="59">
        <f t="shared" si="59"/>
        <v>293.33333333333479</v>
      </c>
      <c r="AN82" s="59">
        <f ca="1">AVERAGE(OFFSET($AM$3,0,0,'Données projet'!$E$10+1,1))-AVERAGE(OFFSET($H$3,0,0,'Données projet'!$E$10+1,1))</f>
        <v>304.32767345253382</v>
      </c>
      <c r="AO82" s="59">
        <f t="shared" si="90"/>
        <v>427.16091343339173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2.9915840348870884</v>
      </c>
      <c r="AV82" s="21">
        <f>EXP(-LN(2)/25)*AV81+(1-EXP(-LN(2)/25))/(LN(2)/25)*Calculateur!AQ82*Calculateur!AS82*VLOOKUP('Données projet'!$B$10,Paramètres!$A$1:$I$89,3,0)*0.475*44/12</f>
        <v>4.6568613172792306</v>
      </c>
      <c r="AW82" s="21">
        <f>EXP(-LN(2)/2)*AW81+(1-EXP(-LN(2)/2))/(LN(2)/2)*AQ82*AT82*VLOOKUP('Données projet'!$B$10,Paramètres!$A$1:$I$89,3,0)*0.475*44/12</f>
        <v>4.7512851223965918E-7</v>
      </c>
      <c r="AX82" s="21">
        <f t="shared" si="60"/>
        <v>7.6484458272948315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2.6</v>
      </c>
      <c r="BD82" s="12">
        <f>IF('Données projet'!$A$88&gt;35,BD81+BC82-BL81,IF(A82&lt;'Données projet'!$A$88,$BA$205^A82,IF(A82='Données projet'!$A$88,'Données projet'!$B$88,BD81+BC82-BL81)))</f>
        <v>186.4</v>
      </c>
      <c r="BE82" s="13">
        <f>BD82*VLOOKUP('Données projet'!$B$11,Paramètres!$A$1:$I$89,3,0)*VLOOKUP('Données projet'!$B$11,Paramètres!$A$1:$I$89,5,0)</f>
        <v>162.83904000000004</v>
      </c>
      <c r="BF82" s="13">
        <f t="shared" si="91"/>
        <v>41.482211836000111</v>
      </c>
      <c r="BG82" s="20">
        <f t="shared" si="61"/>
        <v>355.85951361436696</v>
      </c>
      <c r="BH82" s="59">
        <f t="shared" si="62"/>
        <v>649.19284694770022</v>
      </c>
      <c r="BI82" s="59">
        <f ca="1">AVERAGE(OFFSET($BH$3,0,0,'Données projet'!$E$11+1,1))-AVERAGE(OFFSET($H$3,0,0,'Données projet'!$E$11+1,1))</f>
        <v>268.31928207836495</v>
      </c>
      <c r="BJ82" s="59">
        <f t="shared" si="92"/>
        <v>277.61304526670204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0.77968552621219478</v>
      </c>
      <c r="BQ82" s="21">
        <f>EXP(-LN(2)/25)*BQ81+(1-EXP(-LN(2)/25))/(LN(2)/25)*Calculateur!BL82*Calculateur!BN82*VLOOKUP('Données projet'!$B$11,Paramètres!$A$1:$I$89,3,0)*0.475*44/12</f>
        <v>1.4475073214437382</v>
      </c>
      <c r="BR82" s="21">
        <f>EXP(-LN(2)/2)*BR81+(1-EXP(-LN(2)/2))/(LN(2)/2)*BL82*BO82*VLOOKUP('Données projet'!$B$11,Paramètres!$A$1:$I$89,3,0)*0.475*44/12</f>
        <v>3.4407027678138628E-7</v>
      </c>
      <c r="BS82" s="22">
        <f t="shared" si="63"/>
        <v>2.2271931917262098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2.4</v>
      </c>
      <c r="BY82" s="12">
        <f>IF('Données projet'!$A$114&gt;35,BY81+BX82-CG81,IF(A82&lt;'Données projet'!$A$114,$BV$205^A82,IF(A82='Données projet'!$A$114,'Données projet'!$B$114,BY81+BX82-CG81)))</f>
        <v>216.60000000000002</v>
      </c>
      <c r="BZ82" s="13">
        <f>BY82*VLOOKUP('Données projet'!$B$12,Paramètres!$A$1:$I$89,3,0)*VLOOKUP('Données projet'!$B$12,Paramètres!$A$1:$I$89,5,0)</f>
        <v>172.32696000000001</v>
      </c>
      <c r="CA82" s="13">
        <f t="shared" si="93"/>
        <v>43.61077213808133</v>
      </c>
      <c r="CB82" s="20">
        <f t="shared" si="64"/>
        <v>376.09155014049162</v>
      </c>
      <c r="CC82" s="59">
        <f t="shared" si="65"/>
        <v>669.42488347382493</v>
      </c>
      <c r="CD82" s="59">
        <f ca="1">AVERAGE(OFFSET($CC$3,0,0,'Données projet'!$E$12+1,1))-AVERAGE(OFFSET($H$3,0,0,'Données projet'!$E$12+1,1))</f>
        <v>241.67556898455945</v>
      </c>
      <c r="CE82" s="59">
        <f t="shared" si="94"/>
        <v>237.71070965292648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2.3933012045446911</v>
      </c>
      <c r="CL82" s="21">
        <f>EXP(-LN(2)/25)*CL81+(1-EXP(-LN(2)/25))/(LN(2)/25)*Calculateur!CG82*Calculateur!CI82*VLOOKUP('Données projet'!$B$12,Paramètres!$A$1:$I$89,3,0)*0.475*44/12</f>
        <v>1.8186583140648509</v>
      </c>
      <c r="CM82" s="21">
        <f>EXP(-LN(2)/2)*CM81+(1-EXP(-LN(2)/2))/(LN(2)/2)*CG82*CJ82*VLOOKUP('Données projet'!$B$12,Paramètres!$A$1:$I$89,3,0)*0.475*44/12</f>
        <v>2.8225026055596269E-7</v>
      </c>
      <c r="CN82" s="22">
        <f t="shared" si="66"/>
        <v>4.2119598008598027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381</v>
      </c>
      <c r="L83" s="12">
        <f>VLOOKUP(A83,'Données projet'!$A$35:$I$55,9,0)</f>
        <v>4</v>
      </c>
      <c r="M83" s="12">
        <f t="array" ref="M83">INDEX(L:L,MIN(IF(ISNUMBER(L83:L279),ROW(L83:L279),"")))</f>
        <v>4</v>
      </c>
      <c r="N83" s="13">
        <f>IF('Données projet'!$A$36&gt;35,N82+M83-V82,IF(A83&lt;'Données projet'!$A$36,$K$205^A83,IF(A83='Données projet'!$A$36,'Données projet'!$B$36,N82+M83-V82)))</f>
        <v>380.99999999999972</v>
      </c>
      <c r="O83" s="13">
        <f>N83*VLOOKUP('Données projet'!$B$9,Paramètres!$A$1:$I$89,3,0)*VLOOKUP('Données projet'!$B$9,Paramètres!$A$1:$I$89,5,0)</f>
        <v>303.12359999999978</v>
      </c>
      <c r="P83" s="13">
        <f t="shared" si="87"/>
        <v>71.830894732837621</v>
      </c>
      <c r="Q83" s="20">
        <f t="shared" si="54"/>
        <v>653.0457449930251</v>
      </c>
      <c r="R83" s="59">
        <f t="shared" si="55"/>
        <v>946.37907832635847</v>
      </c>
      <c r="S83" s="59">
        <f ca="1">AVERAGE(OFFSET($R$3,0,0,'Données projet'!$E$9+1,1))-AVERAGE(OFFSET($H$3,0,0,'Données projet'!$E$9+1,1))</f>
        <v>405.40026823646758</v>
      </c>
      <c r="T83" s="59">
        <f t="shared" si="88"/>
        <v>393.0787141050053</v>
      </c>
      <c r="U83" s="15">
        <f>IF(ISNA(VLOOKUP(A83,'Données projet'!$A$35:$I$55,3,0)),0,VLOOKUP(A83,'Données projet'!$A$35:$I$55,3,0))</f>
        <v>15</v>
      </c>
      <c r="V83" s="15">
        <f>IF(ISNA(VLOOKUP(A83,'Données projet'!$A$35:$I$55,4,0)),0,VLOOKUP(A83,'Données projet'!$A$35:$I$55,4,0))</f>
        <v>381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6.4322790053225392</v>
      </c>
      <c r="AA83" s="21">
        <f>EXP(-LN(2)/25)*AA82+(1-EXP(-LN(2)/25))/(LN(2)/25)*Calculateur!V83*Calculateur!X83*VLOOKUP('Données projet'!$B$9,Paramètres!$A$1:$I$89,3,0)*0.475*44/12</f>
        <v>5.169970216568303</v>
      </c>
      <c r="AB83" s="21">
        <f>EXP(-LN(2)/2)*AB82+(1-EXP(-LN(2)/2))/(LN(2)/2)*V83*Y83*VLOOKUP('Données projet'!$B$9,Paramètres!$A$1:$I$89,3,0)*0.475*44/12</f>
        <v>3.5255316001427371E-7</v>
      </c>
      <c r="AC83" s="22">
        <f t="shared" si="57"/>
        <v>11.602249574444002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5.6843418860808015E-14</v>
      </c>
      <c r="AJ83" s="13">
        <f>AI83*VLOOKUP('Données projet'!$B$10,Paramètres!$A$1:$I$89,3,0)*VLOOKUP('Données projet'!$B$10,Paramètres!$A$1:$I$89,5,0)</f>
        <v>4.9658410716801891E-14</v>
      </c>
      <c r="AK83" s="13">
        <f t="shared" si="89"/>
        <v>8.0934058173791862E-13</v>
      </c>
      <c r="AL83" s="20">
        <f t="shared" si="58"/>
        <v>1.4960899118586383E-12</v>
      </c>
      <c r="AM83" s="59">
        <f t="shared" si="59"/>
        <v>293.33333333333479</v>
      </c>
      <c r="AN83" s="59">
        <f ca="1">AVERAGE(OFFSET($AM$3,0,0,'Données projet'!$E$10+1,1))-AVERAGE(OFFSET($H$3,0,0,'Données projet'!$E$10+1,1))</f>
        <v>304.32767345253382</v>
      </c>
      <c r="AO83" s="59">
        <f t="shared" si="90"/>
        <v>427.16091343339173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2.932920896649041</v>
      </c>
      <c r="AV83" s="21">
        <f>EXP(-LN(2)/25)*AV82+(1-EXP(-LN(2)/25))/(LN(2)/25)*Calculateur!AQ83*Calculateur!AS83*VLOOKUP('Données projet'!$B$10,Paramètres!$A$1:$I$89,3,0)*0.475*44/12</f>
        <v>4.529519199664537</v>
      </c>
      <c r="AW83" s="21">
        <f>EXP(-LN(2)/2)*AW82+(1-EXP(-LN(2)/2))/(LN(2)/2)*AQ83*AT83*VLOOKUP('Données projet'!$B$10,Paramètres!$A$1:$I$89,3,0)*0.475*44/12</f>
        <v>3.3596659293973857E-7</v>
      </c>
      <c r="AX83" s="21">
        <f t="shared" si="60"/>
        <v>7.4624404322801716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189</v>
      </c>
      <c r="BB83" s="12">
        <f>VLOOKUP(A83,'Données projet'!$A$87:$I$107,9,0)</f>
        <v>2.6</v>
      </c>
      <c r="BC83" s="12">
        <f t="array" ref="BC83">INDEX(BB:BB,MIN(IF(ISNUMBER(BB83:BB279),ROW(BB83:BB279),"")))</f>
        <v>2.6</v>
      </c>
      <c r="BD83" s="12">
        <f>IF('Données projet'!$A$88&gt;35,BD82+BC83-BL82,IF(A83&lt;'Données projet'!$A$88,$BA$205^A83,IF(A83='Données projet'!$A$88,'Données projet'!$B$88,BD82+BC83-BL82)))</f>
        <v>189</v>
      </c>
      <c r="BE83" s="13">
        <f>BD83*VLOOKUP('Données projet'!$B$11,Paramètres!$A$1:$I$89,3,0)*VLOOKUP('Données projet'!$B$11,Paramètres!$A$1:$I$89,5,0)</f>
        <v>165.1104</v>
      </c>
      <c r="BF83" s="13">
        <f t="shared" si="91"/>
        <v>41.993062739333446</v>
      </c>
      <c r="BG83" s="20">
        <f t="shared" si="61"/>
        <v>360.70519760433905</v>
      </c>
      <c r="BH83" s="59">
        <f t="shared" si="62"/>
        <v>654.03853093767236</v>
      </c>
      <c r="BI83" s="59">
        <f ca="1">AVERAGE(OFFSET($BH$3,0,0,'Données projet'!$E$11+1,1))-AVERAGE(OFFSET($H$3,0,0,'Données projet'!$E$11+1,1))</f>
        <v>268.31928207836495</v>
      </c>
      <c r="BJ83" s="59">
        <f t="shared" si="92"/>
        <v>277.61304526670204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9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0.76439636860438687</v>
      </c>
      <c r="BQ83" s="21">
        <f>EXP(-LN(2)/25)*BQ82+(1-EXP(-LN(2)/25))/(LN(2)/25)*Calculateur!BL83*Calculateur!BN83*VLOOKUP('Données projet'!$B$11,Paramètres!$A$1:$I$89,3,0)*0.475*44/12</f>
        <v>1.4079251576177574</v>
      </c>
      <c r="BR83" s="21">
        <f>EXP(-LN(2)/2)*BR82+(1-EXP(-LN(2)/2))/(LN(2)/2)*BL83*BO83*VLOOKUP('Données projet'!$B$11,Paramètres!$A$1:$I$89,3,0)*0.475*44/12</f>
        <v>2.4329442591685055E-7</v>
      </c>
      <c r="BS83" s="22">
        <f t="shared" si="63"/>
        <v>2.1723217695165702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219</v>
      </c>
      <c r="BW83" s="12">
        <f>VLOOKUP(A83,'Données projet'!$A$113:$I$133,9,0)</f>
        <v>2.4</v>
      </c>
      <c r="BX83" s="12">
        <f t="array" ref="BX83">INDEX(BW:BW,MIN(IF(ISNUMBER(BW83:BW279),ROW(BW83:BW279),"")))</f>
        <v>2.4</v>
      </c>
      <c r="BY83" s="12">
        <f>IF('Données projet'!$A$114&gt;35,BY82+BX83-CG82,IF(A83&lt;'Données projet'!$A$114,$BV$205^A83,IF(A83='Données projet'!$A$114,'Données projet'!$B$114,BY82+BX83-CG82)))</f>
        <v>219.00000000000003</v>
      </c>
      <c r="BZ83" s="13">
        <f>BY83*VLOOKUP('Données projet'!$B$12,Paramètres!$A$1:$I$89,3,0)*VLOOKUP('Données projet'!$B$12,Paramètres!$A$1:$I$89,5,0)</f>
        <v>174.23640000000003</v>
      </c>
      <c r="CA83" s="13">
        <f t="shared" si="93"/>
        <v>44.037472749658676</v>
      </c>
      <c r="CB83" s="20">
        <f t="shared" si="64"/>
        <v>380.16032837232228</v>
      </c>
      <c r="CC83" s="59">
        <f t="shared" si="65"/>
        <v>673.49366170565554</v>
      </c>
      <c r="CD83" s="59">
        <f ca="1">AVERAGE(OFFSET($CC$3,0,0,'Données projet'!$E$12+1,1))-AVERAGE(OFFSET($H$3,0,0,'Données projet'!$E$12+1,1))</f>
        <v>241.67556898455945</v>
      </c>
      <c r="CE83" s="59">
        <f t="shared" si="94"/>
        <v>237.71070965292648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219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2.3463700276931641</v>
      </c>
      <c r="CL83" s="21">
        <f>EXP(-LN(2)/25)*CL82+(1-EXP(-LN(2)/25))/(LN(2)/25)*Calculateur!CG83*Calculateur!CI83*VLOOKUP('Données projet'!$B$12,Paramètres!$A$1:$I$89,3,0)*0.475*44/12</f>
        <v>1.7689270068276635</v>
      </c>
      <c r="CM83" s="21">
        <f>EXP(-LN(2)/2)*CM82+(1-EXP(-LN(2)/2))/(LN(2)/2)*CG83*CJ83*VLOOKUP('Données projet'!$B$12,Paramètres!$A$1:$I$89,3,0)*0.475*44/12</f>
        <v>1.9958107323079114E-7</v>
      </c>
      <c r="CN83" s="22">
        <f t="shared" si="66"/>
        <v>4.1152972341019005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-2.2612312022829427E-13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405.40026823646758</v>
      </c>
      <c r="T84" s="59">
        <f t="shared" si="88"/>
        <v>393.0787141050053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6.3061459373309638</v>
      </c>
      <c r="AA84" s="21">
        <f>EXP(-LN(2)/25)*AA83+(1-EXP(-LN(2)/25))/(LN(2)/25)*Calculateur!V84*Calculateur!X84*VLOOKUP('Données projet'!$B$9,Paramètres!$A$1:$I$89,3,0)*0.475*44/12</f>
        <v>5.0285971091193256</v>
      </c>
      <c r="AB84" s="21">
        <f>EXP(-LN(2)/2)*AB83+(1-EXP(-LN(2)/2))/(LN(2)/2)*V84*Y84*VLOOKUP('Données projet'!$B$9,Paramètres!$A$1:$I$89,3,0)*0.475*44/12</f>
        <v>2.4929273017483891E-7</v>
      </c>
      <c r="AC84" s="22">
        <f t="shared" si="57"/>
        <v>11.334743295743019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4.9658410716801891E-14</v>
      </c>
      <c r="AK84" s="13">
        <f t="shared" si="89"/>
        <v>8.0934058173791862E-13</v>
      </c>
      <c r="AL84" s="20">
        <f t="shared" si="58"/>
        <v>1.4960899118586383E-12</v>
      </c>
      <c r="AM84" s="59">
        <f t="shared" si="59"/>
        <v>293.33333333333479</v>
      </c>
      <c r="AN84" s="59">
        <f ca="1">AVERAGE(OFFSET($AM$3,0,0,'Données projet'!$E$10+1,1))-AVERAGE(OFFSET($H$3,0,0,'Données projet'!$E$10+1,1))</f>
        <v>304.32767345253382</v>
      </c>
      <c r="AO84" s="59">
        <f t="shared" si="90"/>
        <v>427.16091343339173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2.8754081067708603</v>
      </c>
      <c r="AV84" s="21">
        <f>EXP(-LN(2)/25)*AV83+(1-EXP(-LN(2)/25))/(LN(2)/25)*Calculateur!AQ84*Calculateur!AS84*VLOOKUP('Données projet'!$B$10,Paramètres!$A$1:$I$89,3,0)*0.475*44/12</f>
        <v>4.4056592589526478</v>
      </c>
      <c r="AW84" s="21">
        <f>EXP(-LN(2)/2)*AW83+(1-EXP(-LN(2)/2))/(LN(2)/2)*AQ84*AT84*VLOOKUP('Données projet'!$B$10,Paramètres!$A$1:$I$89,3,0)*0.475*44/12</f>
        <v>2.3756425611982962E-7</v>
      </c>
      <c r="AX84" s="21">
        <f t="shared" si="60"/>
        <v>7.2810676032877648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2.2000000000000002</v>
      </c>
      <c r="BD84" s="12">
        <f>IF('Données projet'!$A$88&gt;35,BD83+BC84-BL83,IF(A84&lt;'Données projet'!$A$88,$BA$205^A84,IF(A84='Données projet'!$A$88,'Données projet'!$B$88,BD83+BC84-BL83)))</f>
        <v>182.2</v>
      </c>
      <c r="BE84" s="13">
        <f>BD84*VLOOKUP('Données projet'!$B$11,Paramètres!$A$1:$I$89,3,0)*VLOOKUP('Données projet'!$B$11,Paramètres!$A$1:$I$89,5,0)</f>
        <v>159.16991999999999</v>
      </c>
      <c r="BF84" s="13">
        <f t="shared" si="91"/>
        <v>40.655231904645788</v>
      </c>
      <c r="BG84" s="20">
        <f t="shared" si="61"/>
        <v>348.02880623392474</v>
      </c>
      <c r="BH84" s="59">
        <f t="shared" si="62"/>
        <v>641.36213956725805</v>
      </c>
      <c r="BI84" s="59">
        <f ca="1">AVERAGE(OFFSET($BH$3,0,0,'Données projet'!$E$11+1,1))-AVERAGE(OFFSET($H$3,0,0,'Données projet'!$E$11+1,1))</f>
        <v>268.31928207836495</v>
      </c>
      <c r="BJ84" s="59">
        <f t="shared" si="92"/>
        <v>277.61304526670204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0.74940702205180276</v>
      </c>
      <c r="BQ84" s="21">
        <f>EXP(-LN(2)/25)*BQ83+(1-EXP(-LN(2)/25))/(LN(2)/25)*Calculateur!BL84*Calculateur!BN84*VLOOKUP('Données projet'!$B$11,Paramètres!$A$1:$I$89,3,0)*0.475*44/12</f>
        <v>1.3694253701431336</v>
      </c>
      <c r="BR84" s="21">
        <f>EXP(-LN(2)/2)*BR83+(1-EXP(-LN(2)/2))/(LN(2)/2)*BL84*BO84*VLOOKUP('Données projet'!$B$11,Paramètres!$A$1:$I$89,3,0)*0.475*44/12</f>
        <v>1.7203513839069314E-7</v>
      </c>
      <c r="BS84" s="22">
        <f t="shared" si="63"/>
        <v>2.1188325642300749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2.8421709430404007E-14</v>
      </c>
      <c r="BZ84" s="13">
        <f>BY84*VLOOKUP('Données projet'!$B$12,Paramètres!$A$1:$I$89,3,0)*VLOOKUP('Données projet'!$B$12,Paramètres!$A$1:$I$89,5,0)</f>
        <v>2.2612312022829431E-14</v>
      </c>
      <c r="CA84" s="13">
        <f t="shared" si="93"/>
        <v>4.0387900716432995E-13</v>
      </c>
      <c r="CB84" s="20">
        <f t="shared" si="64"/>
        <v>7.4280571425096929E-13</v>
      </c>
      <c r="CC84" s="59">
        <f t="shared" si="65"/>
        <v>293.33333333333405</v>
      </c>
      <c r="CD84" s="59">
        <f ca="1">AVERAGE(OFFSET($CC$3,0,0,'Données projet'!$E$12+1,1))-AVERAGE(OFFSET($H$3,0,0,'Données projet'!$E$12+1,1))</f>
        <v>241.67556898455945</v>
      </c>
      <c r="CE84" s="59">
        <f t="shared" si="94"/>
        <v>237.71070965292648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2.300359142594504</v>
      </c>
      <c r="CL84" s="21">
        <f>EXP(-LN(2)/25)*CL83+(1-EXP(-LN(2)/25))/(LN(2)/25)*Calculateur!CG84*Calculateur!CI84*VLOOKUP('Données projet'!$B$12,Paramètres!$A$1:$I$89,3,0)*0.475*44/12</f>
        <v>1.7205556048021327</v>
      </c>
      <c r="CM84" s="21">
        <f>EXP(-LN(2)/2)*CM83+(1-EXP(-LN(2)/2))/(LN(2)/2)*CG84*CJ84*VLOOKUP('Données projet'!$B$12,Paramètres!$A$1:$I$89,3,0)*0.475*44/12</f>
        <v>1.4112513027798135E-7</v>
      </c>
      <c r="CN84" s="22">
        <f t="shared" si="66"/>
        <v>4.0209148885217667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-2.2612312022829427E-13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405.40026823646758</v>
      </c>
      <c r="T85" s="59">
        <f t="shared" si="88"/>
        <v>393.0787141050053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6.1824862618691281</v>
      </c>
      <c r="AA85" s="21">
        <f>EXP(-LN(2)/25)*AA84+(1-EXP(-LN(2)/25))/(LN(2)/25)*Calculateur!V85*Calculateur!X85*VLOOKUP('Données projet'!$B$9,Paramètres!$A$1:$I$89,3,0)*0.475*44/12</f>
        <v>4.891089856728029</v>
      </c>
      <c r="AB85" s="21">
        <f>EXP(-LN(2)/2)*AB84+(1-EXP(-LN(2)/2))/(LN(2)/2)*V85*Y85*VLOOKUP('Données projet'!$B$9,Paramètres!$A$1:$I$89,3,0)*0.475*44/12</f>
        <v>1.7627658000713686E-7</v>
      </c>
      <c r="AC85" s="22">
        <f t="shared" si="57"/>
        <v>11.073576294873737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4.9658410716801891E-14</v>
      </c>
      <c r="AK85" s="13">
        <f t="shared" si="89"/>
        <v>8.0934058173791862E-13</v>
      </c>
      <c r="AL85" s="20">
        <f t="shared" si="58"/>
        <v>1.4960899118586383E-12</v>
      </c>
      <c r="AM85" s="59">
        <f t="shared" si="59"/>
        <v>293.33333333333479</v>
      </c>
      <c r="AN85" s="59">
        <f ca="1">AVERAGE(OFFSET($AM$3,0,0,'Données projet'!$E$10+1,1))-AVERAGE(OFFSET($H$3,0,0,'Données projet'!$E$10+1,1))</f>
        <v>304.32767345253382</v>
      </c>
      <c r="AO85" s="59">
        <f t="shared" si="90"/>
        <v>427.16091343339173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2.8190231076228529</v>
      </c>
      <c r="AV85" s="21">
        <f>EXP(-LN(2)/25)*AV84+(1-EXP(-LN(2)/25))/(LN(2)/25)*Calculateur!AQ85*Calculateur!AS85*VLOOKUP('Données projet'!$B$10,Paramètres!$A$1:$I$89,3,0)*0.475*44/12</f>
        <v>4.2851862748330367</v>
      </c>
      <c r="AW85" s="21">
        <f>EXP(-LN(2)/2)*AW84+(1-EXP(-LN(2)/2))/(LN(2)/2)*AQ85*AT85*VLOOKUP('Données projet'!$B$10,Paramètres!$A$1:$I$89,3,0)*0.475*44/12</f>
        <v>1.6798329646986931E-7</v>
      </c>
      <c r="AX85" s="21">
        <f t="shared" si="60"/>
        <v>7.1042095504391867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2.2000000000000002</v>
      </c>
      <c r="BD85" s="12">
        <f>IF('Données projet'!$A$88&gt;35,BD84+BC85-BL84,IF(A85&lt;'Données projet'!$A$88,$BA$205^A85,IF(A85='Données projet'!$A$88,'Données projet'!$B$88,BD84+BC85-BL84)))</f>
        <v>184.39999999999998</v>
      </c>
      <c r="BE85" s="13">
        <f>BD85*VLOOKUP('Données projet'!$B$11,Paramètres!$A$1:$I$89,3,0)*VLOOKUP('Données projet'!$B$11,Paramètres!$A$1:$I$89,5,0)</f>
        <v>161.09183999999999</v>
      </c>
      <c r="BF85" s="13">
        <f t="shared" si="91"/>
        <v>41.088685407030823</v>
      </c>
      <c r="BG85" s="20">
        <f t="shared" si="61"/>
        <v>352.13108175057863</v>
      </c>
      <c r="BH85" s="59">
        <f t="shared" si="62"/>
        <v>645.46441508391194</v>
      </c>
      <c r="BI85" s="59">
        <f ca="1">AVERAGE(OFFSET($BH$3,0,0,'Données projet'!$E$11+1,1))-AVERAGE(OFFSET($H$3,0,0,'Données projet'!$E$11+1,1))</f>
        <v>268.31928207836495</v>
      </c>
      <c r="BJ85" s="59">
        <f t="shared" si="92"/>
        <v>277.61304526670204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0.73471160744251618</v>
      </c>
      <c r="BQ85" s="21">
        <f>EXP(-LN(2)/25)*BQ84+(1-EXP(-LN(2)/25))/(LN(2)/25)*Calculateur!BL85*Calculateur!BN85*VLOOKUP('Données projet'!$B$11,Paramètres!$A$1:$I$89,3,0)*0.475*44/12</f>
        <v>1.3319783613816192</v>
      </c>
      <c r="BR85" s="21">
        <f>EXP(-LN(2)/2)*BR84+(1-EXP(-LN(2)/2))/(LN(2)/2)*BL85*BO85*VLOOKUP('Données projet'!$B$11,Paramètres!$A$1:$I$89,3,0)*0.475*44/12</f>
        <v>1.2164721295842528E-7</v>
      </c>
      <c r="BS85" s="22">
        <f t="shared" si="63"/>
        <v>2.0666900904713481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2.8421709430404007E-14</v>
      </c>
      <c r="BZ85" s="13">
        <f>BY85*VLOOKUP('Données projet'!$B$12,Paramètres!$A$1:$I$89,3,0)*VLOOKUP('Données projet'!$B$12,Paramètres!$A$1:$I$89,5,0)</f>
        <v>2.2612312022829431E-14</v>
      </c>
      <c r="CA85" s="13">
        <f t="shared" si="93"/>
        <v>4.0387900716432995E-13</v>
      </c>
      <c r="CB85" s="20">
        <f t="shared" si="64"/>
        <v>7.4280571425096929E-13</v>
      </c>
      <c r="CC85" s="59">
        <f t="shared" si="65"/>
        <v>293.33333333333405</v>
      </c>
      <c r="CD85" s="59">
        <f ca="1">AVERAGE(OFFSET($CC$3,0,0,'Données projet'!$E$12+1,1))-AVERAGE(OFFSET($H$3,0,0,'Données projet'!$E$12+1,1))</f>
        <v>241.67556898455945</v>
      </c>
      <c r="CE85" s="59">
        <f t="shared" si="94"/>
        <v>237.71070965292648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2.2552505028887602</v>
      </c>
      <c r="CL85" s="21">
        <f>EXP(-LN(2)/25)*CL84+(1-EXP(-LN(2)/25))/(LN(2)/25)*Calculateur!CG85*Calculateur!CI85*VLOOKUP('Données projet'!$B$12,Paramètres!$A$1:$I$89,3,0)*0.475*44/12</f>
        <v>1.6735069213087315</v>
      </c>
      <c r="CM85" s="21">
        <f>EXP(-LN(2)/2)*CM84+(1-EXP(-LN(2)/2))/(LN(2)/2)*CG85*CJ85*VLOOKUP('Données projet'!$B$12,Paramètres!$A$1:$I$89,3,0)*0.475*44/12</f>
        <v>9.9790536615395569E-8</v>
      </c>
      <c r="CN85" s="22">
        <f t="shared" si="66"/>
        <v>3.9287575239880281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-2.2612312022829427E-13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405.40026823646758</v>
      </c>
      <c r="T86" s="59">
        <f t="shared" si="88"/>
        <v>393.0787141050053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6.0612514772181445</v>
      </c>
      <c r="AA86" s="21">
        <f>EXP(-LN(2)/25)*AA85+(1-EXP(-LN(2)/25))/(LN(2)/25)*Calculateur!V86*Calculateur!X86*VLOOKUP('Données projet'!$B$9,Paramètres!$A$1:$I$89,3,0)*0.475*44/12</f>
        <v>4.7573427473845644</v>
      </c>
      <c r="AB86" s="21">
        <f>EXP(-LN(2)/2)*AB85+(1-EXP(-LN(2)/2))/(LN(2)/2)*V86*Y86*VLOOKUP('Données projet'!$B$9,Paramètres!$A$1:$I$89,3,0)*0.475*44/12</f>
        <v>1.2464636508741946E-7</v>
      </c>
      <c r="AC86" s="22">
        <f t="shared" si="57"/>
        <v>10.818594349249073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4.9658410716801891E-14</v>
      </c>
      <c r="AK86" s="13">
        <f t="shared" si="89"/>
        <v>8.0934058173791862E-13</v>
      </c>
      <c r="AL86" s="20">
        <f t="shared" si="58"/>
        <v>1.4960899118586383E-12</v>
      </c>
      <c r="AM86" s="59">
        <f t="shared" si="59"/>
        <v>293.33333333333479</v>
      </c>
      <c r="AN86" s="59">
        <f ca="1">AVERAGE(OFFSET($AM$3,0,0,'Données projet'!$E$10+1,1))-AVERAGE(OFFSET($H$3,0,0,'Données projet'!$E$10+1,1))</f>
        <v>304.32767345253382</v>
      </c>
      <c r="AO86" s="59">
        <f t="shared" si="90"/>
        <v>427.16091343339173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2.7637437839166843</v>
      </c>
      <c r="AV86" s="21">
        <f>EXP(-LN(2)/25)*AV85+(1-EXP(-LN(2)/25))/(LN(2)/25)*Calculateur!AQ86*Calculateur!AS86*VLOOKUP('Données projet'!$B$10,Paramètres!$A$1:$I$89,3,0)*0.475*44/12</f>
        <v>4.1680076307995755</v>
      </c>
      <c r="AW86" s="21">
        <f>EXP(-LN(2)/2)*AW85+(1-EXP(-LN(2)/2))/(LN(2)/2)*AQ86*AT86*VLOOKUP('Données projet'!$B$10,Paramètres!$A$1:$I$89,3,0)*0.475*44/12</f>
        <v>1.1878212805991482E-7</v>
      </c>
      <c r="AX86" s="21">
        <f t="shared" si="60"/>
        <v>6.9317515334983879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2.2000000000000002</v>
      </c>
      <c r="BD86" s="12">
        <f>IF('Données projet'!$A$88&gt;35,BD85+BC86-BL85,IF(A86&lt;'Données projet'!$A$88,$BA$205^A86,IF(A86='Données projet'!$A$88,'Données projet'!$B$88,BD85+BC86-BL85)))</f>
        <v>186.59999999999997</v>
      </c>
      <c r="BE86" s="13">
        <f>BD86*VLOOKUP('Données projet'!$B$11,Paramètres!$A$1:$I$89,3,0)*VLOOKUP('Données projet'!$B$11,Paramètres!$A$1:$I$89,5,0)</f>
        <v>163.01375999999999</v>
      </c>
      <c r="BF86" s="13">
        <f t="shared" si="91"/>
        <v>41.521537366475364</v>
      </c>
      <c r="BG86" s="20">
        <f t="shared" si="61"/>
        <v>356.23230957994457</v>
      </c>
      <c r="BH86" s="59">
        <f t="shared" si="62"/>
        <v>649.56564291327788</v>
      </c>
      <c r="BI86" s="59">
        <f ca="1">AVERAGE(OFFSET($BH$3,0,0,'Données projet'!$E$11+1,1))-AVERAGE(OFFSET($H$3,0,0,'Données projet'!$E$11+1,1))</f>
        <v>268.31928207836495</v>
      </c>
      <c r="BJ86" s="59">
        <f t="shared" si="92"/>
        <v>277.61304526670204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0.72030436095039985</v>
      </c>
      <c r="BQ86" s="21">
        <f>EXP(-LN(2)/25)*BQ85+(1-EXP(-LN(2)/25))/(LN(2)/25)*Calculateur!BL86*Calculateur!BN86*VLOOKUP('Données projet'!$B$11,Paramètres!$A$1:$I$89,3,0)*0.475*44/12</f>
        <v>1.295555343043941</v>
      </c>
      <c r="BR86" s="21">
        <f>EXP(-LN(2)/2)*BR85+(1-EXP(-LN(2)/2))/(LN(2)/2)*BL86*BO86*VLOOKUP('Données projet'!$B$11,Paramètres!$A$1:$I$89,3,0)*0.475*44/12</f>
        <v>8.6017569195346571E-8</v>
      </c>
      <c r="BS86" s="22">
        <f t="shared" si="63"/>
        <v>2.01585979001191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2.8421709430404007E-14</v>
      </c>
      <c r="BZ86" s="13">
        <f>BY86*VLOOKUP('Données projet'!$B$12,Paramètres!$A$1:$I$89,3,0)*VLOOKUP('Données projet'!$B$12,Paramètres!$A$1:$I$89,5,0)</f>
        <v>2.2612312022829431E-14</v>
      </c>
      <c r="CA86" s="13">
        <f t="shared" si="93"/>
        <v>4.0387900716432995E-13</v>
      </c>
      <c r="CB86" s="20">
        <f t="shared" si="64"/>
        <v>7.4280571425096929E-13</v>
      </c>
      <c r="CC86" s="59">
        <f t="shared" si="65"/>
        <v>293.33333333333405</v>
      </c>
      <c r="CD86" s="59">
        <f ca="1">AVERAGE(OFFSET($CC$3,0,0,'Données projet'!$E$12+1,1))-AVERAGE(OFFSET($H$3,0,0,'Données projet'!$E$12+1,1))</f>
        <v>241.67556898455945</v>
      </c>
      <c r="CE86" s="59">
        <f t="shared" si="94"/>
        <v>237.71070965292648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2.2110264160940925</v>
      </c>
      <c r="CL86" s="21">
        <f>EXP(-LN(2)/25)*CL85+(1-EXP(-LN(2)/25))/(LN(2)/25)*Calculateur!CG86*Calculateur!CI86*VLOOKUP('Données projet'!$B$12,Paramètres!$A$1:$I$89,3,0)*0.475*44/12</f>
        <v>1.6277447865396402</v>
      </c>
      <c r="CM86" s="21">
        <f>EXP(-LN(2)/2)*CM85+(1-EXP(-LN(2)/2))/(LN(2)/2)*CG86*CJ86*VLOOKUP('Données projet'!$B$12,Paramètres!$A$1:$I$89,3,0)*0.475*44/12</f>
        <v>7.0562565138990674E-8</v>
      </c>
      <c r="CN86" s="22">
        <f t="shared" si="66"/>
        <v>3.8387712731962975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-2.2612312022829427E-13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405.40026823646758</v>
      </c>
      <c r="T87" s="59">
        <f t="shared" si="88"/>
        <v>393.0787141050053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5.9423940327482496</v>
      </c>
      <c r="AA87" s="21">
        <f>EXP(-LN(2)/25)*AA86+(1-EXP(-LN(2)/25))/(LN(2)/25)*Calculateur!V87*Calculateur!X87*VLOOKUP('Données projet'!$B$9,Paramètres!$A$1:$I$89,3,0)*0.475*44/12</f>
        <v>4.6272529597795513</v>
      </c>
      <c r="AB87" s="21">
        <f>EXP(-LN(2)/2)*AB86+(1-EXP(-LN(2)/2))/(LN(2)/2)*V87*Y87*VLOOKUP('Données projet'!$B$9,Paramètres!$A$1:$I$89,3,0)*0.475*44/12</f>
        <v>8.8138290003568429E-8</v>
      </c>
      <c r="AC87" s="22">
        <f t="shared" si="57"/>
        <v>10.56964708066609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4.9658410716801891E-14</v>
      </c>
      <c r="AK87" s="13">
        <f t="shared" si="89"/>
        <v>8.0934058173791862E-13</v>
      </c>
      <c r="AL87" s="20">
        <f t="shared" si="58"/>
        <v>1.4960899118586383E-12</v>
      </c>
      <c r="AM87" s="59">
        <f t="shared" si="59"/>
        <v>293.33333333333479</v>
      </c>
      <c r="AN87" s="59">
        <f ca="1">AVERAGE(OFFSET($AM$3,0,0,'Données projet'!$E$10+1,1))-AVERAGE(OFFSET($H$3,0,0,'Données projet'!$E$10+1,1))</f>
        <v>304.32767345253382</v>
      </c>
      <c r="AO87" s="59">
        <f t="shared" si="90"/>
        <v>427.16091343339173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2.7095484540313355</v>
      </c>
      <c r="AV87" s="21">
        <f>EXP(-LN(2)/25)*AV86+(1-EXP(-LN(2)/25))/(LN(2)/25)*Calculateur!AQ87*Calculateur!AS87*VLOOKUP('Données projet'!$B$10,Paramètres!$A$1:$I$89,3,0)*0.475*44/12</f>
        <v>4.054033242949366</v>
      </c>
      <c r="AW87" s="21">
        <f>EXP(-LN(2)/2)*AW86+(1-EXP(-LN(2)/2))/(LN(2)/2)*AQ87*AT87*VLOOKUP('Données projet'!$B$10,Paramètres!$A$1:$I$89,3,0)*0.475*44/12</f>
        <v>8.3991648234934669E-8</v>
      </c>
      <c r="AX87" s="21">
        <f t="shared" si="60"/>
        <v>6.7635817809723493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2.2000000000000002</v>
      </c>
      <c r="BD87" s="12">
        <f>IF('Données projet'!$A$88&gt;35,BD86+BC87-BL86,IF(A87&lt;'Données projet'!$A$88,$BA$205^A87,IF(A87='Données projet'!$A$88,'Données projet'!$B$88,BD86+BC87-BL86)))</f>
        <v>188.79999999999995</v>
      </c>
      <c r="BE87" s="13">
        <f>BD87*VLOOKUP('Données projet'!$B$11,Paramètres!$A$1:$I$89,3,0)*VLOOKUP('Données projet'!$B$11,Paramètres!$A$1:$I$89,5,0)</f>
        <v>164.93567999999996</v>
      </c>
      <c r="BF87" s="13">
        <f t="shared" si="91"/>
        <v>41.953795695589498</v>
      </c>
      <c r="BG87" s="20">
        <f t="shared" si="61"/>
        <v>360.3325035031516</v>
      </c>
      <c r="BH87" s="59">
        <f t="shared" si="62"/>
        <v>653.66583683648491</v>
      </c>
      <c r="BI87" s="59">
        <f ca="1">AVERAGE(OFFSET($BH$3,0,0,'Données projet'!$E$11+1,1))-AVERAGE(OFFSET($H$3,0,0,'Données projet'!$E$11+1,1))</f>
        <v>268.31928207836495</v>
      </c>
      <c r="BJ87" s="59">
        <f t="shared" si="92"/>
        <v>277.61304526670204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0.70617963177444121</v>
      </c>
      <c r="BQ87" s="21">
        <f>EXP(-LN(2)/25)*BQ86+(1-EXP(-LN(2)/25))/(LN(2)/25)*Calculateur!BL87*Calculateur!BN87*VLOOKUP('Données projet'!$B$11,Paramètres!$A$1:$I$89,3,0)*0.475*44/12</f>
        <v>1.2601283140581101</v>
      </c>
      <c r="BR87" s="21">
        <f>EXP(-LN(2)/2)*BR86+(1-EXP(-LN(2)/2))/(LN(2)/2)*BL87*BO87*VLOOKUP('Données projet'!$B$11,Paramètres!$A$1:$I$89,3,0)*0.475*44/12</f>
        <v>6.0823606479212638E-8</v>
      </c>
      <c r="BS87" s="22">
        <f t="shared" si="63"/>
        <v>1.9663080066561578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2.8421709430404007E-14</v>
      </c>
      <c r="BZ87" s="13">
        <f>BY87*VLOOKUP('Données projet'!$B$12,Paramètres!$A$1:$I$89,3,0)*VLOOKUP('Données projet'!$B$12,Paramètres!$A$1:$I$89,5,0)</f>
        <v>2.2612312022829431E-14</v>
      </c>
      <c r="CA87" s="13">
        <f t="shared" si="93"/>
        <v>4.0387900716432995E-13</v>
      </c>
      <c r="CB87" s="20">
        <f t="shared" si="64"/>
        <v>7.4280571425096929E-13</v>
      </c>
      <c r="CC87" s="59">
        <f t="shared" si="65"/>
        <v>293.33333333333405</v>
      </c>
      <c r="CD87" s="59">
        <f ca="1">AVERAGE(OFFSET($CC$3,0,0,'Données projet'!$E$12+1,1))-AVERAGE(OFFSET($H$3,0,0,'Données projet'!$E$12+1,1))</f>
        <v>241.67556898455945</v>
      </c>
      <c r="CE87" s="59">
        <f t="shared" si="94"/>
        <v>237.71070965292648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2.1676695366674386</v>
      </c>
      <c r="CL87" s="21">
        <f>EXP(-LN(2)/25)*CL86+(1-EXP(-LN(2)/25))/(LN(2)/25)*Calculateur!CG87*Calculateur!CI87*VLOOKUP('Données projet'!$B$12,Paramètres!$A$1:$I$89,3,0)*0.475*44/12</f>
        <v>1.5832340197523356</v>
      </c>
      <c r="CM87" s="21">
        <f>EXP(-LN(2)/2)*CM86+(1-EXP(-LN(2)/2))/(LN(2)/2)*CG87*CJ87*VLOOKUP('Données projet'!$B$12,Paramètres!$A$1:$I$89,3,0)*0.475*44/12</f>
        <v>4.9895268307697785E-8</v>
      </c>
      <c r="CN87" s="22">
        <f t="shared" si="66"/>
        <v>3.7509036063150427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-2.2612312022829427E-13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405.40026823646758</v>
      </c>
      <c r="T88" s="59">
        <f t="shared" si="88"/>
        <v>393.0787141050053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5.8258673102685261</v>
      </c>
      <c r="AA88" s="21">
        <f>EXP(-LN(2)/25)*AA87+(1-EXP(-LN(2)/25))/(LN(2)/25)*Calculateur!V88*Calculateur!X88*VLOOKUP('Données projet'!$B$9,Paramètres!$A$1:$I$89,3,0)*0.475*44/12</f>
        <v>4.5007204842577222</v>
      </c>
      <c r="AB88" s="21">
        <f>EXP(-LN(2)/2)*AB87+(1-EXP(-LN(2)/2))/(LN(2)/2)*V88*Y88*VLOOKUP('Données projet'!$B$9,Paramètres!$A$1:$I$89,3,0)*0.475*44/12</f>
        <v>6.2323182543709728E-8</v>
      </c>
      <c r="AC88" s="22">
        <f t="shared" si="57"/>
        <v>10.32658785684943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4.9658410716801891E-14</v>
      </c>
      <c r="AK88" s="13">
        <f t="shared" si="89"/>
        <v>8.0934058173791862E-13</v>
      </c>
      <c r="AL88" s="20">
        <f t="shared" si="58"/>
        <v>1.4960899118586383E-12</v>
      </c>
      <c r="AM88" s="59">
        <f t="shared" si="59"/>
        <v>293.33333333333479</v>
      </c>
      <c r="AN88" s="59">
        <f ca="1">AVERAGE(OFFSET($AM$3,0,0,'Données projet'!$E$10+1,1))-AVERAGE(OFFSET($H$3,0,0,'Données projet'!$E$10+1,1))</f>
        <v>304.32767345253382</v>
      </c>
      <c r="AO88" s="59">
        <f t="shared" si="90"/>
        <v>427.16091343339173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2.6564158615091511</v>
      </c>
      <c r="AV88" s="21">
        <f>EXP(-LN(2)/25)*AV87+(1-EXP(-LN(2)/25))/(LN(2)/25)*Calculateur!AQ88*Calculateur!AS88*VLOOKUP('Données projet'!$B$10,Paramètres!$A$1:$I$89,3,0)*0.475*44/12</f>
        <v>3.943175490728573</v>
      </c>
      <c r="AW88" s="21">
        <f>EXP(-LN(2)/2)*AW87+(1-EXP(-LN(2)/2))/(LN(2)/2)*AQ88*AT88*VLOOKUP('Données projet'!$B$10,Paramètres!$A$1:$I$89,3,0)*0.475*44/12</f>
        <v>5.9391064029957424E-8</v>
      </c>
      <c r="AX88" s="21">
        <f t="shared" si="60"/>
        <v>6.5995914116287873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191</v>
      </c>
      <c r="BB88" s="12">
        <f>VLOOKUP(A88,'Données projet'!$A$87:$I$107,9,0)</f>
        <v>2.2000000000000002</v>
      </c>
      <c r="BC88" s="12">
        <f t="array" ref="BC88">INDEX(BB:BB,MIN(IF(ISNUMBER(BB88:BB284),ROW(BB88:BB284),"")))</f>
        <v>2.2000000000000002</v>
      </c>
      <c r="BD88" s="12">
        <f>IF('Données projet'!$A$88&gt;35,BD87+BC88-BL87,IF(A88&lt;'Données projet'!$A$88,$BA$205^A88,IF(A88='Données projet'!$A$88,'Données projet'!$B$88,BD87+BC88-BL87)))</f>
        <v>190.99999999999994</v>
      </c>
      <c r="BE88" s="13">
        <f>BD88*VLOOKUP('Données projet'!$B$11,Paramètres!$A$1:$I$89,3,0)*VLOOKUP('Données projet'!$B$11,Paramètres!$A$1:$I$89,5,0)</f>
        <v>166.85759999999996</v>
      </c>
      <c r="BF88" s="13">
        <f t="shared" si="91"/>
        <v>42.385468111966098</v>
      </c>
      <c r="BG88" s="20">
        <f t="shared" si="61"/>
        <v>364.43167696167421</v>
      </c>
      <c r="BH88" s="59">
        <f t="shared" si="62"/>
        <v>657.76501029500753</v>
      </c>
      <c r="BI88" s="59">
        <f ca="1">AVERAGE(OFFSET($BH$3,0,0,'Données projet'!$E$11+1,1))-AVERAGE(OFFSET($H$3,0,0,'Données projet'!$E$11+1,1))</f>
        <v>268.31928207836495</v>
      </c>
      <c r="BJ88" s="59">
        <f t="shared" si="92"/>
        <v>277.61304526670204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8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0.69233187992238898</v>
      </c>
      <c r="BQ88" s="21">
        <f>EXP(-LN(2)/25)*BQ87+(1-EXP(-LN(2)/25))/(LN(2)/25)*Calculateur!BL88*Calculateur!BN88*VLOOKUP('Données projet'!$B$11,Paramètres!$A$1:$I$89,3,0)*0.475*44/12</f>
        <v>1.2256700390429232</v>
      </c>
      <c r="BR88" s="21">
        <f>EXP(-LN(2)/2)*BR87+(1-EXP(-LN(2)/2))/(LN(2)/2)*BL88*BO88*VLOOKUP('Données projet'!$B$11,Paramètres!$A$1:$I$89,3,0)*0.475*44/12</f>
        <v>4.3008784597673286E-8</v>
      </c>
      <c r="BS88" s="22">
        <f t="shared" si="63"/>
        <v>1.9180019619740967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2.8421709430404007E-14</v>
      </c>
      <c r="BZ88" s="13">
        <f>BY88*VLOOKUP('Données projet'!$B$12,Paramètres!$A$1:$I$89,3,0)*VLOOKUP('Données projet'!$B$12,Paramètres!$A$1:$I$89,5,0)</f>
        <v>2.2612312022829431E-14</v>
      </c>
      <c r="CA88" s="13">
        <f t="shared" si="93"/>
        <v>4.0387900716432995E-13</v>
      </c>
      <c r="CB88" s="20">
        <f t="shared" si="64"/>
        <v>7.4280571425096929E-13</v>
      </c>
      <c r="CC88" s="59">
        <f t="shared" si="65"/>
        <v>293.33333333333405</v>
      </c>
      <c r="CD88" s="59">
        <f ca="1">AVERAGE(OFFSET($CC$3,0,0,'Données projet'!$E$12+1,1))-AVERAGE(OFFSET($H$3,0,0,'Données projet'!$E$12+1,1))</f>
        <v>241.67556898455945</v>
      </c>
      <c r="CE88" s="59">
        <f t="shared" si="94"/>
        <v>237.71070965292648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2.1251628592012564</v>
      </c>
      <c r="CL88" s="21">
        <f>EXP(-LN(2)/25)*CL87+(1-EXP(-LN(2)/25))/(LN(2)/25)*Calculateur!CG88*Calculateur!CI88*VLOOKUP('Données projet'!$B$12,Paramètres!$A$1:$I$89,3,0)*0.475*44/12</f>
        <v>1.5399404022235494</v>
      </c>
      <c r="CM88" s="21">
        <f>EXP(-LN(2)/2)*CM87+(1-EXP(-LN(2)/2))/(LN(2)/2)*CG88*CJ88*VLOOKUP('Données projet'!$B$12,Paramètres!$A$1:$I$89,3,0)*0.475*44/12</f>
        <v>3.5281282569495337E-8</v>
      </c>
      <c r="CN88" s="22">
        <f t="shared" si="66"/>
        <v>3.6651032967060884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-2.2612312022829427E-13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405.40026823646758</v>
      </c>
      <c r="T89" s="59">
        <f t="shared" si="88"/>
        <v>393.0787141050053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5.7116256057423476</v>
      </c>
      <c r="AA89" s="21">
        <f>EXP(-LN(2)/25)*AA88+(1-EXP(-LN(2)/25))/(LN(2)/25)*Calculateur!V89*Calculateur!X89*VLOOKUP('Données projet'!$B$9,Paramètres!$A$1:$I$89,3,0)*0.475*44/12</f>
        <v>4.3776480459330909</v>
      </c>
      <c r="AB89" s="21">
        <f>EXP(-LN(2)/2)*AB88+(1-EXP(-LN(2)/2))/(LN(2)/2)*V89*Y89*VLOOKUP('Données projet'!$B$9,Paramètres!$A$1:$I$89,3,0)*0.475*44/12</f>
        <v>4.4069145001784214E-8</v>
      </c>
      <c r="AC89" s="22">
        <f t="shared" si="57"/>
        <v>10.089273695744582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4.9658410716801891E-14</v>
      </c>
      <c r="AK89" s="13">
        <f t="shared" si="89"/>
        <v>8.0934058173791862E-13</v>
      </c>
      <c r="AL89" s="20">
        <f t="shared" si="58"/>
        <v>1.4960899118586383E-12</v>
      </c>
      <c r="AM89" s="59">
        <f t="shared" si="59"/>
        <v>293.33333333333479</v>
      </c>
      <c r="AN89" s="59">
        <f ca="1">AVERAGE(OFFSET($AM$3,0,0,'Données projet'!$E$10+1,1))-AVERAGE(OFFSET($H$3,0,0,'Données projet'!$E$10+1,1))</f>
        <v>304.32767345253382</v>
      </c>
      <c r="AO89" s="59">
        <f t="shared" si="90"/>
        <v>427.16091343339173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2.6043251667186453</v>
      </c>
      <c r="AV89" s="21">
        <f>EXP(-LN(2)/25)*AV88+(1-EXP(-LN(2)/25))/(LN(2)/25)*Calculateur!AQ89*Calculateur!AS89*VLOOKUP('Données projet'!$B$10,Paramètres!$A$1:$I$89,3,0)*0.475*44/12</f>
        <v>3.8353491495720133</v>
      </c>
      <c r="AW89" s="21">
        <f>EXP(-LN(2)/2)*AW88+(1-EXP(-LN(2)/2))/(LN(2)/2)*AQ89*AT89*VLOOKUP('Données projet'!$B$10,Paramètres!$A$1:$I$89,3,0)*0.475*44/12</f>
        <v>4.1995824117467341E-8</v>
      </c>
      <c r="AX89" s="21">
        <f t="shared" si="60"/>
        <v>6.4396743582864824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</v>
      </c>
      <c r="BD89" s="12">
        <f>IF('Données projet'!$A$88&gt;35,BD88+BC89-BL88,IF(A89&lt;'Données projet'!$A$88,$BA$205^A89,IF(A89='Données projet'!$A$88,'Données projet'!$B$88,BD88+BC89-BL88)))</f>
        <v>184.99999999999994</v>
      </c>
      <c r="BE89" s="13">
        <f>BD89*VLOOKUP('Données projet'!$B$11,Paramètres!$A$1:$I$89,3,0)*VLOOKUP('Données projet'!$B$11,Paramètres!$A$1:$I$89,5,0)</f>
        <v>161.61599999999999</v>
      </c>
      <c r="BF89" s="13">
        <f t="shared" si="91"/>
        <v>41.20679526204917</v>
      </c>
      <c r="BG89" s="20">
        <f t="shared" si="61"/>
        <v>353.24970174806896</v>
      </c>
      <c r="BH89" s="59">
        <f t="shared" si="62"/>
        <v>646.58303508140227</v>
      </c>
      <c r="BI89" s="59">
        <f ca="1">AVERAGE(OFFSET($BH$3,0,0,'Données projet'!$E$11+1,1))-AVERAGE(OFFSET($H$3,0,0,'Données projet'!$E$11+1,1))</f>
        <v>268.31928207836495</v>
      </c>
      <c r="BJ89" s="59">
        <f t="shared" si="92"/>
        <v>277.61304526670204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0.67875567403786097</v>
      </c>
      <c r="BQ89" s="21">
        <f>EXP(-LN(2)/25)*BQ88+(1-EXP(-LN(2)/25))/(LN(2)/25)*Calculateur!BL89*Calculateur!BN89*VLOOKUP('Données projet'!$B$11,Paramètres!$A$1:$I$89,3,0)*0.475*44/12</f>
        <v>1.1921540273701083</v>
      </c>
      <c r="BR89" s="21">
        <f>EXP(-LN(2)/2)*BR88+(1-EXP(-LN(2)/2))/(LN(2)/2)*BL89*BO89*VLOOKUP('Données projet'!$B$11,Paramètres!$A$1:$I$89,3,0)*0.475*44/12</f>
        <v>3.0411803239606319E-8</v>
      </c>
      <c r="BS89" s="22">
        <f t="shared" si="63"/>
        <v>1.8709097318197725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2.8421709430404007E-14</v>
      </c>
      <c r="BZ89" s="13">
        <f>BY89*VLOOKUP('Données projet'!$B$12,Paramètres!$A$1:$I$89,3,0)*VLOOKUP('Données projet'!$B$12,Paramètres!$A$1:$I$89,5,0)</f>
        <v>2.2612312022829431E-14</v>
      </c>
      <c r="CA89" s="13">
        <f t="shared" si="93"/>
        <v>4.0387900716432995E-13</v>
      </c>
      <c r="CB89" s="20">
        <f t="shared" si="64"/>
        <v>7.4280571425096929E-13</v>
      </c>
      <c r="CC89" s="59">
        <f t="shared" si="65"/>
        <v>293.33333333333405</v>
      </c>
      <c r="CD89" s="59">
        <f ca="1">AVERAGE(OFFSET($CC$3,0,0,'Données projet'!$E$12+1,1))-AVERAGE(OFFSET($H$3,0,0,'Données projet'!$E$12+1,1))</f>
        <v>241.67556898455945</v>
      </c>
      <c r="CE89" s="59">
        <f t="shared" si="94"/>
        <v>237.71070965292648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2.0834897117536726</v>
      </c>
      <c r="CL89" s="21">
        <f>EXP(-LN(2)/25)*CL88+(1-EXP(-LN(2)/25))/(LN(2)/25)*Calculateur!CG89*Calculateur!CI89*VLOOKUP('Données projet'!$B$12,Paramètres!$A$1:$I$89,3,0)*0.475*44/12</f>
        <v>1.4978306509428003</v>
      </c>
      <c r="CM89" s="21">
        <f>EXP(-LN(2)/2)*CM88+(1-EXP(-LN(2)/2))/(LN(2)/2)*CG89*CJ89*VLOOKUP('Données projet'!$B$12,Paramètres!$A$1:$I$89,3,0)*0.475*44/12</f>
        <v>2.4947634153848892E-8</v>
      </c>
      <c r="CN89" s="22">
        <f t="shared" si="66"/>
        <v>3.5813203876441069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-2.2612312022829427E-13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405.40026823646758</v>
      </c>
      <c r="T90" s="59">
        <f t="shared" si="88"/>
        <v>393.0787141050053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5.5996241113613685</v>
      </c>
      <c r="AA90" s="21">
        <f>EXP(-LN(2)/25)*AA89+(1-EXP(-LN(2)/25))/(LN(2)/25)*Calculateur!V90*Calculateur!X90*VLOOKUP('Données projet'!$B$9,Paramètres!$A$1:$I$89,3,0)*0.475*44/12</f>
        <v>4.2579410299065454</v>
      </c>
      <c r="AB90" s="21">
        <f>EXP(-LN(2)/2)*AB89+(1-EXP(-LN(2)/2))/(LN(2)/2)*V90*Y90*VLOOKUP('Données projet'!$B$9,Paramètres!$A$1:$I$89,3,0)*0.475*44/12</f>
        <v>3.1161591271854864E-8</v>
      </c>
      <c r="AC90" s="22">
        <f t="shared" si="57"/>
        <v>9.8575651724295046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4.9658410716801891E-14</v>
      </c>
      <c r="AK90" s="13">
        <f t="shared" si="89"/>
        <v>8.0934058173791862E-13</v>
      </c>
      <c r="AL90" s="20">
        <f t="shared" si="58"/>
        <v>1.4960899118586383E-12</v>
      </c>
      <c r="AM90" s="59">
        <f t="shared" si="59"/>
        <v>293.33333333333479</v>
      </c>
      <c r="AN90" s="59">
        <f ca="1">AVERAGE(OFFSET($AM$3,0,0,'Données projet'!$E$10+1,1))-AVERAGE(OFFSET($H$3,0,0,'Données projet'!$E$10+1,1))</f>
        <v>304.32767345253382</v>
      </c>
      <c r="AO90" s="59">
        <f t="shared" si="90"/>
        <v>427.16091343339173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2.5532559386807949</v>
      </c>
      <c r="AV90" s="21">
        <f>EXP(-LN(2)/25)*AV89+(1-EXP(-LN(2)/25))/(LN(2)/25)*Calculateur!AQ90*Calculateur!AS90*VLOOKUP('Données projet'!$B$10,Paramètres!$A$1:$I$89,3,0)*0.475*44/12</f>
        <v>3.7304713253847206</v>
      </c>
      <c r="AW90" s="21">
        <f>EXP(-LN(2)/2)*AW89+(1-EXP(-LN(2)/2))/(LN(2)/2)*AQ90*AT90*VLOOKUP('Données projet'!$B$10,Paramètres!$A$1:$I$89,3,0)*0.475*44/12</f>
        <v>2.9695532014978715E-8</v>
      </c>
      <c r="AX90" s="21">
        <f t="shared" si="60"/>
        <v>6.2837272937610473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</v>
      </c>
      <c r="BD90" s="12">
        <f>IF('Données projet'!$A$88&gt;35,BD89+BC90-BL89,IF(A90&lt;'Données projet'!$A$88,$BA$205^A90,IF(A90='Données projet'!$A$88,'Données projet'!$B$88,BD89+BC90-BL89)))</f>
        <v>186.99999999999994</v>
      </c>
      <c r="BE90" s="13">
        <f>BD90*VLOOKUP('Données projet'!$B$11,Paramètres!$A$1:$I$89,3,0)*VLOOKUP('Données projet'!$B$11,Paramètres!$A$1:$I$89,5,0)</f>
        <v>163.36319999999998</v>
      </c>
      <c r="BF90" s="13">
        <f t="shared" si="91"/>
        <v>41.600173715581626</v>
      </c>
      <c r="BG90" s="20">
        <f t="shared" si="61"/>
        <v>356.97787588797127</v>
      </c>
      <c r="BH90" s="59">
        <f t="shared" si="62"/>
        <v>650.31120922130458</v>
      </c>
      <c r="BI90" s="59">
        <f ca="1">AVERAGE(OFFSET($BH$3,0,0,'Données projet'!$E$11+1,1))-AVERAGE(OFFSET($H$3,0,0,'Données projet'!$E$11+1,1))</f>
        <v>268.31928207836495</v>
      </c>
      <c r="BJ90" s="59">
        <f t="shared" si="92"/>
        <v>277.61304526670204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0.66544568927006054</v>
      </c>
      <c r="BQ90" s="21">
        <f>EXP(-LN(2)/25)*BQ89+(1-EXP(-LN(2)/25))/(LN(2)/25)*Calculateur!BL90*Calculateur!BN90*VLOOKUP('Données projet'!$B$11,Paramètres!$A$1:$I$89,3,0)*0.475*44/12</f>
        <v>1.1595545127990172</v>
      </c>
      <c r="BR90" s="21">
        <f>EXP(-LN(2)/2)*BR89+(1-EXP(-LN(2)/2))/(LN(2)/2)*BL90*BO90*VLOOKUP('Données projet'!$B$11,Paramètres!$A$1:$I$89,3,0)*0.475*44/12</f>
        <v>2.1504392298836643E-8</v>
      </c>
      <c r="BS90" s="22">
        <f t="shared" si="63"/>
        <v>1.8250002235734699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2.8421709430404007E-14</v>
      </c>
      <c r="BZ90" s="13">
        <f>BY90*VLOOKUP('Données projet'!$B$12,Paramètres!$A$1:$I$89,3,0)*VLOOKUP('Données projet'!$B$12,Paramètres!$A$1:$I$89,5,0)</f>
        <v>2.2612312022829431E-14</v>
      </c>
      <c r="CA90" s="13">
        <f t="shared" si="93"/>
        <v>4.0387900716432995E-13</v>
      </c>
      <c r="CB90" s="20">
        <f t="shared" si="64"/>
        <v>7.4280571425096929E-13</v>
      </c>
      <c r="CC90" s="59">
        <f t="shared" si="65"/>
        <v>293.33333333333405</v>
      </c>
      <c r="CD90" s="59">
        <f ca="1">AVERAGE(OFFSET($CC$3,0,0,'Données projet'!$E$12+1,1))-AVERAGE(OFFSET($H$3,0,0,'Données projet'!$E$12+1,1))</f>
        <v>241.67556898455945</v>
      </c>
      <c r="CE90" s="59">
        <f t="shared" si="94"/>
        <v>237.71070965292648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2.042633749309426</v>
      </c>
      <c r="CL90" s="21">
        <f>EXP(-LN(2)/25)*CL89+(1-EXP(-LN(2)/25))/(LN(2)/25)*Calculateur!CG90*Calculateur!CI90*VLOOKUP('Données projet'!$B$12,Paramètres!$A$1:$I$89,3,0)*0.475*44/12</f>
        <v>1.4568723930252789</v>
      </c>
      <c r="CM90" s="21">
        <f>EXP(-LN(2)/2)*CM89+(1-EXP(-LN(2)/2))/(LN(2)/2)*CG90*CJ90*VLOOKUP('Données projet'!$B$12,Paramètres!$A$1:$I$89,3,0)*0.475*44/12</f>
        <v>1.7640641284747668E-8</v>
      </c>
      <c r="CN90" s="22">
        <f t="shared" si="66"/>
        <v>3.4995061599753465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-2.2612312022829427E-13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405.40026823646758</v>
      </c>
      <c r="T91" s="59">
        <f t="shared" si="88"/>
        <v>393.0787141050053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5.4898188979710341</v>
      </c>
      <c r="AA91" s="21">
        <f>EXP(-LN(2)/25)*AA90+(1-EXP(-LN(2)/25))/(LN(2)/25)*Calculateur!V91*Calculateur!X91*VLOOKUP('Données projet'!$B$9,Paramètres!$A$1:$I$89,3,0)*0.475*44/12</f>
        <v>4.1415074085283639</v>
      </c>
      <c r="AB91" s="21">
        <f>EXP(-LN(2)/2)*AB90+(1-EXP(-LN(2)/2))/(LN(2)/2)*V91*Y91*VLOOKUP('Données projet'!$B$9,Paramètres!$A$1:$I$89,3,0)*0.475*44/12</f>
        <v>2.2034572500892107E-8</v>
      </c>
      <c r="AC91" s="22">
        <f t="shared" si="57"/>
        <v>9.6313263285339712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4.9658410716801891E-14</v>
      </c>
      <c r="AK91" s="13">
        <f t="shared" si="89"/>
        <v>8.0934058173791862E-13</v>
      </c>
      <c r="AL91" s="20">
        <f t="shared" si="58"/>
        <v>1.4960899118586383E-12</v>
      </c>
      <c r="AM91" s="59">
        <f t="shared" si="59"/>
        <v>293.33333333333479</v>
      </c>
      <c r="AN91" s="59">
        <f ca="1">AVERAGE(OFFSET($AM$3,0,0,'Données projet'!$E$10+1,1))-AVERAGE(OFFSET($H$3,0,0,'Données projet'!$E$10+1,1))</f>
        <v>304.32767345253382</v>
      </c>
      <c r="AO91" s="59">
        <f t="shared" si="90"/>
        <v>427.16091343339173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2.5031881470556132</v>
      </c>
      <c r="AV91" s="21">
        <f>EXP(-LN(2)/25)*AV90+(1-EXP(-LN(2)/25))/(LN(2)/25)*Calculateur!AQ91*Calculateur!AS91*VLOOKUP('Données projet'!$B$10,Paramètres!$A$1:$I$89,3,0)*0.475*44/12</f>
        <v>3.6284613908151147</v>
      </c>
      <c r="AW91" s="21">
        <f>EXP(-LN(2)/2)*AW90+(1-EXP(-LN(2)/2))/(LN(2)/2)*AQ91*AT91*VLOOKUP('Données projet'!$B$10,Paramètres!$A$1:$I$89,3,0)*0.475*44/12</f>
        <v>2.0997912058733674E-8</v>
      </c>
      <c r="AX91" s="21">
        <f t="shared" si="60"/>
        <v>6.1316495588686397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</v>
      </c>
      <c r="BD91" s="12">
        <f>IF('Données projet'!$A$88&gt;35,BD90+BC91-BL90,IF(A91&lt;'Données projet'!$A$88,$BA$205^A91,IF(A91='Données projet'!$A$88,'Données projet'!$B$88,BD90+BC91-BL90)))</f>
        <v>188.99999999999994</v>
      </c>
      <c r="BE91" s="13">
        <f>BD91*VLOOKUP('Données projet'!$B$11,Paramètres!$A$1:$I$89,3,0)*VLOOKUP('Données projet'!$B$11,Paramètres!$A$1:$I$89,5,0)</f>
        <v>165.11039999999997</v>
      </c>
      <c r="BF91" s="13">
        <f t="shared" si="91"/>
        <v>41.993062739333446</v>
      </c>
      <c r="BG91" s="20">
        <f t="shared" si="61"/>
        <v>360.70519760433905</v>
      </c>
      <c r="BH91" s="59">
        <f t="shared" si="62"/>
        <v>654.03853093767236</v>
      </c>
      <c r="BI91" s="59">
        <f ca="1">AVERAGE(OFFSET($BH$3,0,0,'Données projet'!$E$11+1,1))-AVERAGE(OFFSET($H$3,0,0,'Données projet'!$E$11+1,1))</f>
        <v>268.31928207836495</v>
      </c>
      <c r="BJ91" s="59">
        <f t="shared" si="92"/>
        <v>277.61304526670204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0.6523967051852676</v>
      </c>
      <c r="BQ91" s="21">
        <f>EXP(-LN(2)/25)*BQ90+(1-EXP(-LN(2)/25))/(LN(2)/25)*Calculateur!BL91*Calculateur!BN91*VLOOKUP('Données projet'!$B$11,Paramètres!$A$1:$I$89,3,0)*0.475*44/12</f>
        <v>1.1278464336682064</v>
      </c>
      <c r="BR91" s="21">
        <f>EXP(-LN(2)/2)*BR90+(1-EXP(-LN(2)/2))/(LN(2)/2)*BL91*BO91*VLOOKUP('Données projet'!$B$11,Paramètres!$A$1:$I$89,3,0)*0.475*44/12</f>
        <v>1.520590161980316E-8</v>
      </c>
      <c r="BS91" s="22">
        <f t="shared" si="63"/>
        <v>1.7802431540593757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2.8421709430404007E-14</v>
      </c>
      <c r="BZ91" s="13">
        <f>BY91*VLOOKUP('Données projet'!$B$12,Paramètres!$A$1:$I$89,3,0)*VLOOKUP('Données projet'!$B$12,Paramètres!$A$1:$I$89,5,0)</f>
        <v>2.2612312022829431E-14</v>
      </c>
      <c r="CA91" s="13">
        <f t="shared" si="93"/>
        <v>4.0387900716432995E-13</v>
      </c>
      <c r="CB91" s="20">
        <f t="shared" si="64"/>
        <v>7.4280571425096929E-13</v>
      </c>
      <c r="CC91" s="59">
        <f t="shared" si="65"/>
        <v>293.33333333333405</v>
      </c>
      <c r="CD91" s="59">
        <f ca="1">AVERAGE(OFFSET($CC$3,0,0,'Données projet'!$E$12+1,1))-AVERAGE(OFFSET($H$3,0,0,'Données projet'!$E$12+1,1))</f>
        <v>241.67556898455945</v>
      </c>
      <c r="CE91" s="59">
        <f t="shared" si="94"/>
        <v>237.71070965292648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2.0025789473690345</v>
      </c>
      <c r="CL91" s="21">
        <f>EXP(-LN(2)/25)*CL90+(1-EXP(-LN(2)/25))/(LN(2)/25)*Calculateur!CG91*Calculateur!CI91*VLOOKUP('Données projet'!$B$12,Paramètres!$A$1:$I$89,3,0)*0.475*44/12</f>
        <v>1.4170341408244134</v>
      </c>
      <c r="CM91" s="21">
        <f>EXP(-LN(2)/2)*CM90+(1-EXP(-LN(2)/2))/(LN(2)/2)*CG91*CJ91*VLOOKUP('Données projet'!$B$12,Paramètres!$A$1:$I$89,3,0)*0.475*44/12</f>
        <v>1.2473817076924446E-8</v>
      </c>
      <c r="CN91" s="22">
        <f t="shared" si="66"/>
        <v>3.4196131006672652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-2.2612312022829427E-13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405.40026823646758</v>
      </c>
      <c r="T92" s="59">
        <f t="shared" si="88"/>
        <v>393.0787141050053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5.3821668978407171</v>
      </c>
      <c r="AA92" s="21">
        <f>EXP(-LN(2)/25)*AA91+(1-EXP(-LN(2)/25))/(LN(2)/25)*Calculateur!V92*Calculateur!X92*VLOOKUP('Données projet'!$B$9,Paramètres!$A$1:$I$89,3,0)*0.475*44/12</f>
        <v>4.0282576706497464</v>
      </c>
      <c r="AB92" s="21">
        <f>EXP(-LN(2)/2)*AB91+(1-EXP(-LN(2)/2))/(LN(2)/2)*V92*Y92*VLOOKUP('Données projet'!$B$9,Paramètres!$A$1:$I$89,3,0)*0.475*44/12</f>
        <v>1.5580795635927432E-8</v>
      </c>
      <c r="AC92" s="22">
        <f t="shared" si="57"/>
        <v>9.4104245840712579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4.9658410716801891E-14</v>
      </c>
      <c r="AK92" s="13">
        <f t="shared" si="89"/>
        <v>8.0934058173791862E-13</v>
      </c>
      <c r="AL92" s="20">
        <f t="shared" si="58"/>
        <v>1.4960899118586383E-12</v>
      </c>
      <c r="AM92" s="59">
        <f t="shared" si="59"/>
        <v>293.33333333333479</v>
      </c>
      <c r="AN92" s="59">
        <f ca="1">AVERAGE(OFFSET($AM$3,0,0,'Données projet'!$E$10+1,1))-AVERAGE(OFFSET($H$3,0,0,'Données projet'!$E$10+1,1))</f>
        <v>304.32767345253382</v>
      </c>
      <c r="AO92" s="59">
        <f t="shared" si="90"/>
        <v>427.16091343339173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2.4541021542858639</v>
      </c>
      <c r="AV92" s="21">
        <f>EXP(-LN(2)/25)*AV91+(1-EXP(-LN(2)/25))/(LN(2)/25)*Calculateur!AQ92*Calculateur!AS92*VLOOKUP('Données projet'!$B$10,Paramètres!$A$1:$I$89,3,0)*0.475*44/12</f>
        <v>3.529240923270784</v>
      </c>
      <c r="AW92" s="21">
        <f>EXP(-LN(2)/2)*AW91+(1-EXP(-LN(2)/2))/(LN(2)/2)*AQ92*AT92*VLOOKUP('Données projet'!$B$10,Paramètres!$A$1:$I$89,3,0)*0.475*44/12</f>
        <v>1.4847766007489361E-8</v>
      </c>
      <c r="AX92" s="21">
        <f t="shared" si="60"/>
        <v>5.9833430924044135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</v>
      </c>
      <c r="BD92" s="12">
        <f>IF('Données projet'!$A$88&gt;35,BD91+BC92-BL91,IF(A92&lt;'Données projet'!$A$88,$BA$205^A92,IF(A92='Données projet'!$A$88,'Données projet'!$B$88,BD91+BC92-BL91)))</f>
        <v>190.99999999999994</v>
      </c>
      <c r="BE92" s="13">
        <f>BD92*VLOOKUP('Données projet'!$B$11,Paramètres!$A$1:$I$89,3,0)*VLOOKUP('Données projet'!$B$11,Paramètres!$A$1:$I$89,5,0)</f>
        <v>166.85759999999996</v>
      </c>
      <c r="BF92" s="13">
        <f t="shared" si="91"/>
        <v>42.385468111966098</v>
      </c>
      <c r="BG92" s="20">
        <f t="shared" si="61"/>
        <v>364.43167696167421</v>
      </c>
      <c r="BH92" s="59">
        <f t="shared" si="62"/>
        <v>657.76501029500753</v>
      </c>
      <c r="BI92" s="59">
        <f ca="1">AVERAGE(OFFSET($BH$3,0,0,'Données projet'!$E$11+1,1))-AVERAGE(OFFSET($H$3,0,0,'Données projet'!$E$11+1,1))</f>
        <v>268.31928207836495</v>
      </c>
      <c r="BJ92" s="59">
        <f t="shared" si="92"/>
        <v>277.61304526670204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0.63960360371928304</v>
      </c>
      <c r="BQ92" s="21">
        <f>EXP(-LN(2)/25)*BQ91+(1-EXP(-LN(2)/25))/(LN(2)/25)*Calculateur!BL92*Calculateur!BN92*VLOOKUP('Données projet'!$B$11,Paramètres!$A$1:$I$89,3,0)*0.475*44/12</f>
        <v>1.0970054136286831</v>
      </c>
      <c r="BR92" s="21">
        <f>EXP(-LN(2)/2)*BR91+(1-EXP(-LN(2)/2))/(LN(2)/2)*BL92*BO92*VLOOKUP('Données projet'!$B$11,Paramètres!$A$1:$I$89,3,0)*0.475*44/12</f>
        <v>1.0752196149418321E-8</v>
      </c>
      <c r="BS92" s="22">
        <f t="shared" si="63"/>
        <v>1.7366090281001625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2.8421709430404007E-14</v>
      </c>
      <c r="BZ92" s="13">
        <f>BY92*VLOOKUP('Données projet'!$B$12,Paramètres!$A$1:$I$89,3,0)*VLOOKUP('Données projet'!$B$12,Paramètres!$A$1:$I$89,5,0)</f>
        <v>2.2612312022829431E-14</v>
      </c>
      <c r="CA92" s="13">
        <f t="shared" si="93"/>
        <v>4.0387900716432995E-13</v>
      </c>
      <c r="CB92" s="20">
        <f t="shared" si="64"/>
        <v>7.4280571425096929E-13</v>
      </c>
      <c r="CC92" s="59">
        <f t="shared" si="65"/>
        <v>293.33333333333405</v>
      </c>
      <c r="CD92" s="59">
        <f ca="1">AVERAGE(OFFSET($CC$3,0,0,'Données projet'!$E$12+1,1))-AVERAGE(OFFSET($H$3,0,0,'Données projet'!$E$12+1,1))</f>
        <v>241.67556898455945</v>
      </c>
      <c r="CE92" s="59">
        <f t="shared" si="94"/>
        <v>237.71070965292648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1.9633095956636772</v>
      </c>
      <c r="CL92" s="21">
        <f>EXP(-LN(2)/25)*CL91+(1-EXP(-LN(2)/25))/(LN(2)/25)*Calculateur!CG92*Calculateur!CI92*VLOOKUP('Données projet'!$B$12,Paramètres!$A$1:$I$89,3,0)*0.475*44/12</f>
        <v>1.3782852677249831</v>
      </c>
      <c r="CM92" s="21">
        <f>EXP(-LN(2)/2)*CM91+(1-EXP(-LN(2)/2))/(LN(2)/2)*CG92*CJ92*VLOOKUP('Données projet'!$B$12,Paramètres!$A$1:$I$89,3,0)*0.475*44/12</f>
        <v>8.8203206423738342E-9</v>
      </c>
      <c r="CN92" s="22">
        <f t="shared" si="66"/>
        <v>3.3415948722089808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-2.2612312022829427E-13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405.40026823646758</v>
      </c>
      <c r="T93" s="59">
        <f t="shared" si="88"/>
        <v>393.0787141050053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5.2766258877717194</v>
      </c>
      <c r="AA93" s="21">
        <f>EXP(-LN(2)/25)*AA92+(1-EXP(-LN(2)/25))/(LN(2)/25)*Calculateur!V93*Calculateur!X93*VLOOKUP('Données projet'!$B$9,Paramètres!$A$1:$I$89,3,0)*0.475*44/12</f>
        <v>3.918104752808965</v>
      </c>
      <c r="AB93" s="21">
        <f>EXP(-LN(2)/2)*AB92+(1-EXP(-LN(2)/2))/(LN(2)/2)*V93*Y93*VLOOKUP('Données projet'!$B$9,Paramètres!$A$1:$I$89,3,0)*0.475*44/12</f>
        <v>1.1017286250446054E-8</v>
      </c>
      <c r="AC93" s="22">
        <f t="shared" si="57"/>
        <v>9.1947306515979701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4.9658410716801891E-14</v>
      </c>
      <c r="AK93" s="13">
        <f t="shared" si="89"/>
        <v>8.0934058173791862E-13</v>
      </c>
      <c r="AL93" s="20">
        <f t="shared" si="58"/>
        <v>1.4960899118586383E-12</v>
      </c>
      <c r="AM93" s="59">
        <f t="shared" si="59"/>
        <v>293.33333333333479</v>
      </c>
      <c r="AN93" s="59">
        <f ca="1">AVERAGE(OFFSET($AM$3,0,0,'Données projet'!$E$10+1,1))-AVERAGE(OFFSET($H$3,0,0,'Données projet'!$E$10+1,1))</f>
        <v>304.32767345253382</v>
      </c>
      <c r="AO93" s="59">
        <f t="shared" si="90"/>
        <v>427.16091343339173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2.40597870789483</v>
      </c>
      <c r="AV93" s="21">
        <f>EXP(-LN(2)/25)*AV92+(1-EXP(-LN(2)/25))/(LN(2)/25)*Calculateur!AQ93*Calculateur!AS93*VLOOKUP('Données projet'!$B$10,Paramètres!$A$1:$I$89,3,0)*0.475*44/12</f>
        <v>3.4327336446292303</v>
      </c>
      <c r="AW93" s="21">
        <f>EXP(-LN(2)/2)*AW92+(1-EXP(-LN(2)/2))/(LN(2)/2)*AQ93*AT93*VLOOKUP('Données projet'!$B$10,Paramètres!$A$1:$I$89,3,0)*0.475*44/12</f>
        <v>1.0498956029366839E-8</v>
      </c>
      <c r="AX93" s="21">
        <f t="shared" si="60"/>
        <v>5.8387123630230171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193</v>
      </c>
      <c r="BB93" s="12">
        <f>VLOOKUP(A93,'Données projet'!$A$87:$I$107,9,0)</f>
        <v>2</v>
      </c>
      <c r="BC93" s="12">
        <f t="array" ref="BC93">INDEX(BB:BB,MIN(IF(ISNUMBER(BB93:BB289),ROW(BB93:BB289),"")))</f>
        <v>2</v>
      </c>
      <c r="BD93" s="12">
        <f>IF('Données projet'!$A$88&gt;35,BD92+BC93-BL92,IF(A93&lt;'Données projet'!$A$88,$BA$205^A93,IF(A93='Données projet'!$A$88,'Données projet'!$B$88,BD92+BC93-BL92)))</f>
        <v>192.99999999999994</v>
      </c>
      <c r="BE93" s="13">
        <f>BD93*VLOOKUP('Données projet'!$B$11,Paramètres!$A$1:$I$89,3,0)*VLOOKUP('Données projet'!$B$11,Paramètres!$A$1:$I$89,5,0)</f>
        <v>168.60479999999998</v>
      </c>
      <c r="BF93" s="13">
        <f t="shared" si="91"/>
        <v>42.777395484149757</v>
      </c>
      <c r="BG93" s="20">
        <f t="shared" si="61"/>
        <v>368.15732380156078</v>
      </c>
      <c r="BH93" s="59">
        <f t="shared" si="62"/>
        <v>661.49065713489404</v>
      </c>
      <c r="BI93" s="59">
        <f ca="1">AVERAGE(OFFSET($BH$3,0,0,'Données projet'!$E$11+1,1))-AVERAGE(OFFSET($H$3,0,0,'Données projet'!$E$11+1,1))</f>
        <v>268.31928207836495</v>
      </c>
      <c r="BJ93" s="59">
        <f t="shared" si="92"/>
        <v>277.61304526670204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193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0.62706136717002503</v>
      </c>
      <c r="BQ93" s="21">
        <f>EXP(-LN(2)/25)*BQ92+(1-EXP(-LN(2)/25))/(LN(2)/25)*Calculateur!BL93*Calculateur!BN93*VLOOKUP('Données projet'!$B$11,Paramètres!$A$1:$I$89,3,0)*0.475*44/12</f>
        <v>1.0670077429039992</v>
      </c>
      <c r="BR93" s="21">
        <f>EXP(-LN(2)/2)*BR92+(1-EXP(-LN(2)/2))/(LN(2)/2)*BL93*BO93*VLOOKUP('Données projet'!$B$11,Paramètres!$A$1:$I$89,3,0)*0.475*44/12</f>
        <v>7.6029508099015798E-9</v>
      </c>
      <c r="BS93" s="22">
        <f t="shared" si="63"/>
        <v>1.6940691176769751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2.8421709430404007E-14</v>
      </c>
      <c r="BZ93" s="13">
        <f>BY93*VLOOKUP('Données projet'!$B$12,Paramètres!$A$1:$I$89,3,0)*VLOOKUP('Données projet'!$B$12,Paramètres!$A$1:$I$89,5,0)</f>
        <v>2.2612312022829431E-14</v>
      </c>
      <c r="CA93" s="13">
        <f t="shared" si="93"/>
        <v>4.0387900716432995E-13</v>
      </c>
      <c r="CB93" s="20">
        <f t="shared" si="64"/>
        <v>7.4280571425096929E-13</v>
      </c>
      <c r="CC93" s="59">
        <f t="shared" si="65"/>
        <v>293.33333333333405</v>
      </c>
      <c r="CD93" s="59">
        <f ca="1">AVERAGE(OFFSET($CC$3,0,0,'Données projet'!$E$12+1,1))-AVERAGE(OFFSET($H$3,0,0,'Données projet'!$E$12+1,1))</f>
        <v>241.67556898455945</v>
      </c>
      <c r="CE93" s="59">
        <f t="shared" si="94"/>
        <v>237.71070965292648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1.9248102919933225</v>
      </c>
      <c r="CL93" s="21">
        <f>EXP(-LN(2)/25)*CL92+(1-EXP(-LN(2)/25))/(LN(2)/25)*Calculateur!CG93*Calculateur!CI93*VLOOKUP('Données projet'!$B$12,Paramètres!$A$1:$I$89,3,0)*0.475*44/12</f>
        <v>1.3405959845981712</v>
      </c>
      <c r="CM93" s="21">
        <f>EXP(-LN(2)/2)*CM92+(1-EXP(-LN(2)/2))/(LN(2)/2)*CG93*CJ93*VLOOKUP('Données projet'!$B$12,Paramètres!$A$1:$I$89,3,0)*0.475*44/12</f>
        <v>6.2369085384622231E-9</v>
      </c>
      <c r="CN93" s="22">
        <f t="shared" si="66"/>
        <v>3.2654062828284021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-2.2612312022829427E-13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405.40026823646758</v>
      </c>
      <c r="T94" s="59">
        <f t="shared" si="88"/>
        <v>393.0787141050053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5.1731544725365142</v>
      </c>
      <c r="AA94" s="21">
        <f>EXP(-LN(2)/25)*AA93+(1-EXP(-LN(2)/25))/(LN(2)/25)*Calculateur!V94*Calculateur!X94*VLOOKUP('Données projet'!$B$9,Paramètres!$A$1:$I$89,3,0)*0.475*44/12</f>
        <v>3.8109639722992297</v>
      </c>
      <c r="AB94" s="21">
        <f>EXP(-LN(2)/2)*AB93+(1-EXP(-LN(2)/2))/(LN(2)/2)*V94*Y94*VLOOKUP('Données projet'!$B$9,Paramètres!$A$1:$I$89,3,0)*0.475*44/12</f>
        <v>7.790397817963716E-9</v>
      </c>
      <c r="AC94" s="22">
        <f t="shared" si="57"/>
        <v>8.9841184526261415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4.9658410716801891E-14</v>
      </c>
      <c r="AK94" s="13">
        <f t="shared" si="89"/>
        <v>8.0934058173791862E-13</v>
      </c>
      <c r="AL94" s="20">
        <f t="shared" si="58"/>
        <v>1.4960899118586383E-12</v>
      </c>
      <c r="AM94" s="59">
        <f t="shared" si="59"/>
        <v>293.33333333333479</v>
      </c>
      <c r="AN94" s="59">
        <f ca="1">AVERAGE(OFFSET($AM$3,0,0,'Données projet'!$E$10+1,1))-AVERAGE(OFFSET($H$3,0,0,'Données projet'!$E$10+1,1))</f>
        <v>304.32767345253382</v>
      </c>
      <c r="AO94" s="59">
        <f t="shared" si="90"/>
        <v>427.16091343339173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2.3587989329351204</v>
      </c>
      <c r="AV94" s="21">
        <f>EXP(-LN(2)/25)*AV93+(1-EXP(-LN(2)/25))/(LN(2)/25)*Calculateur!AQ94*Calculateur!AS94*VLOOKUP('Données projet'!$B$10,Paramètres!$A$1:$I$89,3,0)*0.475*44/12</f>
        <v>3.3388653625972271</v>
      </c>
      <c r="AW94" s="21">
        <f>EXP(-LN(2)/2)*AW93+(1-EXP(-LN(2)/2))/(LN(2)/2)*AQ94*AT94*VLOOKUP('Données projet'!$B$10,Paramètres!$A$1:$I$89,3,0)*0.475*44/12</f>
        <v>7.4238830037446813E-9</v>
      </c>
      <c r="AX94" s="21">
        <f t="shared" si="60"/>
        <v>5.6976643029562304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-4.9658410716801891E-14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268.31928207836495</v>
      </c>
      <c r="BJ94" s="59">
        <f t="shared" si="92"/>
        <v>277.61304526670204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0.61476507622948906</v>
      </c>
      <c r="BQ94" s="21">
        <f>EXP(-LN(2)/25)*BQ93+(1-EXP(-LN(2)/25))/(LN(2)/25)*Calculateur!BL94*Calculateur!BN94*VLOOKUP('Données projet'!$B$11,Paramètres!$A$1:$I$89,3,0)*0.475*44/12</f>
        <v>1.0378303600627909</v>
      </c>
      <c r="BR94" s="21">
        <f>EXP(-LN(2)/2)*BR93+(1-EXP(-LN(2)/2))/(LN(2)/2)*BL94*BO94*VLOOKUP('Données projet'!$B$11,Paramètres!$A$1:$I$89,3,0)*0.475*44/12</f>
        <v>5.3760980747091607E-9</v>
      </c>
      <c r="BS94" s="22">
        <f t="shared" si="63"/>
        <v>1.6525954416683779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2.8421709430404007E-14</v>
      </c>
      <c r="BZ94" s="13">
        <f>BY94*VLOOKUP('Données projet'!$B$12,Paramètres!$A$1:$I$89,3,0)*VLOOKUP('Données projet'!$B$12,Paramètres!$A$1:$I$89,5,0)</f>
        <v>2.2612312022829431E-14</v>
      </c>
      <c r="CA94" s="13">
        <f t="shared" si="93"/>
        <v>4.0387900716432995E-13</v>
      </c>
      <c r="CB94" s="20">
        <f t="shared" si="64"/>
        <v>7.4280571425096929E-13</v>
      </c>
      <c r="CC94" s="59">
        <f t="shared" si="65"/>
        <v>293.33333333333405</v>
      </c>
      <c r="CD94" s="59">
        <f ca="1">AVERAGE(OFFSET($CC$3,0,0,'Données projet'!$E$12+1,1))-AVERAGE(OFFSET($H$3,0,0,'Données projet'!$E$12+1,1))</f>
        <v>241.67556898455945</v>
      </c>
      <c r="CE94" s="59">
        <f t="shared" si="94"/>
        <v>237.71070965292648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1.887065936185687</v>
      </c>
      <c r="CL94" s="21">
        <f>EXP(-LN(2)/25)*CL93+(1-EXP(-LN(2)/25))/(LN(2)/25)*Calculateur!CG94*Calculateur!CI94*VLOOKUP('Données projet'!$B$12,Paramètres!$A$1:$I$89,3,0)*0.475*44/12</f>
        <v>1.3039373169004553</v>
      </c>
      <c r="CM94" s="21">
        <f>EXP(-LN(2)/2)*CM93+(1-EXP(-LN(2)/2))/(LN(2)/2)*CG94*CJ94*VLOOKUP('Données projet'!$B$12,Paramètres!$A$1:$I$89,3,0)*0.475*44/12</f>
        <v>4.4101603211869171E-9</v>
      </c>
      <c r="CN94" s="22">
        <f t="shared" si="66"/>
        <v>3.1910032574963028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-2.2612312022829427E-13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405.40026823646758</v>
      </c>
      <c r="T95" s="59">
        <f t="shared" si="88"/>
        <v>393.0787141050053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5.0717120686427402</v>
      </c>
      <c r="AA95" s="21">
        <f>EXP(-LN(2)/25)*AA94+(1-EXP(-LN(2)/25))/(LN(2)/25)*Calculateur!V95*Calculateur!X95*VLOOKUP('Données projet'!$B$9,Paramètres!$A$1:$I$89,3,0)*0.475*44/12</f>
        <v>3.706752962066822</v>
      </c>
      <c r="AB95" s="21">
        <f>EXP(-LN(2)/2)*AB94+(1-EXP(-LN(2)/2))/(LN(2)/2)*V95*Y95*VLOOKUP('Données projet'!$B$9,Paramètres!$A$1:$I$89,3,0)*0.475*44/12</f>
        <v>5.5086431252230268E-9</v>
      </c>
      <c r="AC95" s="22">
        <f t="shared" si="57"/>
        <v>8.7784650362182042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4.9658410716801891E-14</v>
      </c>
      <c r="AK95" s="13">
        <f t="shared" si="89"/>
        <v>8.0934058173791862E-13</v>
      </c>
      <c r="AL95" s="20">
        <f t="shared" si="58"/>
        <v>1.4960899118586383E-12</v>
      </c>
      <c r="AM95" s="59">
        <f t="shared" si="59"/>
        <v>293.33333333333479</v>
      </c>
      <c r="AN95" s="59">
        <f ca="1">AVERAGE(OFFSET($AM$3,0,0,'Données projet'!$E$10+1,1))-AVERAGE(OFFSET($H$3,0,0,'Données projet'!$E$10+1,1))</f>
        <v>304.32767345253382</v>
      </c>
      <c r="AO95" s="59">
        <f t="shared" si="90"/>
        <v>427.16091343339173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2.3125443245855495</v>
      </c>
      <c r="AV95" s="21">
        <f>EXP(-LN(2)/25)*AV94+(1-EXP(-LN(2)/25))/(LN(2)/25)*Calculateur!AQ95*Calculateur!AS95*VLOOKUP('Données projet'!$B$10,Paramètres!$A$1:$I$89,3,0)*0.475*44/12</f>
        <v>3.2475639136737078</v>
      </c>
      <c r="AW95" s="21">
        <f>EXP(-LN(2)/2)*AW94+(1-EXP(-LN(2)/2))/(LN(2)/2)*AQ95*AT95*VLOOKUP('Données projet'!$B$10,Paramètres!$A$1:$I$89,3,0)*0.475*44/12</f>
        <v>5.2494780146834201E-9</v>
      </c>
      <c r="AX95" s="21">
        <f t="shared" si="60"/>
        <v>5.5601082435087354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-4.9658410716801891E-14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268.31928207836495</v>
      </c>
      <c r="BJ95" s="59">
        <f t="shared" si="92"/>
        <v>277.61304526670204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0.60270990805430014</v>
      </c>
      <c r="BQ95" s="21">
        <f>EXP(-LN(2)/25)*BQ94+(1-EXP(-LN(2)/25))/(LN(2)/25)*Calculateur!BL95*Calculateur!BN95*VLOOKUP('Données projet'!$B$11,Paramètres!$A$1:$I$89,3,0)*0.475*44/12</f>
        <v>1.0094508342897472</v>
      </c>
      <c r="BR95" s="21">
        <f>EXP(-LN(2)/2)*BR94+(1-EXP(-LN(2)/2))/(LN(2)/2)*BL95*BO95*VLOOKUP('Données projet'!$B$11,Paramètres!$A$1:$I$89,3,0)*0.475*44/12</f>
        <v>3.8014754049507899E-9</v>
      </c>
      <c r="BS95" s="22">
        <f t="shared" si="63"/>
        <v>1.6121607461455227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2.8421709430404007E-14</v>
      </c>
      <c r="BZ95" s="13">
        <f>BY95*VLOOKUP('Données projet'!$B$12,Paramètres!$A$1:$I$89,3,0)*VLOOKUP('Données projet'!$B$12,Paramètres!$A$1:$I$89,5,0)</f>
        <v>2.2612312022829431E-14</v>
      </c>
      <c r="CA95" s="13">
        <f t="shared" si="93"/>
        <v>4.0387900716432995E-13</v>
      </c>
      <c r="CB95" s="20">
        <f t="shared" si="64"/>
        <v>7.4280571425096929E-13</v>
      </c>
      <c r="CC95" s="59">
        <f t="shared" si="65"/>
        <v>293.33333333333405</v>
      </c>
      <c r="CD95" s="59">
        <f ca="1">AVERAGE(OFFSET($CC$3,0,0,'Données projet'!$E$12+1,1))-AVERAGE(OFFSET($H$3,0,0,'Données projet'!$E$12+1,1))</f>
        <v>241.67556898455945</v>
      </c>
      <c r="CE95" s="59">
        <f t="shared" si="94"/>
        <v>237.71070965292648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1.8500617241736552</v>
      </c>
      <c r="CL95" s="21">
        <f>EXP(-LN(2)/25)*CL94+(1-EXP(-LN(2)/25))/(LN(2)/25)*Calculateur!CG95*Calculateur!CI95*VLOOKUP('Données projet'!$B$12,Paramètres!$A$1:$I$89,3,0)*0.475*44/12</f>
        <v>1.2682810823987292</v>
      </c>
      <c r="CM95" s="21">
        <f>EXP(-LN(2)/2)*CM94+(1-EXP(-LN(2)/2))/(LN(2)/2)*CG95*CJ95*VLOOKUP('Données projet'!$B$12,Paramètres!$A$1:$I$89,3,0)*0.475*44/12</f>
        <v>3.1184542692311115E-9</v>
      </c>
      <c r="CN95" s="22">
        <f t="shared" si="66"/>
        <v>3.1183428096908385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-2.2612312022829427E-13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405.40026823646758</v>
      </c>
      <c r="T96" s="59">
        <f t="shared" si="88"/>
        <v>393.0787141050053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4.9722588884155661</v>
      </c>
      <c r="AA96" s="21">
        <f>EXP(-LN(2)/25)*AA95+(1-EXP(-LN(2)/25))/(LN(2)/25)*Calculateur!V96*Calculateur!X96*VLOOKUP('Données projet'!$B$9,Paramètres!$A$1:$I$89,3,0)*0.475*44/12</f>
        <v>3.6053916073894383</v>
      </c>
      <c r="AB96" s="21">
        <f>EXP(-LN(2)/2)*AB95+(1-EXP(-LN(2)/2))/(LN(2)/2)*V96*Y96*VLOOKUP('Données projet'!$B$9,Paramètres!$A$1:$I$89,3,0)*0.475*44/12</f>
        <v>3.895198908981858E-9</v>
      </c>
      <c r="AC96" s="22">
        <f t="shared" si="57"/>
        <v>8.5776504997002032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4.9658410716801891E-14</v>
      </c>
      <c r="AK96" s="13">
        <f t="shared" si="89"/>
        <v>8.0934058173791862E-13</v>
      </c>
      <c r="AL96" s="20">
        <f t="shared" si="58"/>
        <v>1.4960899118586383E-12</v>
      </c>
      <c r="AM96" s="59">
        <f t="shared" si="59"/>
        <v>293.33333333333479</v>
      </c>
      <c r="AN96" s="59">
        <f ca="1">AVERAGE(OFFSET($AM$3,0,0,'Données projet'!$E$10+1,1))-AVERAGE(OFFSET($H$3,0,0,'Données projet'!$E$10+1,1))</f>
        <v>304.32767345253382</v>
      </c>
      <c r="AO96" s="59">
        <f t="shared" si="90"/>
        <v>427.16091343339173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2.2671967408931883</v>
      </c>
      <c r="AV96" s="21">
        <f>EXP(-LN(2)/25)*AV95+(1-EXP(-LN(2)/25))/(LN(2)/25)*Calculateur!AQ96*Calculateur!AS96*VLOOKUP('Données projet'!$B$10,Paramètres!$A$1:$I$89,3,0)*0.475*44/12</f>
        <v>3.1587591076723363</v>
      </c>
      <c r="AW96" s="21">
        <f>EXP(-LN(2)/2)*AW95+(1-EXP(-LN(2)/2))/(LN(2)/2)*AQ96*AT96*VLOOKUP('Données projet'!$B$10,Paramètres!$A$1:$I$89,3,0)*0.475*44/12</f>
        <v>3.7119415018723415E-9</v>
      </c>
      <c r="AX96" s="21">
        <f t="shared" si="60"/>
        <v>5.4259558522774665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-4.9658410716801891E-14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268.31928207836495</v>
      </c>
      <c r="BJ96" s="59">
        <f t="shared" si="92"/>
        <v>277.61304526670204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0.59089113437410012</v>
      </c>
      <c r="BQ96" s="21">
        <f>EXP(-LN(2)/25)*BQ95+(1-EXP(-LN(2)/25))/(LN(2)/25)*Calculateur!BL96*Calculateur!BN96*VLOOKUP('Données projet'!$B$11,Paramètres!$A$1:$I$89,3,0)*0.475*44/12</f>
        <v>0.98184734814138186</v>
      </c>
      <c r="BR96" s="21">
        <f>EXP(-LN(2)/2)*BR95+(1-EXP(-LN(2)/2))/(LN(2)/2)*BL96*BO96*VLOOKUP('Données projet'!$B$11,Paramètres!$A$1:$I$89,3,0)*0.475*44/12</f>
        <v>2.6880490373545803E-9</v>
      </c>
      <c r="BS96" s="22">
        <f t="shared" si="63"/>
        <v>1.5727384852035311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2.8421709430404007E-14</v>
      </c>
      <c r="BZ96" s="13">
        <f>BY96*VLOOKUP('Données projet'!$B$12,Paramètres!$A$1:$I$89,3,0)*VLOOKUP('Données projet'!$B$12,Paramètres!$A$1:$I$89,5,0)</f>
        <v>2.2612312022829431E-14</v>
      </c>
      <c r="CA96" s="13">
        <f t="shared" si="93"/>
        <v>4.0387900716432995E-13</v>
      </c>
      <c r="CB96" s="20">
        <f t="shared" si="64"/>
        <v>7.4280571425096929E-13</v>
      </c>
      <c r="CC96" s="59">
        <f t="shared" si="65"/>
        <v>293.33333333333405</v>
      </c>
      <c r="CD96" s="59">
        <f ca="1">AVERAGE(OFFSET($CC$3,0,0,'Données projet'!$E$12+1,1))-AVERAGE(OFFSET($H$3,0,0,'Données projet'!$E$12+1,1))</f>
        <v>241.67556898455945</v>
      </c>
      <c r="CE96" s="59">
        <f t="shared" si="94"/>
        <v>237.71070965292648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1.8137831421888388</v>
      </c>
      <c r="CL96" s="21">
        <f>EXP(-LN(2)/25)*CL95+(1-EXP(-LN(2)/25))/(LN(2)/25)*Calculateur!CG96*Calculateur!CI96*VLOOKUP('Données projet'!$B$12,Paramètres!$A$1:$I$89,3,0)*0.475*44/12</f>
        <v>1.2335998695045325</v>
      </c>
      <c r="CM96" s="21">
        <f>EXP(-LN(2)/2)*CM95+(1-EXP(-LN(2)/2))/(LN(2)/2)*CG96*CJ96*VLOOKUP('Données projet'!$B$12,Paramètres!$A$1:$I$89,3,0)*0.475*44/12</f>
        <v>2.2050801605934585E-9</v>
      </c>
      <c r="CN96" s="22">
        <f t="shared" si="66"/>
        <v>3.0473830138984517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-2.2612312022829427E-13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405.40026823646758</v>
      </c>
      <c r="T97" s="59">
        <f t="shared" si="88"/>
        <v>393.0787141050053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4.874755924392197</v>
      </c>
      <c r="AA97" s="21">
        <f>EXP(-LN(2)/25)*AA96+(1-EXP(-LN(2)/25))/(LN(2)/25)*Calculateur!V97*Calculateur!X97*VLOOKUP('Données projet'!$B$9,Paramètres!$A$1:$I$89,3,0)*0.475*44/12</f>
        <v>3.5068019842860698</v>
      </c>
      <c r="AB97" s="21">
        <f>EXP(-LN(2)/2)*AB96+(1-EXP(-LN(2)/2))/(LN(2)/2)*V97*Y97*VLOOKUP('Données projet'!$B$9,Paramètres!$A$1:$I$89,3,0)*0.475*44/12</f>
        <v>2.7543215626115134E-9</v>
      </c>
      <c r="AC97" s="22">
        <f t="shared" si="57"/>
        <v>8.3815579114325889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4.9658410716801891E-14</v>
      </c>
      <c r="AK97" s="13">
        <f t="shared" si="89"/>
        <v>8.0934058173791862E-13</v>
      </c>
      <c r="AL97" s="20">
        <f t="shared" si="58"/>
        <v>1.4960899118586383E-12</v>
      </c>
      <c r="AM97" s="59">
        <f t="shared" si="59"/>
        <v>293.33333333333479</v>
      </c>
      <c r="AN97" s="59">
        <f ca="1">AVERAGE(OFFSET($AM$3,0,0,'Données projet'!$E$10+1,1))-AVERAGE(OFFSET($H$3,0,0,'Données projet'!$E$10+1,1))</f>
        <v>304.32767345253382</v>
      </c>
      <c r="AO97" s="59">
        <f t="shared" si="90"/>
        <v>427.16091343339173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2.2227383956577396</v>
      </c>
      <c r="AV97" s="21">
        <f>EXP(-LN(2)/25)*AV96+(1-EXP(-LN(2)/25))/(LN(2)/25)*Calculateur!AQ97*Calculateur!AS97*VLOOKUP('Données projet'!$B$10,Paramètres!$A$1:$I$89,3,0)*0.475*44/12</f>
        <v>3.0723826737611142</v>
      </c>
      <c r="AW97" s="21">
        <f>EXP(-LN(2)/2)*AW96+(1-EXP(-LN(2)/2))/(LN(2)/2)*AQ97*AT97*VLOOKUP('Données projet'!$B$10,Paramètres!$A$1:$I$89,3,0)*0.475*44/12</f>
        <v>2.6247390073417105E-9</v>
      </c>
      <c r="AX97" s="21">
        <f t="shared" si="60"/>
        <v>5.2951210720435924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-4.9658410716801891E-14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268.31928207836495</v>
      </c>
      <c r="BJ97" s="59">
        <f t="shared" si="92"/>
        <v>277.61304526670204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0.57930411963702866</v>
      </c>
      <c r="BQ97" s="21">
        <f>EXP(-LN(2)/25)*BQ96+(1-EXP(-LN(2)/25))/(LN(2)/25)*Calculateur!BL97*Calculateur!BN97*VLOOKUP('Données projet'!$B$11,Paramètres!$A$1:$I$89,3,0)*0.475*44/12</f>
        <v>0.95499868077334782</v>
      </c>
      <c r="BR97" s="21">
        <f>EXP(-LN(2)/2)*BR96+(1-EXP(-LN(2)/2))/(LN(2)/2)*BL97*BO97*VLOOKUP('Données projet'!$B$11,Paramètres!$A$1:$I$89,3,0)*0.475*44/12</f>
        <v>1.9007377024753949E-9</v>
      </c>
      <c r="BS97" s="22">
        <f t="shared" si="63"/>
        <v>1.5343028023111143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2.8421709430404007E-14</v>
      </c>
      <c r="BZ97" s="13">
        <f>BY97*VLOOKUP('Données projet'!$B$12,Paramètres!$A$1:$I$89,3,0)*VLOOKUP('Données projet'!$B$12,Paramètres!$A$1:$I$89,5,0)</f>
        <v>2.2612312022829431E-14</v>
      </c>
      <c r="CA97" s="13">
        <f t="shared" si="93"/>
        <v>4.0387900716432995E-13</v>
      </c>
      <c r="CB97" s="20">
        <f t="shared" si="64"/>
        <v>7.4280571425096929E-13</v>
      </c>
      <c r="CC97" s="59">
        <f t="shared" si="65"/>
        <v>293.33333333333405</v>
      </c>
      <c r="CD97" s="59">
        <f ca="1">AVERAGE(OFFSET($CC$3,0,0,'Données projet'!$E$12+1,1))-AVERAGE(OFFSET($H$3,0,0,'Données projet'!$E$12+1,1))</f>
        <v>241.67556898455945</v>
      </c>
      <c r="CE97" s="59">
        <f t="shared" si="94"/>
        <v>237.71070965292648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1.7782159610689945</v>
      </c>
      <c r="CL97" s="21">
        <f>EXP(-LN(2)/25)*CL96+(1-EXP(-LN(2)/25))/(LN(2)/25)*Calculateur!CG97*Calculateur!CI97*VLOOKUP('Données projet'!$B$12,Paramètres!$A$1:$I$89,3,0)*0.475*44/12</f>
        <v>1.1998670162007334</v>
      </c>
      <c r="CM97" s="21">
        <f>EXP(-LN(2)/2)*CM96+(1-EXP(-LN(2)/2))/(LN(2)/2)*CG97*CJ97*VLOOKUP('Données projet'!$B$12,Paramètres!$A$1:$I$89,3,0)*0.475*44/12</f>
        <v>1.5592271346155558E-9</v>
      </c>
      <c r="CN97" s="22">
        <f t="shared" si="66"/>
        <v>2.9780829788289549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-2.2612312022829427E-13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405.40026823646758</v>
      </c>
      <c r="T98" s="59">
        <f t="shared" si="88"/>
        <v>393.0787141050053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4.7791649340223898</v>
      </c>
      <c r="AA98" s="21">
        <f>EXP(-LN(2)/25)*AA97+(1-EXP(-LN(2)/25))/(LN(2)/25)*Calculateur!V98*Calculateur!X98*VLOOKUP('Données projet'!$B$9,Paramètres!$A$1:$I$89,3,0)*0.475*44/12</f>
        <v>3.4109082996110658</v>
      </c>
      <c r="AB98" s="21">
        <f>EXP(-LN(2)/2)*AB97+(1-EXP(-LN(2)/2))/(LN(2)/2)*V98*Y98*VLOOKUP('Données projet'!$B$9,Paramètres!$A$1:$I$89,3,0)*0.475*44/12</f>
        <v>1.947599454490929E-9</v>
      </c>
      <c r="AC98" s="22">
        <f t="shared" si="57"/>
        <v>8.190073235581055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4.9658410716801891E-14</v>
      </c>
      <c r="AK98" s="13">
        <f t="shared" si="89"/>
        <v>8.0934058173791862E-13</v>
      </c>
      <c r="AL98" s="20">
        <f t="shared" si="58"/>
        <v>1.4960899118586383E-12</v>
      </c>
      <c r="AM98" s="59">
        <f t="shared" si="59"/>
        <v>293.33333333333479</v>
      </c>
      <c r="AN98" s="59">
        <f ca="1">AVERAGE(OFFSET($AM$3,0,0,'Données projet'!$E$10+1,1))-AVERAGE(OFFSET($H$3,0,0,'Données projet'!$E$10+1,1))</f>
        <v>304.32767345253382</v>
      </c>
      <c r="AO98" s="59">
        <f t="shared" si="90"/>
        <v>427.16091343339173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2.1791518514554449</v>
      </c>
      <c r="AV98" s="21">
        <f>EXP(-LN(2)/25)*AV97+(1-EXP(-LN(2)/25))/(LN(2)/25)*Calculateur!AQ98*Calculateur!AS98*VLOOKUP('Données projet'!$B$10,Paramètres!$A$1:$I$89,3,0)*0.475*44/12</f>
        <v>2.9883682079775338</v>
      </c>
      <c r="AW98" s="21">
        <f>EXP(-LN(2)/2)*AW97+(1-EXP(-LN(2)/2))/(LN(2)/2)*AQ98*AT98*VLOOKUP('Données projet'!$B$10,Paramètres!$A$1:$I$89,3,0)*0.475*44/12</f>
        <v>1.8559707509361709E-9</v>
      </c>
      <c r="AX98" s="21">
        <f t="shared" si="60"/>
        <v>5.1675200612889496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-4.9658410716801891E-14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268.31928207836495</v>
      </c>
      <c r="BJ98" s="59">
        <f t="shared" si="92"/>
        <v>277.61304526670204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0.56794431919157007</v>
      </c>
      <c r="BQ98" s="21">
        <f>EXP(-LN(2)/25)*BQ97+(1-EXP(-LN(2)/25))/(LN(2)/25)*Calculateur!BL98*Calculateur!BN98*VLOOKUP('Données projet'!$B$11,Paramètres!$A$1:$I$89,3,0)*0.475*44/12</f>
        <v>0.92888419162640268</v>
      </c>
      <c r="BR98" s="21">
        <f>EXP(-LN(2)/2)*BR97+(1-EXP(-LN(2)/2))/(LN(2)/2)*BL98*BO98*VLOOKUP('Données projet'!$B$11,Paramètres!$A$1:$I$89,3,0)*0.475*44/12</f>
        <v>1.3440245186772902E-9</v>
      </c>
      <c r="BS98" s="22">
        <f t="shared" si="63"/>
        <v>1.4968285121619971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2.8421709430404007E-14</v>
      </c>
      <c r="BZ98" s="13">
        <f>BY98*VLOOKUP('Données projet'!$B$12,Paramètres!$A$1:$I$89,3,0)*VLOOKUP('Données projet'!$B$12,Paramètres!$A$1:$I$89,5,0)</f>
        <v>2.2612312022829431E-14</v>
      </c>
      <c r="CA98" s="13">
        <f t="shared" si="93"/>
        <v>4.0387900716432995E-13</v>
      </c>
      <c r="CB98" s="20">
        <f t="shared" si="64"/>
        <v>7.4280571425096929E-13</v>
      </c>
      <c r="CC98" s="59">
        <f t="shared" si="65"/>
        <v>293.33333333333405</v>
      </c>
      <c r="CD98" s="59">
        <f ca="1">AVERAGE(OFFSET($CC$3,0,0,'Données projet'!$E$12+1,1))-AVERAGE(OFFSET($H$3,0,0,'Données projet'!$E$12+1,1))</f>
        <v>241.67556898455945</v>
      </c>
      <c r="CE98" s="59">
        <f t="shared" si="94"/>
        <v>237.71070965292648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1.743346230677072</v>
      </c>
      <c r="CL98" s="21">
        <f>EXP(-LN(2)/25)*CL97+(1-EXP(-LN(2)/25))/(LN(2)/25)*Calculateur!CG98*Calculateur!CI98*VLOOKUP('Données projet'!$B$12,Paramètres!$A$1:$I$89,3,0)*0.475*44/12</f>
        <v>1.1670565895444602</v>
      </c>
      <c r="CM98" s="21">
        <f>EXP(-LN(2)/2)*CM97+(1-EXP(-LN(2)/2))/(LN(2)/2)*CG98*CJ98*VLOOKUP('Données projet'!$B$12,Paramètres!$A$1:$I$89,3,0)*0.475*44/12</f>
        <v>1.1025400802967293E-9</v>
      </c>
      <c r="CN98" s="22">
        <f t="shared" si="66"/>
        <v>2.9104028213240722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-2.2612312022829427E-13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405.40026823646758</v>
      </c>
      <c r="T99" s="59">
        <f t="shared" si="88"/>
        <v>393.0787141050053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4.685448424668988</v>
      </c>
      <c r="AA99" s="21">
        <f>EXP(-LN(2)/25)*AA98+(1-EXP(-LN(2)/25))/(LN(2)/25)*Calculateur!V99*Calculateur!X99*VLOOKUP('Données projet'!$B$9,Paramètres!$A$1:$I$89,3,0)*0.475*44/12</f>
        <v>3.3176368327863295</v>
      </c>
      <c r="AB99" s="21">
        <f>EXP(-LN(2)/2)*AB98+(1-EXP(-LN(2)/2))/(LN(2)/2)*V99*Y99*VLOOKUP('Données projet'!$B$9,Paramètres!$A$1:$I$89,3,0)*0.475*44/12</f>
        <v>1.3771607813057567E-9</v>
      </c>
      <c r="AC99" s="22">
        <f t="shared" si="57"/>
        <v>8.0030852588324795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4.9658410716801891E-14</v>
      </c>
      <c r="AK99" s="13">
        <f t="shared" si="89"/>
        <v>8.0934058173791862E-13</v>
      </c>
      <c r="AL99" s="20">
        <f t="shared" si="58"/>
        <v>1.4960899118586383E-12</v>
      </c>
      <c r="AM99" s="59">
        <f t="shared" si="59"/>
        <v>293.33333333333479</v>
      </c>
      <c r="AN99" s="59">
        <f ca="1">AVERAGE(OFFSET($AM$3,0,0,'Données projet'!$E$10+1,1))-AVERAGE(OFFSET($H$3,0,0,'Données projet'!$E$10+1,1))</f>
        <v>304.32767345253382</v>
      </c>
      <c r="AO99" s="59">
        <f t="shared" si="90"/>
        <v>427.16091343339173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2.1364200127997903</v>
      </c>
      <c r="AV99" s="21">
        <f>EXP(-LN(2)/25)*AV98+(1-EXP(-LN(2)/25))/(LN(2)/25)*Calculateur!AQ99*Calculateur!AS99*VLOOKUP('Données projet'!$B$10,Paramètres!$A$1:$I$89,3,0)*0.475*44/12</f>
        <v>2.9066511221789342</v>
      </c>
      <c r="AW99" s="21">
        <f>EXP(-LN(2)/2)*AW98+(1-EXP(-LN(2)/2))/(LN(2)/2)*AQ99*AT99*VLOOKUP('Données projet'!$B$10,Paramètres!$A$1:$I$89,3,0)*0.475*44/12</f>
        <v>1.3123695036708554E-9</v>
      </c>
      <c r="AX99" s="21">
        <f t="shared" si="60"/>
        <v>5.0430711362910943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-4.9658410716801891E-14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268.31928207836495</v>
      </c>
      <c r="BJ99" s="59">
        <f t="shared" si="92"/>
        <v>277.61304526670204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0.55680727750405279</v>
      </c>
      <c r="BQ99" s="21">
        <f>EXP(-LN(2)/25)*BQ98+(1-EXP(-LN(2)/25))/(LN(2)/25)*Calculateur!BL99*Calculateur!BN99*VLOOKUP('Données projet'!$B$11,Paramètres!$A$1:$I$89,3,0)*0.475*44/12</f>
        <v>0.9034838045584821</v>
      </c>
      <c r="BR99" s="21">
        <f>EXP(-LN(2)/2)*BR98+(1-EXP(-LN(2)/2))/(LN(2)/2)*BL99*BO99*VLOOKUP('Données projet'!$B$11,Paramètres!$A$1:$I$89,3,0)*0.475*44/12</f>
        <v>9.5036885123769747E-10</v>
      </c>
      <c r="BS99" s="22">
        <f t="shared" si="63"/>
        <v>1.4602910830129037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2.8421709430404007E-14</v>
      </c>
      <c r="BZ99" s="13">
        <f>BY99*VLOOKUP('Données projet'!$B$12,Paramètres!$A$1:$I$89,3,0)*VLOOKUP('Données projet'!$B$12,Paramètres!$A$1:$I$89,5,0)</f>
        <v>2.2612312022829431E-14</v>
      </c>
      <c r="CA99" s="13">
        <f t="shared" si="93"/>
        <v>4.0387900716432995E-13</v>
      </c>
      <c r="CB99" s="20">
        <f t="shared" si="64"/>
        <v>7.4280571425096929E-13</v>
      </c>
      <c r="CC99" s="59">
        <f t="shared" si="65"/>
        <v>293.33333333333405</v>
      </c>
      <c r="CD99" s="59">
        <f ca="1">AVERAGE(OFFSET($CC$3,0,0,'Données projet'!$E$12+1,1))-AVERAGE(OFFSET($H$3,0,0,'Données projet'!$E$12+1,1))</f>
        <v>241.67556898455945</v>
      </c>
      <c r="CE99" s="59">
        <f t="shared" si="94"/>
        <v>237.71070965292648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1.7091602744296996</v>
      </c>
      <c r="CL99" s="21">
        <f>EXP(-LN(2)/25)*CL98+(1-EXP(-LN(2)/25))/(LN(2)/25)*Calculateur!CG99*Calculateur!CI99*VLOOKUP('Données projet'!$B$12,Paramètres!$A$1:$I$89,3,0)*0.475*44/12</f>
        <v>1.1351433657305283</v>
      </c>
      <c r="CM99" s="21">
        <f>EXP(-LN(2)/2)*CM98+(1-EXP(-LN(2)/2))/(LN(2)/2)*CG99*CJ99*VLOOKUP('Données projet'!$B$12,Paramètres!$A$1:$I$89,3,0)*0.475*44/12</f>
        <v>7.7961356730777789E-10</v>
      </c>
      <c r="CN99" s="22">
        <f t="shared" si="66"/>
        <v>2.8443036409398417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-2.2612312022829427E-13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405.40026823646758</v>
      </c>
      <c r="T100" s="59">
        <f t="shared" si="88"/>
        <v>393.0787141050053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4.5935696389025802</v>
      </c>
      <c r="AA100" s="21">
        <f>EXP(-LN(2)/25)*AA99+(1-EXP(-LN(2)/25))/(LN(2)/25)*Calculateur!V100*Calculateur!X100*VLOOKUP('Données projet'!$B$9,Paramètres!$A$1:$I$89,3,0)*0.475*44/12</f>
        <v>3.2269158791268486</v>
      </c>
      <c r="AB100" s="21">
        <f>EXP(-LN(2)/2)*AB99+(1-EXP(-LN(2)/2))/(LN(2)/2)*V100*Y100*VLOOKUP('Données projet'!$B$9,Paramètres!$A$1:$I$89,3,0)*0.475*44/12</f>
        <v>9.7379972724546449E-10</v>
      </c>
      <c r="AC100" s="22">
        <f t="shared" si="57"/>
        <v>7.8204855190032285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4.9658410716801891E-14</v>
      </c>
      <c r="AK100" s="13">
        <f t="shared" si="89"/>
        <v>8.0934058173791862E-13</v>
      </c>
      <c r="AL100" s="20">
        <f t="shared" si="58"/>
        <v>1.4960899118586383E-12</v>
      </c>
      <c r="AM100" s="59">
        <f t="shared" si="59"/>
        <v>293.33333333333479</v>
      </c>
      <c r="AN100" s="59">
        <f ca="1">AVERAGE(OFFSET($AM$3,0,0,'Données projet'!$E$10+1,1))-AVERAGE(OFFSET($H$3,0,0,'Données projet'!$E$10+1,1))</f>
        <v>304.32767345253382</v>
      </c>
      <c r="AO100" s="59">
        <f t="shared" si="90"/>
        <v>427.16091343339173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2.0945261194363249</v>
      </c>
      <c r="AV100" s="21">
        <f>EXP(-LN(2)/25)*AV99+(1-EXP(-LN(2)/25))/(LN(2)/25)*Calculateur!AQ100*Calculateur!AS100*VLOOKUP('Données projet'!$B$10,Paramètres!$A$1:$I$89,3,0)*0.475*44/12</f>
        <v>2.8271685943888119</v>
      </c>
      <c r="AW100" s="21">
        <f>EXP(-LN(2)/2)*AW99+(1-EXP(-LN(2)/2))/(LN(2)/2)*AQ100*AT100*VLOOKUP('Données projet'!$B$10,Paramètres!$A$1:$I$89,3,0)*0.475*44/12</f>
        <v>9.2798537546808558E-10</v>
      </c>
      <c r="AX100" s="21">
        <f t="shared" si="60"/>
        <v>4.921694714753122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-4.9658410716801891E-14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268.31928207836495</v>
      </c>
      <c r="BJ100" s="59">
        <f t="shared" si="92"/>
        <v>277.61304526670204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0.54588862641110303</v>
      </c>
      <c r="BQ100" s="21">
        <f>EXP(-LN(2)/25)*BQ99+(1-EXP(-LN(2)/25))/(LN(2)/25)*Calculateur!BL100*Calculateur!BN100*VLOOKUP('Données projet'!$B$11,Paramètres!$A$1:$I$89,3,0)*0.475*44/12</f>
        <v>0.87877799241068211</v>
      </c>
      <c r="BR100" s="21">
        <f>EXP(-LN(2)/2)*BR99+(1-EXP(-LN(2)/2))/(LN(2)/2)*BL100*BO100*VLOOKUP('Données projet'!$B$11,Paramètres!$A$1:$I$89,3,0)*0.475*44/12</f>
        <v>6.7201225933864509E-10</v>
      </c>
      <c r="BS100" s="22">
        <f t="shared" si="63"/>
        <v>1.4246666194937974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2.8421709430404007E-14</v>
      </c>
      <c r="BZ100" s="13">
        <f>BY100*VLOOKUP('Données projet'!$B$12,Paramètres!$A$1:$I$89,3,0)*VLOOKUP('Données projet'!$B$12,Paramètres!$A$1:$I$89,5,0)</f>
        <v>2.2612312022829431E-14</v>
      </c>
      <c r="CA100" s="13">
        <f t="shared" si="93"/>
        <v>4.0387900716432995E-13</v>
      </c>
      <c r="CB100" s="20">
        <f t="shared" si="64"/>
        <v>7.4280571425096929E-13</v>
      </c>
      <c r="CC100" s="59">
        <f t="shared" si="65"/>
        <v>293.33333333333405</v>
      </c>
      <c r="CD100" s="59">
        <f ca="1">AVERAGE(OFFSET($CC$3,0,0,'Données projet'!$E$12+1,1))-AVERAGE(OFFSET($H$3,0,0,'Données projet'!$E$12+1,1))</f>
        <v>241.67556898455945</v>
      </c>
      <c r="CE100" s="59">
        <f t="shared" si="94"/>
        <v>237.71070965292648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1.6756446839329637</v>
      </c>
      <c r="CL100" s="21">
        <f>EXP(-LN(2)/25)*CL99+(1-EXP(-LN(2)/25))/(LN(2)/25)*Calculateur!CG100*Calculateur!CI100*VLOOKUP('Données projet'!$B$12,Paramètres!$A$1:$I$89,3,0)*0.475*44/12</f>
        <v>1.1041028107000319</v>
      </c>
      <c r="CM100" s="21">
        <f>EXP(-LN(2)/2)*CM99+(1-EXP(-LN(2)/2))/(LN(2)/2)*CG100*CJ100*VLOOKUP('Données projet'!$B$12,Paramètres!$A$1:$I$89,3,0)*0.475*44/12</f>
        <v>5.5127004014836464E-10</v>
      </c>
      <c r="CN100" s="22">
        <f t="shared" si="66"/>
        <v>2.7797474951842656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-2.2612312022829427E-13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405.40026823646758</v>
      </c>
      <c r="T101" s="59">
        <f t="shared" si="88"/>
        <v>393.0787141050053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4.5034925400845252</v>
      </c>
      <c r="AA101" s="21">
        <f>EXP(-LN(2)/25)*AA100+(1-EXP(-LN(2)/25))/(LN(2)/25)*Calculateur!V101*Calculateur!X101*VLOOKUP('Données projet'!$B$9,Paramètres!$A$1:$I$89,3,0)*0.475*44/12</f>
        <v>3.1386756947159942</v>
      </c>
      <c r="AB101" s="21">
        <f>EXP(-LN(2)/2)*AB100+(1-EXP(-LN(2)/2))/(LN(2)/2)*V101*Y101*VLOOKUP('Données projet'!$B$9,Paramètres!$A$1:$I$89,3,0)*0.475*44/12</f>
        <v>6.8858039065287835E-10</v>
      </c>
      <c r="AC101" s="22">
        <f t="shared" si="57"/>
        <v>7.6421682354891001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4.9658410716801891E-14</v>
      </c>
      <c r="AK101" s="13">
        <f t="shared" si="89"/>
        <v>8.0934058173791862E-13</v>
      </c>
      <c r="AL101" s="20">
        <f t="shared" si="58"/>
        <v>1.4960899118586383E-12</v>
      </c>
      <c r="AM101" s="59">
        <f t="shared" si="59"/>
        <v>293.33333333333479</v>
      </c>
      <c r="AN101" s="59">
        <f ca="1">AVERAGE(OFFSET($AM$3,0,0,'Données projet'!$E$10+1,1))-AVERAGE(OFFSET($H$3,0,0,'Données projet'!$E$10+1,1))</f>
        <v>304.32767345253382</v>
      </c>
      <c r="AO101" s="59">
        <f t="shared" si="90"/>
        <v>427.16091343339173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2.0534537397689654</v>
      </c>
      <c r="AV101" s="21">
        <f>EXP(-LN(2)/25)*AV100+(1-EXP(-LN(2)/25))/(LN(2)/25)*Calculateur!AQ101*Calculateur!AS101*VLOOKUP('Données projet'!$B$10,Paramètres!$A$1:$I$89,3,0)*0.475*44/12</f>
        <v>2.7498595205009151</v>
      </c>
      <c r="AW101" s="21">
        <f>EXP(-LN(2)/2)*AW100+(1-EXP(-LN(2)/2))/(LN(2)/2)*AQ101*AT101*VLOOKUP('Données projet'!$B$10,Paramètres!$A$1:$I$89,3,0)*0.475*44/12</f>
        <v>6.5618475183542782E-10</v>
      </c>
      <c r="AX101" s="21">
        <f t="shared" si="60"/>
        <v>4.8033132609260649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-4.9658410716801891E-14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268.31928207836495</v>
      </c>
      <c r="BJ101" s="59">
        <f t="shared" si="92"/>
        <v>277.61304526670204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0.53518408340636647</v>
      </c>
      <c r="BQ101" s="21">
        <f>EXP(-LN(2)/25)*BQ100+(1-EXP(-LN(2)/25))/(LN(2)/25)*Calculateur!BL101*Calculateur!BN101*VLOOKUP('Données projet'!$B$11,Paramètres!$A$1:$I$89,3,0)*0.475*44/12</f>
        <v>0.8547477619952859</v>
      </c>
      <c r="BR101" s="21">
        <f>EXP(-LN(2)/2)*BR100+(1-EXP(-LN(2)/2))/(LN(2)/2)*BL101*BO101*VLOOKUP('Données projet'!$B$11,Paramètres!$A$1:$I$89,3,0)*0.475*44/12</f>
        <v>4.7518442561884873E-10</v>
      </c>
      <c r="BS101" s="22">
        <f t="shared" si="63"/>
        <v>1.3899318458768368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2.8421709430404007E-14</v>
      </c>
      <c r="BZ101" s="13">
        <f>BY101*VLOOKUP('Données projet'!$B$12,Paramètres!$A$1:$I$89,3,0)*VLOOKUP('Données projet'!$B$12,Paramètres!$A$1:$I$89,5,0)</f>
        <v>2.2612312022829431E-14</v>
      </c>
      <c r="CA101" s="13">
        <f t="shared" si="93"/>
        <v>4.0387900716432995E-13</v>
      </c>
      <c r="CB101" s="20">
        <f t="shared" si="64"/>
        <v>7.4280571425096929E-13</v>
      </c>
      <c r="CC101" s="59">
        <f t="shared" si="65"/>
        <v>293.33333333333405</v>
      </c>
      <c r="CD101" s="59">
        <f ca="1">AVERAGE(OFFSET($CC$3,0,0,'Données projet'!$E$12+1,1))-AVERAGE(OFFSET($H$3,0,0,'Données projet'!$E$12+1,1))</f>
        <v>241.67556898455945</v>
      </c>
      <c r="CE101" s="59">
        <f t="shared" si="94"/>
        <v>237.71070965292648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1.6427863137233771</v>
      </c>
      <c r="CL101" s="21">
        <f>EXP(-LN(2)/25)*CL100+(1-EXP(-LN(2)/25))/(LN(2)/25)*Calculateur!CG101*Calculateur!CI101*VLOOKUP('Données projet'!$B$12,Paramètres!$A$1:$I$89,3,0)*0.475*44/12</f>
        <v>1.0739110612791962</v>
      </c>
      <c r="CM101" s="21">
        <f>EXP(-LN(2)/2)*CM100+(1-EXP(-LN(2)/2))/(LN(2)/2)*CG101*CJ101*VLOOKUP('Données projet'!$B$12,Paramètres!$A$1:$I$89,3,0)*0.475*44/12</f>
        <v>3.8980678365388894E-10</v>
      </c>
      <c r="CN101" s="22">
        <f t="shared" si="66"/>
        <v>2.7166973753923802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-2.2612312022829427E-13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405.40026823646758</v>
      </c>
      <c r="T102" s="59">
        <f t="shared" si="88"/>
        <v>393.0787141050053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4.4151817982326875</v>
      </c>
      <c r="AA102" s="21">
        <f>EXP(-LN(2)/25)*AA101+(1-EXP(-LN(2)/25))/(LN(2)/25)*Calculateur!V102*Calculateur!X102*VLOOKUP('Données projet'!$B$9,Paramètres!$A$1:$I$89,3,0)*0.475*44/12</f>
        <v>3.0528484427882039</v>
      </c>
      <c r="AB102" s="21">
        <f>EXP(-LN(2)/2)*AB101+(1-EXP(-LN(2)/2))/(LN(2)/2)*V102*Y102*VLOOKUP('Données projet'!$B$9,Paramètres!$A$1:$I$89,3,0)*0.475*44/12</f>
        <v>4.8689986362273225E-10</v>
      </c>
      <c r="AC102" s="22">
        <f t="shared" si="57"/>
        <v>7.4680302415077913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4.9658410716801891E-14</v>
      </c>
      <c r="AK102" s="13">
        <f t="shared" si="89"/>
        <v>8.0934058173791862E-13</v>
      </c>
      <c r="AL102" s="20">
        <f t="shared" si="58"/>
        <v>1.4960899118586383E-12</v>
      </c>
      <c r="AM102" s="59">
        <f t="shared" si="59"/>
        <v>293.33333333333479</v>
      </c>
      <c r="AN102" s="59">
        <f ca="1">AVERAGE(OFFSET($AM$3,0,0,'Données projet'!$E$10+1,1))-AVERAGE(OFFSET($H$3,0,0,'Données projet'!$E$10+1,1))</f>
        <v>304.32767345253382</v>
      </c>
      <c r="AO102" s="59">
        <f t="shared" si="90"/>
        <v>427.16091343339173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2.0131867644152046</v>
      </c>
      <c r="AV102" s="21">
        <f>EXP(-LN(2)/25)*AV101+(1-EXP(-LN(2)/25))/(LN(2)/25)*Calculateur!AQ102*Calculateur!AS102*VLOOKUP('Données projet'!$B$10,Paramètres!$A$1:$I$89,3,0)*0.475*44/12</f>
        <v>2.6746644673039901</v>
      </c>
      <c r="AW102" s="21">
        <f>EXP(-LN(2)/2)*AW101+(1-EXP(-LN(2)/2))/(LN(2)/2)*AQ102*AT102*VLOOKUP('Données projet'!$B$10,Paramètres!$A$1:$I$89,3,0)*0.475*44/12</f>
        <v>4.6399268773404289E-10</v>
      </c>
      <c r="AX102" s="21">
        <f t="shared" si="60"/>
        <v>4.6878512321831876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-4.9658410716801891E-14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268.31928207836495</v>
      </c>
      <c r="BJ102" s="59">
        <f t="shared" si="92"/>
        <v>277.61304526670204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0.52468944996082623</v>
      </c>
      <c r="BQ102" s="21">
        <f>EXP(-LN(2)/25)*BQ101+(1-EXP(-LN(2)/25))/(LN(2)/25)*Calculateur!BL102*Calculateur!BN102*VLOOKUP('Données projet'!$B$11,Paramètres!$A$1:$I$89,3,0)*0.475*44/12</f>
        <v>0.83137463949429358</v>
      </c>
      <c r="BR102" s="21">
        <f>EXP(-LN(2)/2)*BR101+(1-EXP(-LN(2)/2))/(LN(2)/2)*BL102*BO102*VLOOKUP('Données projet'!$B$11,Paramètres!$A$1:$I$89,3,0)*0.475*44/12</f>
        <v>3.3600612966932254E-10</v>
      </c>
      <c r="BS102" s="22">
        <f t="shared" si="63"/>
        <v>1.3560640897911258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2.8421709430404007E-14</v>
      </c>
      <c r="BZ102" s="13">
        <f>BY102*VLOOKUP('Données projet'!$B$12,Paramètres!$A$1:$I$89,3,0)*VLOOKUP('Données projet'!$B$12,Paramètres!$A$1:$I$89,5,0)</f>
        <v>2.2612312022829431E-14</v>
      </c>
      <c r="CA102" s="13">
        <f t="shared" si="93"/>
        <v>4.0387900716432995E-13</v>
      </c>
      <c r="CB102" s="20">
        <f t="shared" si="64"/>
        <v>7.4280571425096929E-13</v>
      </c>
      <c r="CC102" s="59">
        <f t="shared" si="65"/>
        <v>293.33333333333405</v>
      </c>
      <c r="CD102" s="59">
        <f ca="1">AVERAGE(OFFSET($CC$3,0,0,'Données projet'!$E$12+1,1))-AVERAGE(OFFSET($H$3,0,0,'Données projet'!$E$12+1,1))</f>
        <v>241.67556898455945</v>
      </c>
      <c r="CE102" s="59">
        <f t="shared" si="94"/>
        <v>237.71070965292648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1.6105722761119736</v>
      </c>
      <c r="CL102" s="21">
        <f>EXP(-LN(2)/25)*CL101+(1-EXP(-LN(2)/25))/(LN(2)/25)*Calculateur!CG102*Calculateur!CI102*VLOOKUP('Données projet'!$B$12,Paramètres!$A$1:$I$89,3,0)*0.475*44/12</f>
        <v>1.0445449068339883</v>
      </c>
      <c r="CM102" s="21">
        <f>EXP(-LN(2)/2)*CM101+(1-EXP(-LN(2)/2))/(LN(2)/2)*CG102*CJ102*VLOOKUP('Données projet'!$B$12,Paramètres!$A$1:$I$89,3,0)*0.475*44/12</f>
        <v>2.7563502007418232E-10</v>
      </c>
      <c r="CN102" s="22">
        <f t="shared" si="66"/>
        <v>2.6551171832215972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-2.2612312022829427E-13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405.40026823646758</v>
      </c>
      <c r="T103" s="59">
        <f t="shared" si="88"/>
        <v>393.0787141050053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4.3286027761643302</v>
      </c>
      <c r="AA103" s="21">
        <f>EXP(-LN(2)/25)*AA102+(1-EXP(-LN(2)/25))/(LN(2)/25)*Calculateur!V103*Calculateur!X103*VLOOKUP('Données projet'!$B$9,Paramètres!$A$1:$I$89,3,0)*0.475*44/12</f>
        <v>2.9693681415778381</v>
      </c>
      <c r="AB103" s="21">
        <f>EXP(-LN(2)/2)*AB102+(1-EXP(-LN(2)/2))/(LN(2)/2)*V103*Y103*VLOOKUP('Données projet'!$B$9,Paramètres!$A$1:$I$89,3,0)*0.475*44/12</f>
        <v>3.4429019532643917E-10</v>
      </c>
      <c r="AC103" s="22">
        <f t="shared" si="57"/>
        <v>7.2979709180864578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4.9658410716801891E-14</v>
      </c>
      <c r="AK103" s="13">
        <f t="shared" si="89"/>
        <v>8.0934058173791862E-13</v>
      </c>
      <c r="AL103" s="20">
        <f t="shared" si="58"/>
        <v>1.4960899118586383E-12</v>
      </c>
      <c r="AM103" s="59">
        <f t="shared" si="59"/>
        <v>293.33333333333479</v>
      </c>
      <c r="AN103" s="59">
        <f ca="1">AVERAGE(OFFSET($AM$3,0,0,'Données projet'!$E$10+1,1))-AVERAGE(OFFSET($H$3,0,0,'Données projet'!$E$10+1,1))</f>
        <v>304.32767345253382</v>
      </c>
      <c r="AO103" s="59">
        <f t="shared" si="90"/>
        <v>427.16091343339173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1.9737093998877016</v>
      </c>
      <c r="AV103" s="21">
        <f>EXP(-LN(2)/25)*AV102+(1-EXP(-LN(2)/25))/(LN(2)/25)*Calculateur!AQ103*Calculateur!AS103*VLOOKUP('Données projet'!$B$10,Paramètres!$A$1:$I$89,3,0)*0.475*44/12</f>
        <v>2.6015256267910711</v>
      </c>
      <c r="AW103" s="21">
        <f>EXP(-LN(2)/2)*AW102+(1-EXP(-LN(2)/2))/(LN(2)/2)*AQ103*AT103*VLOOKUP('Données projet'!$B$10,Paramètres!$A$1:$I$89,3,0)*0.475*44/12</f>
        <v>3.2809237591771396E-10</v>
      </c>
      <c r="AX103" s="21">
        <f t="shared" si="60"/>
        <v>4.5752350270068645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-4.9658410716801891E-14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268.31928207836495</v>
      </c>
      <c r="BJ103" s="59">
        <f t="shared" si="92"/>
        <v>277.61304526670204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0.51440060987605862</v>
      </c>
      <c r="BQ103" s="21">
        <f>EXP(-LN(2)/25)*BQ102+(1-EXP(-LN(2)/25))/(LN(2)/25)*Calculateur!BL103*Calculateur!BN103*VLOOKUP('Données projet'!$B$11,Paramètres!$A$1:$I$89,3,0)*0.475*44/12</f>
        <v>0.80864065625722992</v>
      </c>
      <c r="BR103" s="21">
        <f>EXP(-LN(2)/2)*BR102+(1-EXP(-LN(2)/2))/(LN(2)/2)*BL103*BO103*VLOOKUP('Données projet'!$B$11,Paramètres!$A$1:$I$89,3,0)*0.475*44/12</f>
        <v>2.3759221280942437E-10</v>
      </c>
      <c r="BS103" s="22">
        <f t="shared" si="63"/>
        <v>1.3230412663708808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2.8421709430404007E-14</v>
      </c>
      <c r="BZ103" s="13">
        <f>BY103*VLOOKUP('Données projet'!$B$12,Paramètres!$A$1:$I$89,3,0)*VLOOKUP('Données projet'!$B$12,Paramètres!$A$1:$I$89,5,0)</f>
        <v>2.2612312022829431E-14</v>
      </c>
      <c r="CA103" s="13">
        <f t="shared" si="93"/>
        <v>4.0387900716432995E-13</v>
      </c>
      <c r="CB103" s="20">
        <f t="shared" si="64"/>
        <v>7.4280571425096929E-13</v>
      </c>
      <c r="CC103" s="59">
        <f t="shared" si="65"/>
        <v>293.33333333333405</v>
      </c>
      <c r="CD103" s="59">
        <f ca="1">AVERAGE(OFFSET($CC$3,0,0,'Données projet'!$E$12+1,1))-AVERAGE(OFFSET($H$3,0,0,'Données projet'!$E$12+1,1))</f>
        <v>241.67556898455945</v>
      </c>
      <c r="CE103" s="59">
        <f t="shared" si="94"/>
        <v>237.71070965292648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1.578989936129507</v>
      </c>
      <c r="CL103" s="21">
        <f>EXP(-LN(2)/25)*CL102+(1-EXP(-LN(2)/25))/(LN(2)/25)*Calculateur!CG103*Calculateur!CI103*VLOOKUP('Données projet'!$B$12,Paramètres!$A$1:$I$89,3,0)*0.475*44/12</f>
        <v>1.0159817714263835</v>
      </c>
      <c r="CM103" s="21">
        <f>EXP(-LN(2)/2)*CM102+(1-EXP(-LN(2)/2))/(LN(2)/2)*CG103*CJ103*VLOOKUP('Données projet'!$B$12,Paramètres!$A$1:$I$89,3,0)*0.475*44/12</f>
        <v>1.9490339182694447E-10</v>
      </c>
      <c r="CN103" s="22">
        <f t="shared" si="66"/>
        <v>2.5949717077507937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-2.2612312022829427E-13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405.40026823646758</v>
      </c>
      <c r="T104" s="59">
        <f t="shared" si="88"/>
        <v>393.0787141050053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4.2437215159107442</v>
      </c>
      <c r="AA104" s="21">
        <f>EXP(-LN(2)/25)*AA103+(1-EXP(-LN(2)/25))/(LN(2)/25)*Calculateur!V104*Calculateur!X104*VLOOKUP('Données projet'!$B$9,Paramètres!$A$1:$I$89,3,0)*0.475*44/12</f>
        <v>2.8881706135941081</v>
      </c>
      <c r="AB104" s="21">
        <f>EXP(-LN(2)/2)*AB103+(1-EXP(-LN(2)/2))/(LN(2)/2)*V104*Y104*VLOOKUP('Données projet'!$B$9,Paramètres!$A$1:$I$89,3,0)*0.475*44/12</f>
        <v>2.4344993181136612E-10</v>
      </c>
      <c r="AC104" s="22">
        <f t="shared" si="57"/>
        <v>7.1318921297483016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4.9658410716801891E-14</v>
      </c>
      <c r="AK104" s="13">
        <f t="shared" si="89"/>
        <v>8.0934058173791862E-13</v>
      </c>
      <c r="AL104" s="20">
        <f t="shared" si="58"/>
        <v>1.4960899118586383E-12</v>
      </c>
      <c r="AM104" s="59">
        <f t="shared" si="59"/>
        <v>293.33333333333479</v>
      </c>
      <c r="AN104" s="59">
        <f ca="1">AVERAGE(OFFSET($AM$3,0,0,'Données projet'!$E$10+1,1))-AVERAGE(OFFSET($H$3,0,0,'Données projet'!$E$10+1,1))</f>
        <v>304.32767345253382</v>
      </c>
      <c r="AO104" s="59">
        <f t="shared" si="90"/>
        <v>427.16091343339173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1.9350061623997679</v>
      </c>
      <c r="AV104" s="21">
        <f>EXP(-LN(2)/25)*AV103+(1-EXP(-LN(2)/25))/(LN(2)/25)*Calculateur!AQ104*Calculateur!AS104*VLOOKUP('Données projet'!$B$10,Paramètres!$A$1:$I$89,3,0)*0.475*44/12</f>
        <v>2.5303867717181823</v>
      </c>
      <c r="AW104" s="21">
        <f>EXP(-LN(2)/2)*AW103+(1-EXP(-LN(2)/2))/(LN(2)/2)*AQ104*AT104*VLOOKUP('Données projet'!$B$10,Paramètres!$A$1:$I$89,3,0)*0.475*44/12</f>
        <v>2.3199634386702147E-10</v>
      </c>
      <c r="AX104" s="21">
        <f t="shared" si="60"/>
        <v>4.4653929343499472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-4.9658410716801891E-14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268.31928207836495</v>
      </c>
      <c r="BJ104" s="59">
        <f t="shared" si="92"/>
        <v>277.61304526670204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0.50431352766978055</v>
      </c>
      <c r="BQ104" s="21">
        <f>EXP(-LN(2)/25)*BQ103+(1-EXP(-LN(2)/25))/(LN(2)/25)*Calculateur!BL104*Calculateur!BN104*VLOOKUP('Données projet'!$B$11,Paramètres!$A$1:$I$89,3,0)*0.475*44/12</f>
        <v>0.78652833498731201</v>
      </c>
      <c r="BR104" s="21">
        <f>EXP(-LN(2)/2)*BR103+(1-EXP(-LN(2)/2))/(LN(2)/2)*BL104*BO104*VLOOKUP('Données projet'!$B$11,Paramètres!$A$1:$I$89,3,0)*0.475*44/12</f>
        <v>1.6800306483466127E-10</v>
      </c>
      <c r="BS104" s="22">
        <f t="shared" si="63"/>
        <v>1.2908418628250957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2.8421709430404007E-14</v>
      </c>
      <c r="BZ104" s="13">
        <f>BY104*VLOOKUP('Données projet'!$B$12,Paramètres!$A$1:$I$89,3,0)*VLOOKUP('Données projet'!$B$12,Paramètres!$A$1:$I$89,5,0)</f>
        <v>2.2612312022829431E-14</v>
      </c>
      <c r="CA104" s="13">
        <f t="shared" si="93"/>
        <v>4.0387900716432995E-13</v>
      </c>
      <c r="CB104" s="20">
        <f t="shared" si="64"/>
        <v>7.4280571425096929E-13</v>
      </c>
      <c r="CC104" s="59">
        <f t="shared" si="65"/>
        <v>293.33333333333405</v>
      </c>
      <c r="CD104" s="59">
        <f ca="1">AVERAGE(OFFSET($CC$3,0,0,'Données projet'!$E$12+1,1))-AVERAGE(OFFSET($H$3,0,0,'Données projet'!$E$12+1,1))</f>
        <v>241.67556898455945</v>
      </c>
      <c r="CE104" s="59">
        <f t="shared" si="94"/>
        <v>237.71070965292648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1.5480269065707712</v>
      </c>
      <c r="CL104" s="21">
        <f>EXP(-LN(2)/25)*CL103+(1-EXP(-LN(2)/25))/(LN(2)/25)*Calculateur!CG104*Calculateur!CI104*VLOOKUP('Données projet'!$B$12,Paramètres!$A$1:$I$89,3,0)*0.475*44/12</f>
        <v>0.98819969645856975</v>
      </c>
      <c r="CM104" s="21">
        <f>EXP(-LN(2)/2)*CM103+(1-EXP(-LN(2)/2))/(LN(2)/2)*CG104*CJ104*VLOOKUP('Données projet'!$B$12,Paramètres!$A$1:$I$89,3,0)*0.475*44/12</f>
        <v>1.3781751003709116E-10</v>
      </c>
      <c r="CN104" s="22">
        <f t="shared" si="66"/>
        <v>2.5362266031671585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-2.2612312022829427E-13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405.40026823646758</v>
      </c>
      <c r="T105" s="59">
        <f t="shared" si="88"/>
        <v>393.0787141050053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4.1605047253982743</v>
      </c>
      <c r="AA105" s="21">
        <f>EXP(-LN(2)/25)*AA104+(1-EXP(-LN(2)/25))/(LN(2)/25)*Calculateur!V105*Calculateur!X105*VLOOKUP('Données projet'!$B$9,Paramètres!$A$1:$I$89,3,0)*0.475*44/12</f>
        <v>2.8091934362830857</v>
      </c>
      <c r="AB105" s="21">
        <f>EXP(-LN(2)/2)*AB104+(1-EXP(-LN(2)/2))/(LN(2)/2)*V105*Y105*VLOOKUP('Données projet'!$B$9,Paramètres!$A$1:$I$89,3,0)*0.475*44/12</f>
        <v>1.7214509766321959E-10</v>
      </c>
      <c r="AC105" s="22">
        <f t="shared" si="57"/>
        <v>6.969698161853505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4.9658410716801891E-14</v>
      </c>
      <c r="AK105" s="13">
        <f t="shared" si="89"/>
        <v>8.0934058173791862E-13</v>
      </c>
      <c r="AL105" s="20">
        <f t="shared" si="58"/>
        <v>1.4960899118586383E-12</v>
      </c>
      <c r="AM105" s="59">
        <f t="shared" si="59"/>
        <v>293.33333333333479</v>
      </c>
      <c r="AN105" s="59">
        <f ca="1">AVERAGE(OFFSET($AM$3,0,0,'Données projet'!$E$10+1,1))-AVERAGE(OFFSET($H$3,0,0,'Données projet'!$E$10+1,1))</f>
        <v>304.32767345253382</v>
      </c>
      <c r="AO105" s="59">
        <f t="shared" si="90"/>
        <v>427.16091343339173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1.8970618717923287</v>
      </c>
      <c r="AV105" s="21">
        <f>EXP(-LN(2)/25)*AV104+(1-EXP(-LN(2)/25))/(LN(2)/25)*Calculateur!AQ105*Calculateur!AS105*VLOOKUP('Données projet'!$B$10,Paramètres!$A$1:$I$89,3,0)*0.475*44/12</f>
        <v>2.4611932123782916</v>
      </c>
      <c r="AW105" s="21">
        <f>EXP(-LN(2)/2)*AW104+(1-EXP(-LN(2)/2))/(LN(2)/2)*AQ105*AT105*VLOOKUP('Données projet'!$B$10,Paramètres!$A$1:$I$89,3,0)*0.475*44/12</f>
        <v>1.6404618795885701E-10</v>
      </c>
      <c r="AX105" s="21">
        <f t="shared" si="60"/>
        <v>4.358255084334667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-4.9658410716801891E-14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268.31928207836495</v>
      </c>
      <c r="BJ105" s="59">
        <f t="shared" si="92"/>
        <v>277.61304526670204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0.49442424699305498</v>
      </c>
      <c r="BQ105" s="21">
        <f>EXP(-LN(2)/25)*BQ104+(1-EXP(-LN(2)/25))/(LN(2)/25)*Calculateur!BL105*Calculateur!BN105*VLOOKUP('Données projet'!$B$11,Paramètres!$A$1:$I$89,3,0)*0.475*44/12</f>
        <v>0.76502067630535642</v>
      </c>
      <c r="BR105" s="21">
        <f>EXP(-LN(2)/2)*BR104+(1-EXP(-LN(2)/2))/(LN(2)/2)*BL105*BO105*VLOOKUP('Données projet'!$B$11,Paramètres!$A$1:$I$89,3,0)*0.475*44/12</f>
        <v>1.1879610640471218E-10</v>
      </c>
      <c r="BS105" s="22">
        <f t="shared" si="63"/>
        <v>1.2594449234172074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2.8421709430404007E-14</v>
      </c>
      <c r="BZ105" s="13">
        <f>BY105*VLOOKUP('Données projet'!$B$12,Paramètres!$A$1:$I$89,3,0)*VLOOKUP('Données projet'!$B$12,Paramètres!$A$1:$I$89,5,0)</f>
        <v>2.2612312022829431E-14</v>
      </c>
      <c r="CA105" s="13">
        <f t="shared" si="93"/>
        <v>4.0387900716432995E-13</v>
      </c>
      <c r="CB105" s="20">
        <f t="shared" si="64"/>
        <v>7.4280571425096929E-13</v>
      </c>
      <c r="CC105" s="59">
        <f t="shared" si="65"/>
        <v>293.33333333333405</v>
      </c>
      <c r="CD105" s="59">
        <f ca="1">AVERAGE(OFFSET($CC$3,0,0,'Données projet'!$E$12+1,1))-AVERAGE(OFFSET($H$3,0,0,'Données projet'!$E$12+1,1))</f>
        <v>241.67556898455945</v>
      </c>
      <c r="CE105" s="59">
        <f t="shared" si="94"/>
        <v>237.71070965292648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1.5176710431360991</v>
      </c>
      <c r="CL105" s="21">
        <f>EXP(-LN(2)/25)*CL104+(1-EXP(-LN(2)/25))/(LN(2)/25)*Calculateur!CG105*Calculateur!CI105*VLOOKUP('Données projet'!$B$12,Paramètres!$A$1:$I$89,3,0)*0.475*44/12</f>
        <v>0.9611773237917467</v>
      </c>
      <c r="CM105" s="21">
        <f>EXP(-LN(2)/2)*CM104+(1-EXP(-LN(2)/2))/(LN(2)/2)*CG105*CJ105*VLOOKUP('Données projet'!$B$12,Paramètres!$A$1:$I$89,3,0)*0.475*44/12</f>
        <v>9.7451695913472236E-11</v>
      </c>
      <c r="CN105" s="22">
        <f t="shared" si="66"/>
        <v>2.4788483670252974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-2.2612312022829427E-13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405.40026823646758</v>
      </c>
      <c r="T106" s="59">
        <f t="shared" si="88"/>
        <v>393.0787141050053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4.0789197653905234</v>
      </c>
      <c r="AA106" s="21">
        <f>EXP(-LN(2)/25)*AA105+(1-EXP(-LN(2)/25))/(LN(2)/25)*Calculateur!V106*Calculateur!X106*VLOOKUP('Données projet'!$B$9,Paramètres!$A$1:$I$89,3,0)*0.475*44/12</f>
        <v>2.7323758940388623</v>
      </c>
      <c r="AB106" s="21">
        <f>EXP(-LN(2)/2)*AB105+(1-EXP(-LN(2)/2))/(LN(2)/2)*V106*Y106*VLOOKUP('Données projet'!$B$9,Paramètres!$A$1:$I$89,3,0)*0.475*44/12</f>
        <v>1.2172496590568306E-10</v>
      </c>
      <c r="AC106" s="22">
        <f t="shared" si="57"/>
        <v>6.81129565955111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4.9658410716801891E-14</v>
      </c>
      <c r="AK106" s="13">
        <f t="shared" si="89"/>
        <v>8.0934058173791862E-13</v>
      </c>
      <c r="AL106" s="20">
        <f t="shared" si="58"/>
        <v>1.4960899118586383E-12</v>
      </c>
      <c r="AM106" s="59">
        <f t="shared" si="59"/>
        <v>293.33333333333479</v>
      </c>
      <c r="AN106" s="59">
        <f ca="1">AVERAGE(OFFSET($AM$3,0,0,'Données projet'!$E$10+1,1))-AVERAGE(OFFSET($H$3,0,0,'Données projet'!$E$10+1,1))</f>
        <v>304.32767345253382</v>
      </c>
      <c r="AO106" s="59">
        <f t="shared" si="90"/>
        <v>427.16091343339173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1.8598616455799695</v>
      </c>
      <c r="AV106" s="21">
        <f>EXP(-LN(2)/25)*AV105+(1-EXP(-LN(2)/25))/(LN(2)/25)*Calculateur!AQ106*Calculateur!AS106*VLOOKUP('Données projet'!$B$10,Paramètres!$A$1:$I$89,3,0)*0.475*44/12</f>
        <v>2.3938917545572811</v>
      </c>
      <c r="AW106" s="21">
        <f>EXP(-LN(2)/2)*AW105+(1-EXP(-LN(2)/2))/(LN(2)/2)*AQ106*AT106*VLOOKUP('Données projet'!$B$10,Paramètres!$A$1:$I$89,3,0)*0.475*44/12</f>
        <v>1.1599817193351076E-10</v>
      </c>
      <c r="AX106" s="21">
        <f t="shared" si="60"/>
        <v>4.2537534002532489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-4.9658410716801891E-14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268.31928207836495</v>
      </c>
      <c r="BJ106" s="59">
        <f t="shared" si="92"/>
        <v>277.61304526670204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0.4847288890785344</v>
      </c>
      <c r="BQ106" s="21">
        <f>EXP(-LN(2)/25)*BQ105+(1-EXP(-LN(2)/25))/(LN(2)/25)*Calculateur!BL106*Calculateur!BN106*VLOOKUP('Données projet'!$B$11,Paramètres!$A$1:$I$89,3,0)*0.475*44/12</f>
        <v>0.74410114568109753</v>
      </c>
      <c r="BR106" s="21">
        <f>EXP(-LN(2)/2)*BR105+(1-EXP(-LN(2)/2))/(LN(2)/2)*BL106*BO106*VLOOKUP('Données projet'!$B$11,Paramètres!$A$1:$I$89,3,0)*0.475*44/12</f>
        <v>8.4001532417330636E-11</v>
      </c>
      <c r="BS106" s="22">
        <f t="shared" si="63"/>
        <v>1.2288300348436334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2.8421709430404007E-14</v>
      </c>
      <c r="BZ106" s="13">
        <f>BY106*VLOOKUP('Données projet'!$B$12,Paramètres!$A$1:$I$89,3,0)*VLOOKUP('Données projet'!$B$12,Paramètres!$A$1:$I$89,5,0)</f>
        <v>2.2612312022829431E-14</v>
      </c>
      <c r="CA106" s="13">
        <f t="shared" si="93"/>
        <v>4.0387900716432995E-13</v>
      </c>
      <c r="CB106" s="20">
        <f t="shared" si="64"/>
        <v>7.4280571425096929E-13</v>
      </c>
      <c r="CC106" s="59">
        <f t="shared" si="65"/>
        <v>293.33333333333405</v>
      </c>
      <c r="CD106" s="59">
        <f ca="1">AVERAGE(OFFSET($CC$3,0,0,'Données projet'!$E$12+1,1))-AVERAGE(OFFSET($H$3,0,0,'Données projet'!$E$12+1,1))</f>
        <v>241.67556898455945</v>
      </c>
      <c r="CE106" s="59">
        <f t="shared" si="94"/>
        <v>237.71070965292648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1.4879104396681324</v>
      </c>
      <c r="CL106" s="21">
        <f>EXP(-LN(2)/25)*CL105+(1-EXP(-LN(2)/25))/(LN(2)/25)*Calculateur!CG106*Calculateur!CI106*VLOOKUP('Données projet'!$B$12,Paramètres!$A$1:$I$89,3,0)*0.475*44/12</f>
        <v>0.93489387932654278</v>
      </c>
      <c r="CM106" s="21">
        <f>EXP(-LN(2)/2)*CM105+(1-EXP(-LN(2)/2))/(LN(2)/2)*CG106*CJ106*VLOOKUP('Données projet'!$B$12,Paramètres!$A$1:$I$89,3,0)*0.475*44/12</f>
        <v>6.890875501854558E-11</v>
      </c>
      <c r="CN106" s="22">
        <f t="shared" si="66"/>
        <v>2.4228043190635842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-2.2612312022829427E-13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405.40026823646758</v>
      </c>
      <c r="T107" s="59">
        <f t="shared" si="88"/>
        <v>393.0787141050053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3.998934636686613</v>
      </c>
      <c r="AA107" s="21">
        <f>EXP(-LN(2)/25)*AA106+(1-EXP(-LN(2)/25))/(LN(2)/25)*Calculateur!V107*Calculateur!X107*VLOOKUP('Données projet'!$B$9,Paramètres!$A$1:$I$89,3,0)*0.475*44/12</f>
        <v>2.6576589315269663</v>
      </c>
      <c r="AB107" s="21">
        <f>EXP(-LN(2)/2)*AB106+(1-EXP(-LN(2)/2))/(LN(2)/2)*V107*Y107*VLOOKUP('Données projet'!$B$9,Paramètres!$A$1:$I$89,3,0)*0.475*44/12</f>
        <v>8.6072548831609794E-11</v>
      </c>
      <c r="AC107" s="22">
        <f t="shared" si="57"/>
        <v>6.6565935682996518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4.9658410716801891E-14</v>
      </c>
      <c r="AK107" s="13">
        <f t="shared" si="89"/>
        <v>8.0934058173791862E-13</v>
      </c>
      <c r="AL107" s="20">
        <f t="shared" si="58"/>
        <v>1.4960899118586383E-12</v>
      </c>
      <c r="AM107" s="59">
        <f t="shared" si="59"/>
        <v>293.33333333333479</v>
      </c>
      <c r="AN107" s="59">
        <f ca="1">AVERAGE(OFFSET($AM$3,0,0,'Données projet'!$E$10+1,1))-AVERAGE(OFFSET($H$3,0,0,'Données projet'!$E$10+1,1))</f>
        <v>304.32767345253382</v>
      </c>
      <c r="AO107" s="59">
        <f t="shared" si="90"/>
        <v>427.16091343339173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1.823390893113737</v>
      </c>
      <c r="AV107" s="21">
        <f>EXP(-LN(2)/25)*AV106+(1-EXP(-LN(2)/25))/(LN(2)/25)*Calculateur!AQ107*Calculateur!AS107*VLOOKUP('Données projet'!$B$10,Paramètres!$A$1:$I$89,3,0)*0.475*44/12</f>
        <v>2.3284306586396162</v>
      </c>
      <c r="AW107" s="21">
        <f>EXP(-LN(2)/2)*AW106+(1-EXP(-LN(2)/2))/(LN(2)/2)*AQ107*AT107*VLOOKUP('Données projet'!$B$10,Paramètres!$A$1:$I$89,3,0)*0.475*44/12</f>
        <v>8.2023093979428516E-11</v>
      </c>
      <c r="AX107" s="21">
        <f t="shared" si="60"/>
        <v>4.1518215518353765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-4.9658410716801891E-14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268.31928207836495</v>
      </c>
      <c r="BJ107" s="59">
        <f t="shared" si="92"/>
        <v>277.61304526670204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0.47522365121913313</v>
      </c>
      <c r="BQ107" s="21">
        <f>EXP(-LN(2)/25)*BQ106+(1-EXP(-LN(2)/25))/(LN(2)/25)*Calculateur!BL107*Calculateur!BN107*VLOOKUP('Données projet'!$B$11,Paramètres!$A$1:$I$89,3,0)*0.475*44/12</f>
        <v>0.72375366072186931</v>
      </c>
      <c r="BR107" s="21">
        <f>EXP(-LN(2)/2)*BR106+(1-EXP(-LN(2)/2))/(LN(2)/2)*BL107*BO107*VLOOKUP('Données projet'!$B$11,Paramètres!$A$1:$I$89,3,0)*0.475*44/12</f>
        <v>5.9398053202356092E-11</v>
      </c>
      <c r="BS107" s="22">
        <f t="shared" si="63"/>
        <v>1.1989773120004006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2.8421709430404007E-14</v>
      </c>
      <c r="BZ107" s="13">
        <f>BY107*VLOOKUP('Données projet'!$B$12,Paramètres!$A$1:$I$89,3,0)*VLOOKUP('Données projet'!$B$12,Paramètres!$A$1:$I$89,5,0)</f>
        <v>2.2612312022829431E-14</v>
      </c>
      <c r="CA107" s="13">
        <f t="shared" si="93"/>
        <v>4.0387900716432995E-13</v>
      </c>
      <c r="CB107" s="20">
        <f t="shared" si="64"/>
        <v>7.4280571425096929E-13</v>
      </c>
      <c r="CC107" s="59">
        <f t="shared" si="65"/>
        <v>293.33333333333405</v>
      </c>
      <c r="CD107" s="59">
        <f ca="1">AVERAGE(OFFSET($CC$3,0,0,'Données projet'!$E$12+1,1))-AVERAGE(OFFSET($H$3,0,0,'Données projet'!$E$12+1,1))</f>
        <v>241.67556898455945</v>
      </c>
      <c r="CE107" s="59">
        <f t="shared" si="94"/>
        <v>237.71070965292648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1.4587334234819969</v>
      </c>
      <c r="CL107" s="21">
        <f>EXP(-LN(2)/25)*CL106+(1-EXP(-LN(2)/25))/(LN(2)/25)*Calculateur!CG107*Calculateur!CI107*VLOOKUP('Données projet'!$B$12,Paramètres!$A$1:$I$89,3,0)*0.475*44/12</f>
        <v>0.90932915703242612</v>
      </c>
      <c r="CM107" s="21">
        <f>EXP(-LN(2)/2)*CM106+(1-EXP(-LN(2)/2))/(LN(2)/2)*CG107*CJ107*VLOOKUP('Données projet'!$B$12,Paramètres!$A$1:$I$89,3,0)*0.475*44/12</f>
        <v>4.8725847956736118E-11</v>
      </c>
      <c r="CN107" s="22">
        <f t="shared" si="66"/>
        <v>2.3680625805631488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-2.2612312022829427E-13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405.40026823646758</v>
      </c>
      <c r="T108" s="59">
        <f t="shared" si="88"/>
        <v>393.0787141050053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3.9205179675704747</v>
      </c>
      <c r="AA108" s="21">
        <f>EXP(-LN(2)/25)*AA107+(1-EXP(-LN(2)/25))/(LN(2)/25)*Calculateur!V108*Calculateur!X108*VLOOKUP('Données projet'!$B$9,Paramètres!$A$1:$I$89,3,0)*0.475*44/12</f>
        <v>2.5849851082841524</v>
      </c>
      <c r="AB108" s="21">
        <f>EXP(-LN(2)/2)*AB107+(1-EXP(-LN(2)/2))/(LN(2)/2)*V108*Y108*VLOOKUP('Données projet'!$B$9,Paramètres!$A$1:$I$89,3,0)*0.475*44/12</f>
        <v>6.0862482952841531E-11</v>
      </c>
      <c r="AC108" s="22">
        <f t="shared" si="57"/>
        <v>6.505503075915489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4.9658410716801891E-14</v>
      </c>
      <c r="AK108" s="13">
        <f t="shared" si="89"/>
        <v>8.0934058173791862E-13</v>
      </c>
      <c r="AL108" s="20">
        <f t="shared" si="58"/>
        <v>1.4960899118586383E-12</v>
      </c>
      <c r="AM108" s="59">
        <f t="shared" si="59"/>
        <v>293.33333333333479</v>
      </c>
      <c r="AN108" s="59">
        <f ca="1">AVERAGE(OFFSET($AM$3,0,0,'Données projet'!$E$10+1,1))-AVERAGE(OFFSET($H$3,0,0,'Données projet'!$E$10+1,1))</f>
        <v>304.32767345253382</v>
      </c>
      <c r="AO108" s="59">
        <f t="shared" si="90"/>
        <v>427.16091343339173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1.7876353098584048</v>
      </c>
      <c r="AV108" s="21">
        <f>EXP(-LN(2)/25)*AV107+(1-EXP(-LN(2)/25))/(LN(2)/25)*Calculateur!AQ108*Calculateur!AS108*VLOOKUP('Données projet'!$B$10,Paramètres!$A$1:$I$89,3,0)*0.475*44/12</f>
        <v>2.2647595998322694</v>
      </c>
      <c r="AW108" s="21">
        <f>EXP(-LN(2)/2)*AW107+(1-EXP(-LN(2)/2))/(LN(2)/2)*AQ108*AT108*VLOOKUP('Données projet'!$B$10,Paramètres!$A$1:$I$89,3,0)*0.475*44/12</f>
        <v>5.7999085966755387E-11</v>
      </c>
      <c r="AX108" s="21">
        <f t="shared" si="60"/>
        <v>4.0523949097486733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-4.9658410716801891E-14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268.31928207836495</v>
      </c>
      <c r="BJ108" s="59">
        <f t="shared" si="92"/>
        <v>277.61304526670204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0.46590480527653211</v>
      </c>
      <c r="BQ108" s="21">
        <f>EXP(-LN(2)/25)*BQ107+(1-EXP(-LN(2)/25))/(LN(2)/25)*Calculateur!BL108*Calculateur!BN108*VLOOKUP('Données projet'!$B$11,Paramètres!$A$1:$I$89,3,0)*0.475*44/12</f>
        <v>0.70396257880887891</v>
      </c>
      <c r="BR108" s="21">
        <f>EXP(-LN(2)/2)*BR107+(1-EXP(-LN(2)/2))/(LN(2)/2)*BL108*BO108*VLOOKUP('Données projet'!$B$11,Paramètres!$A$1:$I$89,3,0)*0.475*44/12</f>
        <v>4.2000766208665318E-11</v>
      </c>
      <c r="BS108" s="22">
        <f t="shared" si="63"/>
        <v>1.1698673841274119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2.8421709430404007E-14</v>
      </c>
      <c r="BZ108" s="13">
        <f>BY108*VLOOKUP('Données projet'!$B$12,Paramètres!$A$1:$I$89,3,0)*VLOOKUP('Données projet'!$B$12,Paramètres!$A$1:$I$89,5,0)</f>
        <v>2.2612312022829431E-14</v>
      </c>
      <c r="CA108" s="13">
        <f t="shared" si="93"/>
        <v>4.0387900716432995E-13</v>
      </c>
      <c r="CB108" s="20">
        <f t="shared" si="64"/>
        <v>7.4280571425096929E-13</v>
      </c>
      <c r="CC108" s="59">
        <f t="shared" si="65"/>
        <v>293.33333333333405</v>
      </c>
      <c r="CD108" s="59">
        <f ca="1">AVERAGE(OFFSET($CC$3,0,0,'Données projet'!$E$12+1,1))-AVERAGE(OFFSET($H$3,0,0,'Données projet'!$E$12+1,1))</f>
        <v>241.67556898455945</v>
      </c>
      <c r="CE108" s="59">
        <f t="shared" si="94"/>
        <v>237.71070965292648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1.4301285507870487</v>
      </c>
      <c r="CL108" s="21">
        <f>EXP(-LN(2)/25)*CL107+(1-EXP(-LN(2)/25))/(LN(2)/25)*Calculateur!CG108*Calculateur!CI108*VLOOKUP('Données projet'!$B$12,Paramètres!$A$1:$I$89,3,0)*0.475*44/12</f>
        <v>0.8844635034138324</v>
      </c>
      <c r="CM108" s="21">
        <f>EXP(-LN(2)/2)*CM107+(1-EXP(-LN(2)/2))/(LN(2)/2)*CG108*CJ108*VLOOKUP('Données projet'!$B$12,Paramètres!$A$1:$I$89,3,0)*0.475*44/12</f>
        <v>3.445437750927279E-11</v>
      </c>
      <c r="CN108" s="22">
        <f t="shared" si="66"/>
        <v>2.3145920542353355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-2.2612312022829427E-13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405.40026823646758</v>
      </c>
      <c r="T109" s="59">
        <f t="shared" si="88"/>
        <v>393.0787141050053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3.8436390015062587</v>
      </c>
      <c r="AA109" s="21">
        <f>EXP(-LN(2)/25)*AA108+(1-EXP(-LN(2)/25))/(LN(2)/25)*Calculateur!V109*Calculateur!X109*VLOOKUP('Données projet'!$B$9,Paramètres!$A$1:$I$89,3,0)*0.475*44/12</f>
        <v>2.5142985545596637</v>
      </c>
      <c r="AB109" s="21">
        <f>EXP(-LN(2)/2)*AB108+(1-EXP(-LN(2)/2))/(LN(2)/2)*V109*Y109*VLOOKUP('Données projet'!$B$9,Paramètres!$A$1:$I$89,3,0)*0.475*44/12</f>
        <v>4.3036274415804897E-11</v>
      </c>
      <c r="AC109" s="22">
        <f t="shared" si="57"/>
        <v>6.3579375561089586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4.9658410716801891E-14</v>
      </c>
      <c r="AK109" s="13">
        <f t="shared" si="89"/>
        <v>8.0934058173791862E-13</v>
      </c>
      <c r="AL109" s="20">
        <f t="shared" si="58"/>
        <v>1.4960899118586383E-12</v>
      </c>
      <c r="AM109" s="59">
        <f t="shared" si="59"/>
        <v>293.33333333333479</v>
      </c>
      <c r="AN109" s="59">
        <f ca="1">AVERAGE(OFFSET($AM$3,0,0,'Données projet'!$E$10+1,1))-AVERAGE(OFFSET($H$3,0,0,'Données projet'!$E$10+1,1))</f>
        <v>304.32767345253382</v>
      </c>
      <c r="AO109" s="59">
        <f t="shared" si="90"/>
        <v>427.16091343339173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1.7525808717819573</v>
      </c>
      <c r="AV109" s="21">
        <f>EXP(-LN(2)/25)*AV108+(1-EXP(-LN(2)/25))/(LN(2)/25)*Calculateur!AQ109*Calculateur!AS109*VLOOKUP('Données projet'!$B$10,Paramètres!$A$1:$I$89,3,0)*0.475*44/12</f>
        <v>2.2028296294763248</v>
      </c>
      <c r="AW109" s="21">
        <f>EXP(-LN(2)/2)*AW108+(1-EXP(-LN(2)/2))/(LN(2)/2)*AQ109*AT109*VLOOKUP('Données projet'!$B$10,Paramètres!$A$1:$I$89,3,0)*0.475*44/12</f>
        <v>4.1011546989714265E-11</v>
      </c>
      <c r="AX109" s="21">
        <f t="shared" si="60"/>
        <v>3.9554105012992937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-4.9658410716801891E-14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268.31928207836495</v>
      </c>
      <c r="BJ109" s="59">
        <f t="shared" si="92"/>
        <v>277.61304526670204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0.45676869621893068</v>
      </c>
      <c r="BQ109" s="21">
        <f>EXP(-LN(2)/25)*BQ108+(1-EXP(-LN(2)/25))/(LN(2)/25)*Calculateur!BL109*Calculateur!BN109*VLOOKUP('Données projet'!$B$11,Paramètres!$A$1:$I$89,3,0)*0.475*44/12</f>
        <v>0.68471268507156702</v>
      </c>
      <c r="BR109" s="21">
        <f>EXP(-LN(2)/2)*BR108+(1-EXP(-LN(2)/2))/(LN(2)/2)*BL109*BO109*VLOOKUP('Données projet'!$B$11,Paramètres!$A$1:$I$89,3,0)*0.475*44/12</f>
        <v>2.9699026601178046E-11</v>
      </c>
      <c r="BS109" s="22">
        <f t="shared" si="63"/>
        <v>1.1414813813201967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2.8421709430404007E-14</v>
      </c>
      <c r="BZ109" s="13">
        <f>BY109*VLOOKUP('Données projet'!$B$12,Paramètres!$A$1:$I$89,3,0)*VLOOKUP('Données projet'!$B$12,Paramètres!$A$1:$I$89,5,0)</f>
        <v>2.2612312022829431E-14</v>
      </c>
      <c r="CA109" s="13">
        <f t="shared" si="93"/>
        <v>4.0387900716432995E-13</v>
      </c>
      <c r="CB109" s="20">
        <f t="shared" si="64"/>
        <v>7.4280571425096929E-13</v>
      </c>
      <c r="CC109" s="59">
        <f t="shared" si="65"/>
        <v>293.33333333333405</v>
      </c>
      <c r="CD109" s="59">
        <f ca="1">AVERAGE(OFFSET($CC$3,0,0,'Données projet'!$E$12+1,1))-AVERAGE(OFFSET($H$3,0,0,'Données projet'!$E$12+1,1))</f>
        <v>241.67556898455945</v>
      </c>
      <c r="CE109" s="59">
        <f t="shared" si="94"/>
        <v>237.71070965292648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1.402084602198399</v>
      </c>
      <c r="CL109" s="21">
        <f>EXP(-LN(2)/25)*CL108+(1-EXP(-LN(2)/25))/(LN(2)/25)*Calculateur!CG109*Calculateur!CI109*VLOOKUP('Données projet'!$B$12,Paramètres!$A$1:$I$89,3,0)*0.475*44/12</f>
        <v>0.86027780240106699</v>
      </c>
      <c r="CM109" s="21">
        <f>EXP(-LN(2)/2)*CM108+(1-EXP(-LN(2)/2))/(LN(2)/2)*CG109*CJ109*VLOOKUP('Données projet'!$B$12,Paramètres!$A$1:$I$89,3,0)*0.475*44/12</f>
        <v>2.4362923978368059E-11</v>
      </c>
      <c r="CN109" s="22">
        <f t="shared" si="66"/>
        <v>2.2623624046238286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-2.2612312022829427E-13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405.40026823646758</v>
      </c>
      <c r="T110" s="59">
        <f t="shared" si="88"/>
        <v>393.0787141050053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3.7682675850750229</v>
      </c>
      <c r="AA110" s="21">
        <f>EXP(-LN(2)/25)*AA109+(1-EXP(-LN(2)/25))/(LN(2)/25)*Calculateur!V110*Calculateur!X110*VLOOKUP('Données projet'!$B$9,Paramètres!$A$1:$I$89,3,0)*0.475*44/12</f>
        <v>2.4455449283640154</v>
      </c>
      <c r="AB110" s="21">
        <f>EXP(-LN(2)/2)*AB109+(1-EXP(-LN(2)/2))/(LN(2)/2)*V110*Y110*VLOOKUP('Données projet'!$B$9,Paramètres!$A$1:$I$89,3,0)*0.475*44/12</f>
        <v>3.0431241476420765E-11</v>
      </c>
      <c r="AC110" s="22">
        <f t="shared" si="57"/>
        <v>6.2138125134694695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4.9658410716801891E-14</v>
      </c>
      <c r="AK110" s="13">
        <f t="shared" si="89"/>
        <v>8.0934058173791862E-13</v>
      </c>
      <c r="AL110" s="20">
        <f t="shared" si="58"/>
        <v>1.4960899118586383E-12</v>
      </c>
      <c r="AM110" s="59">
        <f t="shared" si="59"/>
        <v>293.33333333333479</v>
      </c>
      <c r="AN110" s="59">
        <f ca="1">AVERAGE(OFFSET($AM$3,0,0,'Données projet'!$E$10+1,1))-AVERAGE(OFFSET($H$3,0,0,'Données projet'!$E$10+1,1))</f>
        <v>304.32767345253382</v>
      </c>
      <c r="AO110" s="59">
        <f t="shared" si="90"/>
        <v>427.16091343339173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1.7182138298550931</v>
      </c>
      <c r="AV110" s="21">
        <f>EXP(-LN(2)/25)*AV109+(1-EXP(-LN(2)/25))/(LN(2)/25)*Calculateur!AQ110*Calculateur!AS110*VLOOKUP('Données projet'!$B$10,Paramètres!$A$1:$I$89,3,0)*0.475*44/12</f>
        <v>2.1425931374165192</v>
      </c>
      <c r="AW110" s="21">
        <f>EXP(-LN(2)/2)*AW109+(1-EXP(-LN(2)/2))/(LN(2)/2)*AQ110*AT110*VLOOKUP('Données projet'!$B$10,Paramètres!$A$1:$I$89,3,0)*0.475*44/12</f>
        <v>2.8999542983377697E-11</v>
      </c>
      <c r="AX110" s="21">
        <f t="shared" si="60"/>
        <v>3.8608069673006118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-4.9658410716801891E-14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268.31928207836495</v>
      </c>
      <c r="BJ110" s="59">
        <f t="shared" si="92"/>
        <v>277.61304526670204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0.44781174068747254</v>
      </c>
      <c r="BQ110" s="21">
        <f>EXP(-LN(2)/25)*BQ109+(1-EXP(-LN(2)/25))/(LN(2)/25)*Calculateur!BL110*Calculateur!BN110*VLOOKUP('Données projet'!$B$11,Paramètres!$A$1:$I$89,3,0)*0.475*44/12</f>
        <v>0.66598918069080981</v>
      </c>
      <c r="BR110" s="21">
        <f>EXP(-LN(2)/2)*BR109+(1-EXP(-LN(2)/2))/(LN(2)/2)*BL110*BO110*VLOOKUP('Données projet'!$B$11,Paramètres!$A$1:$I$89,3,0)*0.475*44/12</f>
        <v>2.1000383104332659E-11</v>
      </c>
      <c r="BS110" s="22">
        <f t="shared" si="63"/>
        <v>1.1138009213992828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2.8421709430404007E-14</v>
      </c>
      <c r="BZ110" s="13">
        <f>BY110*VLOOKUP('Données projet'!$B$12,Paramètres!$A$1:$I$89,3,0)*VLOOKUP('Données projet'!$B$12,Paramètres!$A$1:$I$89,5,0)</f>
        <v>2.2612312022829431E-14</v>
      </c>
      <c r="CA110" s="13">
        <f t="shared" si="93"/>
        <v>4.0387900716432995E-13</v>
      </c>
      <c r="CB110" s="20">
        <f t="shared" si="64"/>
        <v>7.4280571425096929E-13</v>
      </c>
      <c r="CC110" s="59">
        <f t="shared" si="65"/>
        <v>293.33333333333405</v>
      </c>
      <c r="CD110" s="59">
        <f ca="1">AVERAGE(OFFSET($CC$3,0,0,'Données projet'!$E$12+1,1))-AVERAGE(OFFSET($H$3,0,0,'Données projet'!$E$12+1,1))</f>
        <v>241.67556898455945</v>
      </c>
      <c r="CE110" s="59">
        <f t="shared" si="94"/>
        <v>237.71070965292648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1.3745905783364532</v>
      </c>
      <c r="CL110" s="21">
        <f>EXP(-LN(2)/25)*CL109+(1-EXP(-LN(2)/25))/(LN(2)/25)*Calculateur!CG110*Calculateur!CI110*VLOOKUP('Données projet'!$B$12,Paramètres!$A$1:$I$89,3,0)*0.475*44/12</f>
        <v>0.8367534606543664</v>
      </c>
      <c r="CM110" s="21">
        <f>EXP(-LN(2)/2)*CM109+(1-EXP(-LN(2)/2))/(LN(2)/2)*CG110*CJ110*VLOOKUP('Données projet'!$B$12,Paramètres!$A$1:$I$89,3,0)*0.475*44/12</f>
        <v>1.7227188754636395E-11</v>
      </c>
      <c r="CN110" s="22">
        <f t="shared" si="66"/>
        <v>2.2113440390080465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-2.2612312022829427E-13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405.40026823646758</v>
      </c>
      <c r="T111" s="59">
        <f t="shared" si="88"/>
        <v>393.0787141050053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3.6943741561479788</v>
      </c>
      <c r="AA111" s="21">
        <f>EXP(-LN(2)/25)*AA110+(1-EXP(-LN(2)/25))/(LN(2)/25)*Calculateur!V111*Calculateur!X111*VLOOKUP('Données projet'!$B$9,Paramètres!$A$1:$I$89,3,0)*0.475*44/12</f>
        <v>2.3786713736922831</v>
      </c>
      <c r="AB111" s="21">
        <f>EXP(-LN(2)/2)*AB110+(1-EXP(-LN(2)/2))/(LN(2)/2)*V111*Y111*VLOOKUP('Données projet'!$B$9,Paramètres!$A$1:$I$89,3,0)*0.475*44/12</f>
        <v>2.1518137207902448E-11</v>
      </c>
      <c r="AC111" s="22">
        <f t="shared" si="57"/>
        <v>6.0730455298617798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4.9658410716801891E-14</v>
      </c>
      <c r="AK111" s="13">
        <f t="shared" si="89"/>
        <v>8.0934058173791862E-13</v>
      </c>
      <c r="AL111" s="20">
        <f t="shared" si="58"/>
        <v>1.4960899118586383E-12</v>
      </c>
      <c r="AM111" s="59">
        <f t="shared" si="59"/>
        <v>293.33333333333479</v>
      </c>
      <c r="AN111" s="59">
        <f ca="1">AVERAGE(OFFSET($AM$3,0,0,'Données projet'!$E$10+1,1))-AVERAGE(OFFSET($H$3,0,0,'Données projet'!$E$10+1,1))</f>
        <v>304.32767345253382</v>
      </c>
      <c r="AO111" s="59">
        <f t="shared" si="90"/>
        <v>427.16091343339173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1.6845207046585888</v>
      </c>
      <c r="AV111" s="21">
        <f>EXP(-LN(2)/25)*AV110+(1-EXP(-LN(2)/25))/(LN(2)/25)*Calculateur!AQ111*Calculateur!AS111*VLOOKUP('Données projet'!$B$10,Paramètres!$A$1:$I$89,3,0)*0.475*44/12</f>
        <v>2.0840038153997882</v>
      </c>
      <c r="AW111" s="21">
        <f>EXP(-LN(2)/2)*AW110+(1-EXP(-LN(2)/2))/(LN(2)/2)*AQ111*AT111*VLOOKUP('Données projet'!$B$10,Paramètres!$A$1:$I$89,3,0)*0.475*44/12</f>
        <v>2.0505773494857136E-11</v>
      </c>
      <c r="AX111" s="21">
        <f t="shared" si="60"/>
        <v>3.7685245200788828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-4.9658410716801891E-14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268.31928207836495</v>
      </c>
      <c r="BJ111" s="59">
        <f t="shared" si="92"/>
        <v>277.61304526670204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0.43903042559078287</v>
      </c>
      <c r="BQ111" s="21">
        <f>EXP(-LN(2)/25)*BQ110+(1-EXP(-LN(2)/25))/(LN(2)/25)*Calculateur!BL111*Calculateur!BN111*VLOOKUP('Données projet'!$B$11,Paramètres!$A$1:$I$89,3,0)*0.475*44/12</f>
        <v>0.64777767152197074</v>
      </c>
      <c r="BR111" s="21">
        <f>EXP(-LN(2)/2)*BR110+(1-EXP(-LN(2)/2))/(LN(2)/2)*BL111*BO111*VLOOKUP('Données projet'!$B$11,Paramètres!$A$1:$I$89,3,0)*0.475*44/12</f>
        <v>1.4849513300589023E-11</v>
      </c>
      <c r="BS111" s="22">
        <f t="shared" si="63"/>
        <v>1.0868080971276031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2.8421709430404007E-14</v>
      </c>
      <c r="BZ111" s="13">
        <f>BY111*VLOOKUP('Données projet'!$B$12,Paramètres!$A$1:$I$89,3,0)*VLOOKUP('Données projet'!$B$12,Paramètres!$A$1:$I$89,5,0)</f>
        <v>2.2612312022829431E-14</v>
      </c>
      <c r="CA111" s="13">
        <f t="shared" si="93"/>
        <v>4.0387900716432995E-13</v>
      </c>
      <c r="CB111" s="20">
        <f t="shared" si="64"/>
        <v>7.4280571425096929E-13</v>
      </c>
      <c r="CC111" s="59">
        <f t="shared" si="65"/>
        <v>293.33333333333405</v>
      </c>
      <c r="CD111" s="59">
        <f ca="1">AVERAGE(OFFSET($CC$3,0,0,'Données projet'!$E$12+1,1))-AVERAGE(OFFSET($H$3,0,0,'Données projet'!$E$12+1,1))</f>
        <v>241.67556898455945</v>
      </c>
      <c r="CE111" s="59">
        <f t="shared" si="94"/>
        <v>237.71070965292648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1.3476356955127413</v>
      </c>
      <c r="CL111" s="21">
        <f>EXP(-LN(2)/25)*CL110+(1-EXP(-LN(2)/25))/(LN(2)/25)*Calculateur!CG111*Calculateur!CI111*VLOOKUP('Données projet'!$B$12,Paramètres!$A$1:$I$89,3,0)*0.475*44/12</f>
        <v>0.81387239326982064</v>
      </c>
      <c r="CM111" s="21">
        <f>EXP(-LN(2)/2)*CM110+(1-EXP(-LN(2)/2))/(LN(2)/2)*CG111*CJ111*VLOOKUP('Données projet'!$B$12,Paramètres!$A$1:$I$89,3,0)*0.475*44/12</f>
        <v>1.2181461989184029E-11</v>
      </c>
      <c r="CN111" s="22">
        <f t="shared" si="66"/>
        <v>2.1615080887947435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-2.2612312022829427E-13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405.40026823646758</v>
      </c>
      <c r="T112" s="59">
        <f t="shared" si="88"/>
        <v>393.0787141050053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3.6219297322916528</v>
      </c>
      <c r="AA112" s="21">
        <f>EXP(-LN(2)/25)*AA111+(1-EXP(-LN(2)/25))/(LN(2)/25)*Calculateur!V112*Calculateur!X112*VLOOKUP('Données projet'!$B$9,Paramètres!$A$1:$I$89,3,0)*0.475*44/12</f>
        <v>2.3136264798897765</v>
      </c>
      <c r="AB112" s="21">
        <f>EXP(-LN(2)/2)*AB111+(1-EXP(-LN(2)/2))/(LN(2)/2)*V112*Y112*VLOOKUP('Données projet'!$B$9,Paramètres!$A$1:$I$89,3,0)*0.475*44/12</f>
        <v>1.5215620738210383E-11</v>
      </c>
      <c r="AC112" s="22">
        <f t="shared" si="57"/>
        <v>5.9355562121966452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4.9658410716801891E-14</v>
      </c>
      <c r="AK112" s="13">
        <f t="shared" si="89"/>
        <v>8.0934058173791862E-13</v>
      </c>
      <c r="AL112" s="20">
        <f t="shared" si="58"/>
        <v>1.4960899118586383E-12</v>
      </c>
      <c r="AM112" s="59">
        <f t="shared" si="59"/>
        <v>293.33333333333479</v>
      </c>
      <c r="AN112" s="59">
        <f ca="1">AVERAGE(OFFSET($AM$3,0,0,'Données projet'!$E$10+1,1))-AVERAGE(OFFSET($H$3,0,0,'Données projet'!$E$10+1,1))</f>
        <v>304.32767345253382</v>
      </c>
      <c r="AO112" s="59">
        <f t="shared" si="90"/>
        <v>427.16091343339173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1.6514882810964109</v>
      </c>
      <c r="AV112" s="21">
        <f>EXP(-LN(2)/25)*AV111+(1-EXP(-LN(2)/25))/(LN(2)/25)*Calculateur!AQ112*Calculateur!AS112*VLOOKUP('Données projet'!$B$10,Paramètres!$A$1:$I$89,3,0)*0.475*44/12</f>
        <v>2.0270166214746834</v>
      </c>
      <c r="AW112" s="21">
        <f>EXP(-LN(2)/2)*AW111+(1-EXP(-LN(2)/2))/(LN(2)/2)*AQ112*AT112*VLOOKUP('Données projet'!$B$10,Paramètres!$A$1:$I$89,3,0)*0.475*44/12</f>
        <v>1.4499771491688852E-11</v>
      </c>
      <c r="AX112" s="21">
        <f t="shared" si="60"/>
        <v>3.6785049025855945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-4.9658410716801891E-14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268.31928207836495</v>
      </c>
      <c r="BJ112" s="59">
        <f t="shared" si="92"/>
        <v>277.61304526670204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0.43042130672706597</v>
      </c>
      <c r="BQ112" s="21">
        <f>EXP(-LN(2)/25)*BQ111+(1-EXP(-LN(2)/25))/(LN(2)/25)*Calculateur!BL112*Calculateur!BN112*VLOOKUP('Données projet'!$B$11,Paramètres!$A$1:$I$89,3,0)*0.475*44/12</f>
        <v>0.63006415702905527</v>
      </c>
      <c r="BR112" s="21">
        <f>EXP(-LN(2)/2)*BR111+(1-EXP(-LN(2)/2))/(LN(2)/2)*BL112*BO112*VLOOKUP('Données projet'!$B$11,Paramètres!$A$1:$I$89,3,0)*0.475*44/12</f>
        <v>1.0500191552166329E-11</v>
      </c>
      <c r="BS112" s="22">
        <f t="shared" si="63"/>
        <v>1.0604854637666215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2.8421709430404007E-14</v>
      </c>
      <c r="BZ112" s="13">
        <f>BY112*VLOOKUP('Données projet'!$B$12,Paramètres!$A$1:$I$89,3,0)*VLOOKUP('Données projet'!$B$12,Paramètres!$A$1:$I$89,5,0)</f>
        <v>2.2612312022829431E-14</v>
      </c>
      <c r="CA112" s="13">
        <f t="shared" si="93"/>
        <v>4.0387900716432995E-13</v>
      </c>
      <c r="CB112" s="20">
        <f t="shared" si="64"/>
        <v>7.4280571425096929E-13</v>
      </c>
      <c r="CC112" s="59">
        <f t="shared" si="65"/>
        <v>293.33333333333405</v>
      </c>
      <c r="CD112" s="59">
        <f ca="1">AVERAGE(OFFSET($CC$3,0,0,'Données projet'!$E$12+1,1))-AVERAGE(OFFSET($H$3,0,0,'Données projet'!$E$12+1,1))</f>
        <v>241.67556898455945</v>
      </c>
      <c r="CE112" s="59">
        <f t="shared" si="94"/>
        <v>237.71070965292648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1.3212093815003472</v>
      </c>
      <c r="CL112" s="21">
        <f>EXP(-LN(2)/25)*CL111+(1-EXP(-LN(2)/25))/(LN(2)/25)*Calculateur!CG112*Calculateur!CI112*VLOOKUP('Données projet'!$B$12,Paramètres!$A$1:$I$89,3,0)*0.475*44/12</f>
        <v>0.79161700987616834</v>
      </c>
      <c r="CM112" s="21">
        <f>EXP(-LN(2)/2)*CM111+(1-EXP(-LN(2)/2))/(LN(2)/2)*CG112*CJ112*VLOOKUP('Données projet'!$B$12,Paramètres!$A$1:$I$89,3,0)*0.475*44/12</f>
        <v>8.6135943773181975E-12</v>
      </c>
      <c r="CN112" s="22">
        <f t="shared" si="66"/>
        <v>2.1128263913851288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-2.2612312022829427E-13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405.40026823646758</v>
      </c>
      <c r="T113" s="59">
        <f t="shared" si="88"/>
        <v>393.0787141050053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3.5509058994004139</v>
      </c>
      <c r="AA113" s="21">
        <f>EXP(-LN(2)/25)*AA112+(1-EXP(-LN(2)/25))/(LN(2)/25)*Calculateur!V113*Calculateur!X113*VLOOKUP('Données projet'!$B$9,Paramètres!$A$1:$I$89,3,0)*0.475*44/12</f>
        <v>2.250360242128862</v>
      </c>
      <c r="AB113" s="21">
        <f>EXP(-LN(2)/2)*AB112+(1-EXP(-LN(2)/2))/(LN(2)/2)*V113*Y113*VLOOKUP('Données projet'!$B$9,Paramètres!$A$1:$I$89,3,0)*0.475*44/12</f>
        <v>1.0759068603951224E-11</v>
      </c>
      <c r="AC113" s="22">
        <f t="shared" si="57"/>
        <v>5.8012661415400348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4.9658410716801891E-14</v>
      </c>
      <c r="AK113" s="13">
        <f t="shared" si="89"/>
        <v>8.0934058173791862E-13</v>
      </c>
      <c r="AL113" s="20">
        <f t="shared" si="58"/>
        <v>1.4960899118586383E-12</v>
      </c>
      <c r="AM113" s="59">
        <f t="shared" si="59"/>
        <v>293.33333333333479</v>
      </c>
      <c r="AN113" s="59">
        <f ca="1">AVERAGE(OFFSET($AM$3,0,0,'Données projet'!$E$10+1,1))-AVERAGE(OFFSET($H$3,0,0,'Données projet'!$E$10+1,1))</f>
        <v>304.32767345253382</v>
      </c>
      <c r="AO113" s="59">
        <f t="shared" si="90"/>
        <v>427.16091343339173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1.6191036032124984</v>
      </c>
      <c r="AV113" s="21">
        <f>EXP(-LN(2)/25)*AV112+(1-EXP(-LN(2)/25))/(LN(2)/25)*Calculateur!AQ113*Calculateur!AS113*VLOOKUP('Données projet'!$B$10,Paramètres!$A$1:$I$89,3,0)*0.475*44/12</f>
        <v>1.9715877453642869</v>
      </c>
      <c r="AW113" s="21">
        <f>EXP(-LN(2)/2)*AW112+(1-EXP(-LN(2)/2))/(LN(2)/2)*AQ113*AT113*VLOOKUP('Données projet'!$B$10,Paramètres!$A$1:$I$89,3,0)*0.475*44/12</f>
        <v>1.0252886747428569E-11</v>
      </c>
      <c r="AX113" s="21">
        <f t="shared" si="60"/>
        <v>3.590691348587038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-4.9658410716801891E-14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268.31928207836495</v>
      </c>
      <c r="BJ113" s="59">
        <f t="shared" si="92"/>
        <v>277.61304526670204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0.42198100743322253</v>
      </c>
      <c r="BQ113" s="21">
        <f>EXP(-LN(2)/25)*BQ112+(1-EXP(-LN(2)/25))/(LN(2)/25)*Calculateur!BL113*Calculateur!BN113*VLOOKUP('Données projet'!$B$11,Paramètres!$A$1:$I$89,3,0)*0.475*44/12</f>
        <v>0.6128350195214618</v>
      </c>
      <c r="BR113" s="21">
        <f>EXP(-LN(2)/2)*BR112+(1-EXP(-LN(2)/2))/(LN(2)/2)*BL113*BO113*VLOOKUP('Données projet'!$B$11,Paramètres!$A$1:$I$89,3,0)*0.475*44/12</f>
        <v>7.4247566502945115E-12</v>
      </c>
      <c r="BS113" s="22">
        <f t="shared" si="63"/>
        <v>1.0348160269621092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2.8421709430404007E-14</v>
      </c>
      <c r="BZ113" s="13">
        <f>BY113*VLOOKUP('Données projet'!$B$12,Paramètres!$A$1:$I$89,3,0)*VLOOKUP('Données projet'!$B$12,Paramètres!$A$1:$I$89,5,0)</f>
        <v>2.2612312022829431E-14</v>
      </c>
      <c r="CA113" s="13">
        <f t="shared" si="93"/>
        <v>4.0387900716432995E-13</v>
      </c>
      <c r="CB113" s="20">
        <f t="shared" si="64"/>
        <v>7.4280571425096929E-13</v>
      </c>
      <c r="CC113" s="59">
        <f t="shared" si="65"/>
        <v>293.33333333333405</v>
      </c>
      <c r="CD113" s="59">
        <f ca="1">AVERAGE(OFFSET($CC$3,0,0,'Données projet'!$E$12+1,1))-AVERAGE(OFFSET($H$3,0,0,'Données projet'!$E$12+1,1))</f>
        <v>241.67556898455945</v>
      </c>
      <c r="CE113" s="59">
        <f t="shared" si="94"/>
        <v>237.71070965292648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1.2953012713872762</v>
      </c>
      <c r="CL113" s="21">
        <f>EXP(-LN(2)/25)*CL112+(1-EXP(-LN(2)/25))/(LN(2)/25)*Calculateur!CG113*Calculateur!CI113*VLOOKUP('Données projet'!$B$12,Paramètres!$A$1:$I$89,3,0)*0.475*44/12</f>
        <v>0.76997020111177528</v>
      </c>
      <c r="CM113" s="21">
        <f>EXP(-LN(2)/2)*CM112+(1-EXP(-LN(2)/2))/(LN(2)/2)*CG113*CJ113*VLOOKUP('Données projet'!$B$12,Paramètres!$A$1:$I$89,3,0)*0.475*44/12</f>
        <v>6.0907309945920147E-12</v>
      </c>
      <c r="CN113" s="22">
        <f t="shared" si="66"/>
        <v>2.0652714725051422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-2.2612312022829427E-13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405.40026823646758</v>
      </c>
      <c r="T114" s="59">
        <f t="shared" si="88"/>
        <v>393.0787141050053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3.4812748005519114</v>
      </c>
      <c r="AA114" s="21">
        <f>EXP(-LN(2)/25)*AA113+(1-EXP(-LN(2)/25))/(LN(2)/25)*Calculateur!V114*Calculateur!X114*VLOOKUP('Données projet'!$B$9,Paramètres!$A$1:$I$89,3,0)*0.475*44/12</f>
        <v>2.1888240229665463</v>
      </c>
      <c r="AB114" s="21">
        <f>EXP(-LN(2)/2)*AB113+(1-EXP(-LN(2)/2))/(LN(2)/2)*V114*Y114*VLOOKUP('Données projet'!$B$9,Paramètres!$A$1:$I$89,3,0)*0.475*44/12</f>
        <v>7.6078103691051914E-12</v>
      </c>
      <c r="AC114" s="22">
        <f t="shared" si="57"/>
        <v>5.6700988235260663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4.9658410716801891E-14</v>
      </c>
      <c r="AK114" s="13">
        <f t="shared" si="89"/>
        <v>8.0934058173791862E-13</v>
      </c>
      <c r="AL114" s="20">
        <f t="shared" si="58"/>
        <v>1.4960899118586383E-12</v>
      </c>
      <c r="AM114" s="59">
        <f t="shared" si="59"/>
        <v>293.33333333333479</v>
      </c>
      <c r="AN114" s="59">
        <f ca="1">AVERAGE(OFFSET($AM$3,0,0,'Données projet'!$E$10+1,1))-AVERAGE(OFFSET($H$3,0,0,'Données projet'!$E$10+1,1))</f>
        <v>304.32767345253382</v>
      </c>
      <c r="AO114" s="59">
        <f t="shared" si="90"/>
        <v>427.16091343339173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1.5873539691091862</v>
      </c>
      <c r="AV114" s="21">
        <f>EXP(-LN(2)/25)*AV113+(1-EXP(-LN(2)/25))/(LN(2)/25)*Calculateur!AQ114*Calculateur!AS114*VLOOKUP('Données projet'!$B$10,Paramètres!$A$1:$I$89,3,0)*0.475*44/12</f>
        <v>1.9176745747860071</v>
      </c>
      <c r="AW114" s="21">
        <f>EXP(-LN(2)/2)*AW113+(1-EXP(-LN(2)/2))/(LN(2)/2)*AQ114*AT114*VLOOKUP('Données projet'!$B$10,Paramètres!$A$1:$I$89,3,0)*0.475*44/12</f>
        <v>7.2498857458444266E-12</v>
      </c>
      <c r="AX114" s="21">
        <f t="shared" si="60"/>
        <v>3.5050285439024429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-4.9658410716801891E-14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268.31928207836495</v>
      </c>
      <c r="BJ114" s="59">
        <f t="shared" si="92"/>
        <v>277.61304526670204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0.41370621726045709</v>
      </c>
      <c r="BQ114" s="21">
        <f>EXP(-LN(2)/25)*BQ113+(1-EXP(-LN(2)/25))/(LN(2)/25)*Calculateur!BL114*Calculateur!BN114*VLOOKUP('Données projet'!$B$11,Paramètres!$A$1:$I$89,3,0)*0.475*44/12</f>
        <v>0.59607701368505439</v>
      </c>
      <c r="BR114" s="21">
        <f>EXP(-LN(2)/2)*BR113+(1-EXP(-LN(2)/2))/(LN(2)/2)*BL114*BO114*VLOOKUP('Données projet'!$B$11,Paramètres!$A$1:$I$89,3,0)*0.475*44/12</f>
        <v>5.2500957760831647E-12</v>
      </c>
      <c r="BS114" s="22">
        <f t="shared" si="63"/>
        <v>1.0097832309507615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2.8421709430404007E-14</v>
      </c>
      <c r="BZ114" s="13">
        <f>BY114*VLOOKUP('Données projet'!$B$12,Paramètres!$A$1:$I$89,3,0)*VLOOKUP('Données projet'!$B$12,Paramètres!$A$1:$I$89,5,0)</f>
        <v>2.2612312022829431E-14</v>
      </c>
      <c r="CA114" s="13">
        <f t="shared" si="93"/>
        <v>4.0387900716432995E-13</v>
      </c>
      <c r="CB114" s="20">
        <f t="shared" si="64"/>
        <v>7.4280571425096929E-13</v>
      </c>
      <c r="CC114" s="59">
        <f t="shared" si="65"/>
        <v>293.33333333333405</v>
      </c>
      <c r="CD114" s="59">
        <f ca="1">AVERAGE(OFFSET($CC$3,0,0,'Données projet'!$E$12+1,1))-AVERAGE(OFFSET($H$3,0,0,'Données projet'!$E$12+1,1))</f>
        <v>241.67556898455945</v>
      </c>
      <c r="CE114" s="59">
        <f t="shared" si="94"/>
        <v>237.71070965292648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1.2699012035111357</v>
      </c>
      <c r="CL114" s="21">
        <f>EXP(-LN(2)/25)*CL113+(1-EXP(-LN(2)/25))/(LN(2)/25)*Calculateur!CG114*Calculateur!CI114*VLOOKUP('Données projet'!$B$12,Paramètres!$A$1:$I$89,3,0)*0.475*44/12</f>
        <v>0.74891532547140072</v>
      </c>
      <c r="CM114" s="21">
        <f>EXP(-LN(2)/2)*CM113+(1-EXP(-LN(2)/2))/(LN(2)/2)*CG114*CJ114*VLOOKUP('Données projet'!$B$12,Paramètres!$A$1:$I$89,3,0)*0.475*44/12</f>
        <v>4.3067971886590987E-12</v>
      </c>
      <c r="CN114" s="22">
        <f t="shared" si="66"/>
        <v>2.0188165289868429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-2.2612312022829427E-13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405.40026823646758</v>
      </c>
      <c r="T115" s="59">
        <f t="shared" si="88"/>
        <v>393.0787141050053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3.4130091250810515</v>
      </c>
      <c r="AA115" s="21">
        <f>EXP(-LN(2)/25)*AA114+(1-EXP(-LN(2)/25))/(LN(2)/25)*Calculateur!V115*Calculateur!X115*VLOOKUP('Données projet'!$B$9,Paramètres!$A$1:$I$89,3,0)*0.475*44/12</f>
        <v>2.1289705149532732</v>
      </c>
      <c r="AB115" s="21">
        <f>EXP(-LN(2)/2)*AB114+(1-EXP(-LN(2)/2))/(LN(2)/2)*V115*Y115*VLOOKUP('Données projet'!$B$9,Paramètres!$A$1:$I$89,3,0)*0.475*44/12</f>
        <v>5.3795343019756121E-12</v>
      </c>
      <c r="AC115" s="22">
        <f t="shared" si="57"/>
        <v>5.5419796400397043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4.9658410716801891E-14</v>
      </c>
      <c r="AK115" s="13">
        <f t="shared" si="89"/>
        <v>8.0934058173791862E-13</v>
      </c>
      <c r="AL115" s="20">
        <f t="shared" si="58"/>
        <v>1.4960899118586383E-12</v>
      </c>
      <c r="AM115" s="59">
        <f t="shared" si="59"/>
        <v>293.33333333333479</v>
      </c>
      <c r="AN115" s="59">
        <f ca="1">AVERAGE(OFFSET($AM$3,0,0,'Données projet'!$E$10+1,1))-AVERAGE(OFFSET($H$3,0,0,'Données projet'!$E$10+1,1))</f>
        <v>304.32767345253382</v>
      </c>
      <c r="AO115" s="59">
        <f t="shared" si="90"/>
        <v>427.16091343339173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1.5562269259652755</v>
      </c>
      <c r="AV115" s="21">
        <f>EXP(-LN(2)/25)*AV114+(1-EXP(-LN(2)/25))/(LN(2)/25)*Calculateur!AQ115*Calculateur!AS115*VLOOKUP('Données projet'!$B$10,Paramètres!$A$1:$I$89,3,0)*0.475*44/12</f>
        <v>1.8652356626923607</v>
      </c>
      <c r="AW115" s="21">
        <f>EXP(-LN(2)/2)*AW114+(1-EXP(-LN(2)/2))/(LN(2)/2)*AQ115*AT115*VLOOKUP('Données projet'!$B$10,Paramètres!$A$1:$I$89,3,0)*0.475*44/12</f>
        <v>5.1264433737142855E-12</v>
      </c>
      <c r="AX115" s="21">
        <f t="shared" si="60"/>
        <v>3.421462588662763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-4.9658410716801891E-14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268.31928207836495</v>
      </c>
      <c r="BJ115" s="59">
        <f t="shared" si="92"/>
        <v>277.61304526670204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0.40559369067585593</v>
      </c>
      <c r="BQ115" s="21">
        <f>EXP(-LN(2)/25)*BQ114+(1-EXP(-LN(2)/25))/(LN(2)/25)*Calculateur!BL115*Calculateur!BN115*VLOOKUP('Données projet'!$B$11,Paramètres!$A$1:$I$89,3,0)*0.475*44/12</f>
        <v>0.57977725639950883</v>
      </c>
      <c r="BR115" s="21">
        <f>EXP(-LN(2)/2)*BR114+(1-EXP(-LN(2)/2))/(LN(2)/2)*BL115*BO115*VLOOKUP('Données projet'!$B$11,Paramètres!$A$1:$I$89,3,0)*0.475*44/12</f>
        <v>3.7123783251472557E-12</v>
      </c>
      <c r="BS115" s="22">
        <f t="shared" si="63"/>
        <v>0.98537094707907713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2.8421709430404007E-14</v>
      </c>
      <c r="BZ115" s="13">
        <f>BY115*VLOOKUP('Données projet'!$B$12,Paramètres!$A$1:$I$89,3,0)*VLOOKUP('Données projet'!$B$12,Paramètres!$A$1:$I$89,5,0)</f>
        <v>2.2612312022829431E-14</v>
      </c>
      <c r="CA115" s="13">
        <f t="shared" si="93"/>
        <v>4.0387900716432995E-13</v>
      </c>
      <c r="CB115" s="20">
        <f t="shared" si="64"/>
        <v>7.4280571425096929E-13</v>
      </c>
      <c r="CC115" s="59">
        <f t="shared" si="65"/>
        <v>293.33333333333405</v>
      </c>
      <c r="CD115" s="59">
        <f ca="1">AVERAGE(OFFSET($CC$3,0,0,'Données projet'!$E$12+1,1))-AVERAGE(OFFSET($H$3,0,0,'Données projet'!$E$12+1,1))</f>
        <v>241.67556898455945</v>
      </c>
      <c r="CE115" s="59">
        <f t="shared" si="94"/>
        <v>237.71070965292648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1.2449992154735348</v>
      </c>
      <c r="CL115" s="21">
        <f>EXP(-LN(2)/25)*CL114+(1-EXP(-LN(2)/25))/(LN(2)/25)*Calculateur!CG115*Calculateur!CI115*VLOOKUP('Données projet'!$B$12,Paramètres!$A$1:$I$89,3,0)*0.475*44/12</f>
        <v>0.72843619651264002</v>
      </c>
      <c r="CM115" s="21">
        <f>EXP(-LN(2)/2)*CM114+(1-EXP(-LN(2)/2))/(LN(2)/2)*CG115*CJ115*VLOOKUP('Données projet'!$B$12,Paramètres!$A$1:$I$89,3,0)*0.475*44/12</f>
        <v>3.0453654972960074E-12</v>
      </c>
      <c r="CN115" s="22">
        <f t="shared" si="66"/>
        <v>1.9734354119892201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-2.2612312022829427E-13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405.40026823646758</v>
      </c>
      <c r="T116" s="59">
        <f t="shared" si="88"/>
        <v>393.0787141050053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3.3460820978682246</v>
      </c>
      <c r="AA116" s="21">
        <f>EXP(-LN(2)/25)*AA115+(1-EXP(-LN(2)/25))/(LN(2)/25)*Calculateur!V116*Calculateur!X116*VLOOKUP('Données projet'!$B$9,Paramètres!$A$1:$I$89,3,0)*0.475*44/12</f>
        <v>2.0707537042641824</v>
      </c>
      <c r="AB116" s="21">
        <f>EXP(-LN(2)/2)*AB115+(1-EXP(-LN(2)/2))/(LN(2)/2)*V116*Y116*VLOOKUP('Données projet'!$B$9,Paramètres!$A$1:$I$89,3,0)*0.475*44/12</f>
        <v>3.8039051845525957E-12</v>
      </c>
      <c r="AC116" s="22">
        <f t="shared" si="57"/>
        <v>5.4168358021362115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4.9658410716801891E-14</v>
      </c>
      <c r="AK116" s="13">
        <f t="shared" si="89"/>
        <v>8.0934058173791862E-13</v>
      </c>
      <c r="AL116" s="20">
        <f t="shared" si="58"/>
        <v>1.4960899118586383E-12</v>
      </c>
      <c r="AM116" s="59">
        <f t="shared" si="59"/>
        <v>293.33333333333479</v>
      </c>
      <c r="AN116" s="59">
        <f ca="1">AVERAGE(OFFSET($AM$3,0,0,'Données projet'!$E$10+1,1))-AVERAGE(OFFSET($H$3,0,0,'Données projet'!$E$10+1,1))</f>
        <v>304.32767345253382</v>
      </c>
      <c r="AO116" s="59">
        <f t="shared" si="90"/>
        <v>427.16091343339173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1.5257102651517951</v>
      </c>
      <c r="AV116" s="21">
        <f>EXP(-LN(2)/25)*AV115+(1-EXP(-LN(2)/25))/(LN(2)/25)*Calculateur!AQ116*Calculateur!AS116*VLOOKUP('Données projet'!$B$10,Paramètres!$A$1:$I$89,3,0)*0.475*44/12</f>
        <v>1.8142306954075578</v>
      </c>
      <c r="AW116" s="21">
        <f>EXP(-LN(2)/2)*AW115+(1-EXP(-LN(2)/2))/(LN(2)/2)*AQ116*AT116*VLOOKUP('Données projet'!$B$10,Paramètres!$A$1:$I$89,3,0)*0.475*44/12</f>
        <v>3.6249428729222141E-12</v>
      </c>
      <c r="AX116" s="21">
        <f t="shared" si="60"/>
        <v>3.339940960562978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-4.9658410716801891E-14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268.31928207836495</v>
      </c>
      <c r="BJ116" s="59">
        <f t="shared" si="92"/>
        <v>277.61304526670204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0.39764024578942619</v>
      </c>
      <c r="BQ116" s="21">
        <f>EXP(-LN(2)/25)*BQ115+(1-EXP(-LN(2)/25))/(LN(2)/25)*Calculateur!BL116*Calculateur!BN116*VLOOKUP('Données projet'!$B$11,Paramètres!$A$1:$I$89,3,0)*0.475*44/12</f>
        <v>0.5639232168341034</v>
      </c>
      <c r="BR116" s="21">
        <f>EXP(-LN(2)/2)*BR115+(1-EXP(-LN(2)/2))/(LN(2)/2)*BL116*BO116*VLOOKUP('Données projet'!$B$11,Paramètres!$A$1:$I$89,3,0)*0.475*44/12</f>
        <v>2.6250478880415824E-12</v>
      </c>
      <c r="BS116" s="22">
        <f t="shared" si="63"/>
        <v>0.96156346262615466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2.8421709430404007E-14</v>
      </c>
      <c r="BZ116" s="13">
        <f>BY116*VLOOKUP('Données projet'!$B$12,Paramètres!$A$1:$I$89,3,0)*VLOOKUP('Données projet'!$B$12,Paramètres!$A$1:$I$89,5,0)</f>
        <v>2.2612312022829431E-14</v>
      </c>
      <c r="CA116" s="13">
        <f t="shared" si="93"/>
        <v>4.0387900716432995E-13</v>
      </c>
      <c r="CB116" s="20">
        <f t="shared" si="64"/>
        <v>7.4280571425096929E-13</v>
      </c>
      <c r="CC116" s="59">
        <f t="shared" si="65"/>
        <v>293.33333333333405</v>
      </c>
      <c r="CD116" s="59">
        <f ca="1">AVERAGE(OFFSET($CC$3,0,0,'Données projet'!$E$12+1,1))-AVERAGE(OFFSET($H$3,0,0,'Données projet'!$E$12+1,1))</f>
        <v>241.67556898455945</v>
      </c>
      <c r="CE116" s="59">
        <f t="shared" si="94"/>
        <v>237.71070965292648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1.2205855402326382</v>
      </c>
      <c r="CL116" s="21">
        <f>EXP(-LN(2)/25)*CL115+(1-EXP(-LN(2)/25))/(LN(2)/25)*Calculateur!CG116*Calculateur!CI116*VLOOKUP('Données projet'!$B$12,Paramètres!$A$1:$I$89,3,0)*0.475*44/12</f>
        <v>0.70851707041220713</v>
      </c>
      <c r="CM116" s="21">
        <f>EXP(-LN(2)/2)*CM115+(1-EXP(-LN(2)/2))/(LN(2)/2)*CG116*CJ116*VLOOKUP('Données projet'!$B$12,Paramètres!$A$1:$I$89,3,0)*0.475*44/12</f>
        <v>2.1533985943295494E-12</v>
      </c>
      <c r="CN116" s="22">
        <f t="shared" si="66"/>
        <v>1.9291026106469986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-2.2612312022829427E-13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405.40026823646758</v>
      </c>
      <c r="T117" s="59">
        <f t="shared" si="88"/>
        <v>393.0787141050053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3.2804674688375854</v>
      </c>
      <c r="AA117" s="21">
        <f>EXP(-LN(2)/25)*AA116+(1-EXP(-LN(2)/25))/(LN(2)/25)*Calculateur!V117*Calculateur!X117*VLOOKUP('Données projet'!$B$9,Paramètres!$A$1:$I$89,3,0)*0.475*44/12</f>
        <v>2.0141288353248736</v>
      </c>
      <c r="AB117" s="21">
        <f>EXP(-LN(2)/2)*AB116+(1-EXP(-LN(2)/2))/(LN(2)/2)*V117*Y117*VLOOKUP('Données projet'!$B$9,Paramètres!$A$1:$I$89,3,0)*0.475*44/12</f>
        <v>2.6897671509878061E-12</v>
      </c>
      <c r="AC117" s="22">
        <f t="shared" si="57"/>
        <v>5.2945963041651485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4.9658410716801891E-14</v>
      </c>
      <c r="AK117" s="13">
        <f t="shared" si="89"/>
        <v>8.0934058173791862E-13</v>
      </c>
      <c r="AL117" s="20">
        <f t="shared" si="58"/>
        <v>1.4960899118586383E-12</v>
      </c>
      <c r="AM117" s="59">
        <f t="shared" si="59"/>
        <v>293.33333333333479</v>
      </c>
      <c r="AN117" s="59">
        <f ca="1">AVERAGE(OFFSET($AM$3,0,0,'Données projet'!$E$10+1,1))-AVERAGE(OFFSET($H$3,0,0,'Données projet'!$E$10+1,1))</f>
        <v>304.32767345253382</v>
      </c>
      <c r="AO117" s="59">
        <f t="shared" si="90"/>
        <v>427.16091343339173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1.495792017443542</v>
      </c>
      <c r="AV117" s="21">
        <f>EXP(-LN(2)/25)*AV116+(1-EXP(-LN(2)/25))/(LN(2)/25)*Calculateur!AQ117*Calculateur!AS117*VLOOKUP('Données projet'!$B$10,Paramètres!$A$1:$I$89,3,0)*0.475*44/12</f>
        <v>1.7646204616353922</v>
      </c>
      <c r="AW117" s="21">
        <f>EXP(-LN(2)/2)*AW116+(1-EXP(-LN(2)/2))/(LN(2)/2)*AQ117*AT117*VLOOKUP('Données projet'!$B$10,Paramètres!$A$1:$I$89,3,0)*0.475*44/12</f>
        <v>2.5632216868571432E-12</v>
      </c>
      <c r="AX117" s="21">
        <f t="shared" si="60"/>
        <v>3.2604124790814977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-4.9658410716801891E-14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268.31928207836495</v>
      </c>
      <c r="BJ117" s="59">
        <f t="shared" si="92"/>
        <v>277.61304526670204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0.389842763106097</v>
      </c>
      <c r="BQ117" s="21">
        <f>EXP(-LN(2)/25)*BQ116+(1-EXP(-LN(2)/25))/(LN(2)/25)*Calculateur!BL117*Calculateur!BN117*VLOOKUP('Données projet'!$B$11,Paramètres!$A$1:$I$89,3,0)*0.475*44/12</f>
        <v>0.54850270681434177</v>
      </c>
      <c r="BR117" s="21">
        <f>EXP(-LN(2)/2)*BR116+(1-EXP(-LN(2)/2))/(LN(2)/2)*BL117*BO117*VLOOKUP('Données projet'!$B$11,Paramètres!$A$1:$I$89,3,0)*0.475*44/12</f>
        <v>1.8561891625736279E-12</v>
      </c>
      <c r="BS117" s="22">
        <f t="shared" si="63"/>
        <v>0.93834546992229495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2.8421709430404007E-14</v>
      </c>
      <c r="BZ117" s="13">
        <f>BY117*VLOOKUP('Données projet'!$B$12,Paramètres!$A$1:$I$89,3,0)*VLOOKUP('Données projet'!$B$12,Paramètres!$A$1:$I$89,5,0)</f>
        <v>2.2612312022829431E-14</v>
      </c>
      <c r="CA117" s="13">
        <f t="shared" si="93"/>
        <v>4.0387900716432995E-13</v>
      </c>
      <c r="CB117" s="20">
        <f t="shared" si="64"/>
        <v>7.4280571425096929E-13</v>
      </c>
      <c r="CC117" s="59">
        <f t="shared" si="65"/>
        <v>293.33333333333405</v>
      </c>
      <c r="CD117" s="59">
        <f ca="1">AVERAGE(OFFSET($CC$3,0,0,'Données projet'!$E$12+1,1))-AVERAGE(OFFSET($H$3,0,0,'Données projet'!$E$12+1,1))</f>
        <v>241.67556898455945</v>
      </c>
      <c r="CE117" s="59">
        <f t="shared" si="94"/>
        <v>237.71070965292648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1.196650602272344</v>
      </c>
      <c r="CL117" s="21">
        <f>EXP(-LN(2)/25)*CL116+(1-EXP(-LN(2)/25))/(LN(2)/25)*Calculateur!CG117*Calculateur!CI117*VLOOKUP('Données projet'!$B$12,Paramètres!$A$1:$I$89,3,0)*0.475*44/12</f>
        <v>0.68914263386249197</v>
      </c>
      <c r="CM117" s="21">
        <f>EXP(-LN(2)/2)*CM116+(1-EXP(-LN(2)/2))/(LN(2)/2)*CG117*CJ117*VLOOKUP('Données projet'!$B$12,Paramètres!$A$1:$I$89,3,0)*0.475*44/12</f>
        <v>1.5226827486480037E-12</v>
      </c>
      <c r="CN117" s="22">
        <f t="shared" si="66"/>
        <v>1.8857932361363587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-2.2612312022829427E-13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405.40026823646758</v>
      </c>
      <c r="T118" s="59">
        <f t="shared" si="88"/>
        <v>393.0787141050053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3.2161395026612651</v>
      </c>
      <c r="AA118" s="21">
        <f>EXP(-LN(2)/25)*AA117+(1-EXP(-LN(2)/25))/(LN(2)/25)*Calculateur!V118*Calculateur!X118*VLOOKUP('Données projet'!$B$9,Paramètres!$A$1:$I$89,3,0)*0.475*44/12</f>
        <v>1.9590523764044829</v>
      </c>
      <c r="AB118" s="21">
        <f>EXP(-LN(2)/2)*AB117+(1-EXP(-LN(2)/2))/(LN(2)/2)*V118*Y118*VLOOKUP('Données projet'!$B$9,Paramètres!$A$1:$I$89,3,0)*0.475*44/12</f>
        <v>1.9019525922762978E-12</v>
      </c>
      <c r="AC118" s="22">
        <f t="shared" si="57"/>
        <v>5.1751918790676497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4.9658410716801891E-14</v>
      </c>
      <c r="AK118" s="13">
        <f t="shared" si="89"/>
        <v>8.0934058173791862E-13</v>
      </c>
      <c r="AL118" s="20">
        <f t="shared" si="58"/>
        <v>1.4960899118586383E-12</v>
      </c>
      <c r="AM118" s="59">
        <f t="shared" si="59"/>
        <v>293.33333333333479</v>
      </c>
      <c r="AN118" s="59">
        <f ca="1">AVERAGE(OFFSET($AM$3,0,0,'Données projet'!$E$10+1,1))-AVERAGE(OFFSET($H$3,0,0,'Données projet'!$E$10+1,1))</f>
        <v>304.32767345253382</v>
      </c>
      <c r="AO118" s="59">
        <f t="shared" si="90"/>
        <v>427.16091343339173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1.4664604483245183</v>
      </c>
      <c r="AV118" s="21">
        <f>EXP(-LN(2)/25)*AV117+(1-EXP(-LN(2)/25))/(LN(2)/25)*Calculateur!AQ118*Calculateur!AS118*VLOOKUP('Données projet'!$B$10,Paramètres!$A$1:$I$89,3,0)*0.475*44/12</f>
        <v>1.7163668223146153</v>
      </c>
      <c r="AW118" s="21">
        <f>EXP(-LN(2)/2)*AW117+(1-EXP(-LN(2)/2))/(LN(2)/2)*AQ118*AT118*VLOOKUP('Données projet'!$B$10,Paramètres!$A$1:$I$89,3,0)*0.475*44/12</f>
        <v>1.8124714364611073E-12</v>
      </c>
      <c r="AX118" s="21">
        <f t="shared" si="60"/>
        <v>3.1828272706409462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-4.9658410716801891E-14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268.31928207836495</v>
      </c>
      <c r="BJ118" s="59">
        <f t="shared" si="92"/>
        <v>277.61304526670204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0.38219818430219304</v>
      </c>
      <c r="BQ118" s="21">
        <f>EXP(-LN(2)/25)*BQ117+(1-EXP(-LN(2)/25))/(LN(2)/25)*Calculateur!BL118*Calculateur!BN118*VLOOKUP('Données projet'!$B$11,Paramètres!$A$1:$I$89,3,0)*0.475*44/12</f>
        <v>0.53350387145199984</v>
      </c>
      <c r="BR118" s="21">
        <f>EXP(-LN(2)/2)*BR117+(1-EXP(-LN(2)/2))/(LN(2)/2)*BL118*BO118*VLOOKUP('Données projet'!$B$11,Paramètres!$A$1:$I$89,3,0)*0.475*44/12</f>
        <v>1.3125239440207912E-12</v>
      </c>
      <c r="BS118" s="22">
        <f t="shared" si="63"/>
        <v>0.91570205575550534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2.8421709430404007E-14</v>
      </c>
      <c r="BZ118" s="13">
        <f>BY118*VLOOKUP('Données projet'!$B$12,Paramètres!$A$1:$I$89,3,0)*VLOOKUP('Données projet'!$B$12,Paramètres!$A$1:$I$89,5,0)</f>
        <v>2.2612312022829431E-14</v>
      </c>
      <c r="CA118" s="13">
        <f t="shared" si="93"/>
        <v>4.0387900716432995E-13</v>
      </c>
      <c r="CB118" s="20">
        <f t="shared" si="64"/>
        <v>7.4280571425096929E-13</v>
      </c>
      <c r="CC118" s="59">
        <f t="shared" si="65"/>
        <v>293.33333333333405</v>
      </c>
      <c r="CD118" s="59">
        <f ca="1">AVERAGE(OFFSET($CC$3,0,0,'Données projet'!$E$12+1,1))-AVERAGE(OFFSET($H$3,0,0,'Données projet'!$E$12+1,1))</f>
        <v>241.67556898455945</v>
      </c>
      <c r="CE118" s="59">
        <f t="shared" si="94"/>
        <v>237.71070965292648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1.1731850138465805</v>
      </c>
      <c r="CL118" s="21">
        <f>EXP(-LN(2)/25)*CL117+(1-EXP(-LN(2)/25))/(LN(2)/25)*Calculateur!CG118*Calculateur!CI118*VLOOKUP('Données projet'!$B$12,Paramètres!$A$1:$I$89,3,0)*0.475*44/12</f>
        <v>0.67029799229908604</v>
      </c>
      <c r="CM118" s="21">
        <f>EXP(-LN(2)/2)*CM117+(1-EXP(-LN(2)/2))/(LN(2)/2)*CG118*CJ118*VLOOKUP('Données projet'!$B$12,Paramètres!$A$1:$I$89,3,0)*0.475*44/12</f>
        <v>1.0766992971647747E-12</v>
      </c>
      <c r="CN118" s="22">
        <f t="shared" si="66"/>
        <v>1.8434830061467433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-2.2612312022829427E-13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405.40026823646758</v>
      </c>
      <c r="T119" s="59">
        <f t="shared" si="88"/>
        <v>393.0787141050053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3.1530729686654775</v>
      </c>
      <c r="AA119" s="21">
        <f>EXP(-LN(2)/25)*AA118+(1-EXP(-LN(2)/25))/(LN(2)/25)*Calculateur!V119*Calculateur!X119*VLOOKUP('Données projet'!$B$9,Paramètres!$A$1:$I$89,3,0)*0.475*44/12</f>
        <v>1.9054819861496153</v>
      </c>
      <c r="AB119" s="21">
        <f>EXP(-LN(2)/2)*AB118+(1-EXP(-LN(2)/2))/(LN(2)/2)*V119*Y119*VLOOKUP('Données projet'!$B$9,Paramètres!$A$1:$I$89,3,0)*0.475*44/12</f>
        <v>1.344883575493903E-12</v>
      </c>
      <c r="AC119" s="22">
        <f t="shared" si="57"/>
        <v>5.0585549548164375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4.9658410716801891E-14</v>
      </c>
      <c r="AK119" s="13">
        <f t="shared" si="89"/>
        <v>8.0934058173791862E-13</v>
      </c>
      <c r="AL119" s="20">
        <f t="shared" si="58"/>
        <v>1.4960899118586383E-12</v>
      </c>
      <c r="AM119" s="59">
        <f t="shared" si="59"/>
        <v>293.33333333333479</v>
      </c>
      <c r="AN119" s="59">
        <f ca="1">AVERAGE(OFFSET($AM$3,0,0,'Données projet'!$E$10+1,1))-AVERAGE(OFFSET($H$3,0,0,'Données projet'!$E$10+1,1))</f>
        <v>304.32767345253382</v>
      </c>
      <c r="AO119" s="59">
        <f t="shared" si="90"/>
        <v>427.16091343339173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1.4377040533854282</v>
      </c>
      <c r="AV119" s="21">
        <f>EXP(-LN(2)/25)*AV118+(1-EXP(-LN(2)/25))/(LN(2)/25)*Calculateur!AQ119*Calculateur!AS119*VLOOKUP('Données projet'!$B$10,Paramètres!$A$1:$I$89,3,0)*0.475*44/12</f>
        <v>1.6694326812986138</v>
      </c>
      <c r="AW119" s="21">
        <f>EXP(-LN(2)/2)*AW118+(1-EXP(-LN(2)/2))/(LN(2)/2)*AQ119*AT119*VLOOKUP('Données projet'!$B$10,Paramètres!$A$1:$I$89,3,0)*0.475*44/12</f>
        <v>1.2816108434285718E-12</v>
      </c>
      <c r="AX119" s="21">
        <f t="shared" si="60"/>
        <v>3.1071367346853238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-4.9658410716801891E-14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268.31928207836495</v>
      </c>
      <c r="BJ119" s="59">
        <f t="shared" si="92"/>
        <v>277.61304526670204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0.37470351102590099</v>
      </c>
      <c r="BQ119" s="21">
        <f>EXP(-LN(2)/25)*BQ118+(1-EXP(-LN(2)/25))/(LN(2)/25)*Calculateur!BL119*Calculateur!BN119*VLOOKUP('Données projet'!$B$11,Paramètres!$A$1:$I$89,3,0)*0.475*44/12</f>
        <v>0.5189151800313957</v>
      </c>
      <c r="BR119" s="21">
        <f>EXP(-LN(2)/2)*BR118+(1-EXP(-LN(2)/2))/(LN(2)/2)*BL119*BO119*VLOOKUP('Données projet'!$B$11,Paramètres!$A$1:$I$89,3,0)*0.475*44/12</f>
        <v>9.2809458128681394E-13</v>
      </c>
      <c r="BS119" s="22">
        <f t="shared" si="63"/>
        <v>0.89361869105822489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2.8421709430404007E-14</v>
      </c>
      <c r="BZ119" s="13">
        <f>BY119*VLOOKUP('Données projet'!$B$12,Paramètres!$A$1:$I$89,3,0)*VLOOKUP('Données projet'!$B$12,Paramètres!$A$1:$I$89,5,0)</f>
        <v>2.2612312022829431E-14</v>
      </c>
      <c r="CA119" s="13">
        <f t="shared" si="93"/>
        <v>4.0387900716432995E-13</v>
      </c>
      <c r="CB119" s="20">
        <f t="shared" si="64"/>
        <v>7.4280571425096929E-13</v>
      </c>
      <c r="CC119" s="59">
        <f t="shared" si="65"/>
        <v>293.33333333333405</v>
      </c>
      <c r="CD119" s="59">
        <f ca="1">AVERAGE(OFFSET($CC$3,0,0,'Données projet'!$E$12+1,1))-AVERAGE(OFFSET($H$3,0,0,'Données projet'!$E$12+1,1))</f>
        <v>241.67556898455945</v>
      </c>
      <c r="CE119" s="59">
        <f t="shared" si="94"/>
        <v>237.71070965292648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1.1501795712972507</v>
      </c>
      <c r="CL119" s="21">
        <f>EXP(-LN(2)/25)*CL118+(1-EXP(-LN(2)/25))/(LN(2)/25)*Calculateur!CG119*Calculateur!CI119*VLOOKUP('Données projet'!$B$12,Paramètres!$A$1:$I$89,3,0)*0.475*44/12</f>
        <v>0.65196865845022811</v>
      </c>
      <c r="CM119" s="21">
        <f>EXP(-LN(2)/2)*CM118+(1-EXP(-LN(2)/2))/(LN(2)/2)*CG119*CJ119*VLOOKUP('Données projet'!$B$12,Paramètres!$A$1:$I$89,3,0)*0.475*44/12</f>
        <v>7.6134137432400184E-13</v>
      </c>
      <c r="CN119" s="22">
        <f t="shared" si="66"/>
        <v>1.8021482297482401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-2.2612312022829427E-13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405.40026823646758</v>
      </c>
      <c r="T120" s="59">
        <f t="shared" si="88"/>
        <v>393.0787141050053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3.0912431309345596</v>
      </c>
      <c r="AA120" s="21">
        <f>EXP(-LN(2)/25)*AA119+(1-EXP(-LN(2)/25))/(LN(2)/25)*Calculateur!V120*Calculateur!X120*VLOOKUP('Données projet'!$B$9,Paramètres!$A$1:$I$89,3,0)*0.475*44/12</f>
        <v>1.8533764810334115</v>
      </c>
      <c r="AB120" s="21">
        <f>EXP(-LN(2)/2)*AB119+(1-EXP(-LN(2)/2))/(LN(2)/2)*V120*Y120*VLOOKUP('Données projet'!$B$9,Paramètres!$A$1:$I$89,3,0)*0.475*44/12</f>
        <v>9.5097629613814892E-13</v>
      </c>
      <c r="AC120" s="22">
        <f t="shared" si="57"/>
        <v>4.9446196119689221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4.9658410716801891E-14</v>
      </c>
      <c r="AK120" s="13">
        <f t="shared" si="89"/>
        <v>8.0934058173791862E-13</v>
      </c>
      <c r="AL120" s="20">
        <f t="shared" si="58"/>
        <v>1.4960899118586383E-12</v>
      </c>
      <c r="AM120" s="59">
        <f t="shared" si="59"/>
        <v>293.33333333333479</v>
      </c>
      <c r="AN120" s="59">
        <f ca="1">AVERAGE(OFFSET($AM$3,0,0,'Données projet'!$E$10+1,1))-AVERAGE(OFFSET($H$3,0,0,'Données projet'!$E$10+1,1))</f>
        <v>304.32767345253382</v>
      </c>
      <c r="AO120" s="59">
        <f t="shared" si="90"/>
        <v>427.16091343339173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1.4095115538114245</v>
      </c>
      <c r="AV120" s="21">
        <f>EXP(-LN(2)/25)*AV119+(1-EXP(-LN(2)/25))/(LN(2)/25)*Calculateur!AQ120*Calculateur!AS120*VLOOKUP('Données projet'!$B$10,Paramètres!$A$1:$I$89,3,0)*0.475*44/12</f>
        <v>1.6237819568368541</v>
      </c>
      <c r="AW120" s="21">
        <f>EXP(-LN(2)/2)*AW119+(1-EXP(-LN(2)/2))/(LN(2)/2)*AQ120*AT120*VLOOKUP('Données projet'!$B$10,Paramètres!$A$1:$I$89,3,0)*0.475*44/12</f>
        <v>9.0623571823055384E-13</v>
      </c>
      <c r="AX120" s="21">
        <f t="shared" si="60"/>
        <v>3.0332935106491852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-4.9658410716801891E-14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268.31928207836495</v>
      </c>
      <c r="BJ120" s="59">
        <f t="shared" si="92"/>
        <v>277.61304526670204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0.3673558037212577</v>
      </c>
      <c r="BQ120" s="21">
        <f>EXP(-LN(2)/25)*BQ119+(1-EXP(-LN(2)/25))/(LN(2)/25)*Calculateur!BL120*Calculateur!BN120*VLOOKUP('Données projet'!$B$11,Paramètres!$A$1:$I$89,3,0)*0.475*44/12</f>
        <v>0.50472541714487384</v>
      </c>
      <c r="BR120" s="21">
        <f>EXP(-LN(2)/2)*BR119+(1-EXP(-LN(2)/2))/(LN(2)/2)*BL120*BO120*VLOOKUP('Données projet'!$B$11,Paramètres!$A$1:$I$89,3,0)*0.475*44/12</f>
        <v>6.5626197201039559E-13</v>
      </c>
      <c r="BS120" s="22">
        <f t="shared" si="63"/>
        <v>0.87208122086678774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2.8421709430404007E-14</v>
      </c>
      <c r="BZ120" s="13">
        <f>BY120*VLOOKUP('Données projet'!$B$12,Paramètres!$A$1:$I$89,3,0)*VLOOKUP('Données projet'!$B$12,Paramètres!$A$1:$I$89,5,0)</f>
        <v>2.2612312022829431E-14</v>
      </c>
      <c r="CA120" s="13">
        <f t="shared" si="93"/>
        <v>4.0387900716432995E-13</v>
      </c>
      <c r="CB120" s="20">
        <f t="shared" si="64"/>
        <v>7.4280571425096929E-13</v>
      </c>
      <c r="CC120" s="59">
        <f t="shared" si="65"/>
        <v>293.33333333333405</v>
      </c>
      <c r="CD120" s="59">
        <f ca="1">AVERAGE(OFFSET($CC$3,0,0,'Données projet'!$E$12+1,1))-AVERAGE(OFFSET($H$3,0,0,'Données projet'!$E$12+1,1))</f>
        <v>241.67556898455945</v>
      </c>
      <c r="CE120" s="59">
        <f t="shared" si="94"/>
        <v>237.71070965292648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1.1276252514443788</v>
      </c>
      <c r="CL120" s="21">
        <f>EXP(-LN(2)/25)*CL119+(1-EXP(-LN(2)/25))/(LN(2)/25)*Calculateur!CG120*Calculateur!CI120*VLOOKUP('Données projet'!$B$12,Paramètres!$A$1:$I$89,3,0)*0.475*44/12</f>
        <v>0.63414054119936492</v>
      </c>
      <c r="CM120" s="21">
        <f>EXP(-LN(2)/2)*CM119+(1-EXP(-LN(2)/2))/(LN(2)/2)*CG120*CJ120*VLOOKUP('Données projet'!$B$12,Paramètres!$A$1:$I$89,3,0)*0.475*44/12</f>
        <v>5.3834964858238734E-13</v>
      </c>
      <c r="CN120" s="22">
        <f t="shared" si="66"/>
        <v>1.761765792644282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-2.2612312022829427E-13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405.40026823646758</v>
      </c>
      <c r="T121" s="59">
        <f t="shared" si="88"/>
        <v>393.0787141050053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3.0306257386090678</v>
      </c>
      <c r="AA121" s="21">
        <f>EXP(-LN(2)/25)*AA120+(1-EXP(-LN(2)/25))/(LN(2)/25)*Calculateur!V121*Calculateur!X121*VLOOKUP('Données projet'!$B$9,Paramètres!$A$1:$I$89,3,0)*0.475*44/12</f>
        <v>1.8026958036947196</v>
      </c>
      <c r="AB121" s="21">
        <f>EXP(-LN(2)/2)*AB120+(1-EXP(-LN(2)/2))/(LN(2)/2)*V121*Y121*VLOOKUP('Données projet'!$B$9,Paramètres!$A$1:$I$89,3,0)*0.475*44/12</f>
        <v>6.7244178774695151E-13</v>
      </c>
      <c r="AC121" s="22">
        <f t="shared" si="57"/>
        <v>4.8333215423044598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4.9658410716801891E-14</v>
      </c>
      <c r="AK121" s="13">
        <f t="shared" si="89"/>
        <v>8.0934058173791862E-13</v>
      </c>
      <c r="AL121" s="20">
        <f t="shared" si="58"/>
        <v>1.4960899118586383E-12</v>
      </c>
      <c r="AM121" s="59">
        <f t="shared" si="59"/>
        <v>293.33333333333479</v>
      </c>
      <c r="AN121" s="59">
        <f ca="1">AVERAGE(OFFSET($AM$3,0,0,'Données projet'!$E$10+1,1))-AVERAGE(OFFSET($H$3,0,0,'Données projet'!$E$10+1,1))</f>
        <v>304.32767345253382</v>
      </c>
      <c r="AO121" s="59">
        <f t="shared" si="90"/>
        <v>427.16091343339173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1.3818718919583401</v>
      </c>
      <c r="AV121" s="21">
        <f>EXP(-LN(2)/25)*AV120+(1-EXP(-LN(2)/25))/(LN(2)/25)*Calculateur!AQ121*Calculateur!AS121*VLOOKUP('Données projet'!$B$10,Paramètres!$A$1:$I$89,3,0)*0.475*44/12</f>
        <v>1.5793795538361683</v>
      </c>
      <c r="AW121" s="21">
        <f>EXP(-LN(2)/2)*AW120+(1-EXP(-LN(2)/2))/(LN(2)/2)*AQ121*AT121*VLOOKUP('Données projet'!$B$10,Paramètres!$A$1:$I$89,3,0)*0.475*44/12</f>
        <v>6.4080542171428599E-13</v>
      </c>
      <c r="AX121" s="21">
        <f t="shared" si="60"/>
        <v>2.9612514457951495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-4.9658410716801891E-14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268.31928207836495</v>
      </c>
      <c r="BJ121" s="59">
        <f t="shared" si="92"/>
        <v>277.61304526670204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0.36015218047519953</v>
      </c>
      <c r="BQ121" s="21">
        <f>EXP(-LN(2)/25)*BQ120+(1-EXP(-LN(2)/25))/(LN(2)/25)*Calculateur!BL121*Calculateur!BN121*VLOOKUP('Données projet'!$B$11,Paramètres!$A$1:$I$89,3,0)*0.475*44/12</f>
        <v>0.49092367407069115</v>
      </c>
      <c r="BR121" s="21">
        <f>EXP(-LN(2)/2)*BR120+(1-EXP(-LN(2)/2))/(LN(2)/2)*BL121*BO121*VLOOKUP('Données projet'!$B$11,Paramètres!$A$1:$I$89,3,0)*0.475*44/12</f>
        <v>4.6404729064340697E-13</v>
      </c>
      <c r="BS121" s="22">
        <f t="shared" si="63"/>
        <v>0.85107585454635482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2.8421709430404007E-14</v>
      </c>
      <c r="BZ121" s="13">
        <f>BY121*VLOOKUP('Données projet'!$B$12,Paramètres!$A$1:$I$89,3,0)*VLOOKUP('Données projet'!$B$12,Paramètres!$A$1:$I$89,5,0)</f>
        <v>2.2612312022829431E-14</v>
      </c>
      <c r="CA121" s="13">
        <f t="shared" si="93"/>
        <v>4.0387900716432995E-13</v>
      </c>
      <c r="CB121" s="20">
        <f t="shared" si="64"/>
        <v>7.4280571425096929E-13</v>
      </c>
      <c r="CC121" s="59">
        <f t="shared" si="65"/>
        <v>293.33333333333405</v>
      </c>
      <c r="CD121" s="59">
        <f ca="1">AVERAGE(OFFSET($CC$3,0,0,'Données projet'!$E$12+1,1))-AVERAGE(OFFSET($H$3,0,0,'Données projet'!$E$12+1,1))</f>
        <v>241.67556898455945</v>
      </c>
      <c r="CE121" s="59">
        <f t="shared" si="94"/>
        <v>237.71070965292648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1.1055132080470449</v>
      </c>
      <c r="CL121" s="21">
        <f>EXP(-LN(2)/25)*CL120+(1-EXP(-LN(2)/25))/(LN(2)/25)*Calculateur!CG121*Calculateur!CI121*VLOOKUP('Données projet'!$B$12,Paramètres!$A$1:$I$89,3,0)*0.475*44/12</f>
        <v>0.61679993475226658</v>
      </c>
      <c r="CM121" s="21">
        <f>EXP(-LN(2)/2)*CM120+(1-EXP(-LN(2)/2))/(LN(2)/2)*CG121*CJ121*VLOOKUP('Données projet'!$B$12,Paramètres!$A$1:$I$89,3,0)*0.475*44/12</f>
        <v>3.8067068716200092E-13</v>
      </c>
      <c r="CN121" s="22">
        <f t="shared" si="66"/>
        <v>1.7223131427996921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-2.2612312022829427E-13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405.40026823646758</v>
      </c>
      <c r="T122" s="59">
        <f t="shared" si="88"/>
        <v>393.0787141050053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2.9711970163741204</v>
      </c>
      <c r="AA122" s="21">
        <f>EXP(-LN(2)/25)*AA121+(1-EXP(-LN(2)/25))/(LN(2)/25)*Calculateur!V122*Calculateur!X122*VLOOKUP('Données projet'!$B$9,Paramètres!$A$1:$I$89,3,0)*0.475*44/12</f>
        <v>1.7534009921430354</v>
      </c>
      <c r="AB122" s="21">
        <f>EXP(-LN(2)/2)*AB121+(1-EXP(-LN(2)/2))/(LN(2)/2)*V122*Y122*VLOOKUP('Données projet'!$B$9,Paramètres!$A$1:$I$89,3,0)*0.475*44/12</f>
        <v>4.7548814806907446E-13</v>
      </c>
      <c r="AC122" s="22">
        <f t="shared" si="57"/>
        <v>4.7245980085176305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4.9658410716801891E-14</v>
      </c>
      <c r="AK122" s="13">
        <f t="shared" si="89"/>
        <v>8.0934058173791862E-13</v>
      </c>
      <c r="AL122" s="20">
        <f t="shared" si="58"/>
        <v>1.4960899118586383E-12</v>
      </c>
      <c r="AM122" s="59">
        <f t="shared" si="59"/>
        <v>293.33333333333479</v>
      </c>
      <c r="AN122" s="59">
        <f ca="1">AVERAGE(OFFSET($AM$3,0,0,'Données projet'!$E$10+1,1))-AVERAGE(OFFSET($H$3,0,0,'Données projet'!$E$10+1,1))</f>
        <v>304.32767345253382</v>
      </c>
      <c r="AO122" s="59">
        <f t="shared" si="90"/>
        <v>427.16091343339173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1.3547742270156657</v>
      </c>
      <c r="AV122" s="21">
        <f>EXP(-LN(2)/25)*AV121+(1-EXP(-LN(2)/25))/(LN(2)/25)*Calculateur!AQ122*Calculateur!AS122*VLOOKUP('Données projet'!$B$10,Paramètres!$A$1:$I$89,3,0)*0.475*44/12</f>
        <v>1.5361913368805573</v>
      </c>
      <c r="AW122" s="21">
        <f>EXP(-LN(2)/2)*AW121+(1-EXP(-LN(2)/2))/(LN(2)/2)*AQ122*AT122*VLOOKUP('Données projet'!$B$10,Paramètres!$A$1:$I$89,3,0)*0.475*44/12</f>
        <v>4.5311785911527697E-13</v>
      </c>
      <c r="AX122" s="21">
        <f t="shared" si="60"/>
        <v>2.890965563896676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-4.9658410716801891E-14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268.31928207836495</v>
      </c>
      <c r="BJ122" s="59">
        <f t="shared" si="92"/>
        <v>277.61304526670204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0.35308981588722022</v>
      </c>
      <c r="BQ122" s="21">
        <f>EXP(-LN(2)/25)*BQ121+(1-EXP(-LN(2)/25))/(LN(2)/25)*Calculateur!BL122*Calculateur!BN122*VLOOKUP('Données projet'!$B$11,Paramètres!$A$1:$I$89,3,0)*0.475*44/12</f>
        <v>0.47749934038667413</v>
      </c>
      <c r="BR122" s="21">
        <f>EXP(-LN(2)/2)*BR121+(1-EXP(-LN(2)/2))/(LN(2)/2)*BL122*BO122*VLOOKUP('Données projet'!$B$11,Paramètres!$A$1:$I$89,3,0)*0.475*44/12</f>
        <v>3.281309860051978E-13</v>
      </c>
      <c r="BS122" s="22">
        <f t="shared" si="63"/>
        <v>0.83058915627422247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2.8421709430404007E-14</v>
      </c>
      <c r="BZ122" s="13">
        <f>BY122*VLOOKUP('Données projet'!$B$12,Paramètres!$A$1:$I$89,3,0)*VLOOKUP('Données projet'!$B$12,Paramètres!$A$1:$I$89,5,0)</f>
        <v>2.2612312022829431E-14</v>
      </c>
      <c r="CA122" s="13">
        <f t="shared" si="93"/>
        <v>4.0387900716432995E-13</v>
      </c>
      <c r="CB122" s="20">
        <f t="shared" si="64"/>
        <v>7.4280571425096929E-13</v>
      </c>
      <c r="CC122" s="59">
        <f t="shared" si="65"/>
        <v>293.33333333333405</v>
      </c>
      <c r="CD122" s="59">
        <f ca="1">AVERAGE(OFFSET($CC$3,0,0,'Données projet'!$E$12+1,1))-AVERAGE(OFFSET($H$3,0,0,'Données projet'!$E$12+1,1))</f>
        <v>241.67556898455945</v>
      </c>
      <c r="CE122" s="59">
        <f t="shared" si="94"/>
        <v>237.71070965292648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1.0838347683337179</v>
      </c>
      <c r="CL122" s="21">
        <f>EXP(-LN(2)/25)*CL121+(1-EXP(-LN(2)/25))/(LN(2)/25)*Calculateur!CG122*Calculateur!CI122*VLOOKUP('Données projet'!$B$12,Paramètres!$A$1:$I$89,3,0)*0.475*44/12</f>
        <v>0.59993350810036694</v>
      </c>
      <c r="CM122" s="21">
        <f>EXP(-LN(2)/2)*CM121+(1-EXP(-LN(2)/2))/(LN(2)/2)*CG122*CJ122*VLOOKUP('Données projet'!$B$12,Paramètres!$A$1:$I$89,3,0)*0.475*44/12</f>
        <v>2.6917482429119367E-13</v>
      </c>
      <c r="CN122" s="22">
        <f t="shared" si="66"/>
        <v>1.683768276434354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-2.2612312022829427E-13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405.40026823646758</v>
      </c>
      <c r="T123" s="59">
        <f t="shared" si="88"/>
        <v>393.0787141050053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2.9129336551342591</v>
      </c>
      <c r="AA123" s="21">
        <f>EXP(-LN(2)/25)*AA122+(1-EXP(-LN(2)/25))/(LN(2)/25)*Calculateur!V123*Calculateur!X123*VLOOKUP('Données projet'!$B$9,Paramètres!$A$1:$I$89,3,0)*0.475*44/12</f>
        <v>1.7054541498055333</v>
      </c>
      <c r="AB123" s="21">
        <f>EXP(-LN(2)/2)*AB122+(1-EXP(-LN(2)/2))/(LN(2)/2)*V123*Y123*VLOOKUP('Données projet'!$B$9,Paramètres!$A$1:$I$89,3,0)*0.475*44/12</f>
        <v>3.3622089387347576E-13</v>
      </c>
      <c r="AC123" s="22">
        <f t="shared" si="57"/>
        <v>4.618387804940129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4.9658410716801891E-14</v>
      </c>
      <c r="AK123" s="13">
        <f t="shared" si="89"/>
        <v>8.0934058173791862E-13</v>
      </c>
      <c r="AL123" s="20">
        <f t="shared" si="58"/>
        <v>1.4960899118586383E-12</v>
      </c>
      <c r="AM123" s="59">
        <f t="shared" si="59"/>
        <v>293.33333333333479</v>
      </c>
      <c r="AN123" s="59">
        <f ca="1">AVERAGE(OFFSET($AM$3,0,0,'Données projet'!$E$10+1,1))-AVERAGE(OFFSET($H$3,0,0,'Données projet'!$E$10+1,1))</f>
        <v>304.32767345253382</v>
      </c>
      <c r="AO123" s="59">
        <f t="shared" si="90"/>
        <v>427.16091343339173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1.3282079307545736</v>
      </c>
      <c r="AV123" s="21">
        <f>EXP(-LN(2)/25)*AV122+(1-EXP(-LN(2)/25))/(LN(2)/25)*Calculateur!AQ123*Calculateur!AS123*VLOOKUP('Données projet'!$B$10,Paramètres!$A$1:$I$89,3,0)*0.475*44/12</f>
        <v>1.4941841039887671</v>
      </c>
      <c r="AW123" s="21">
        <f>EXP(-LN(2)/2)*AW122+(1-EXP(-LN(2)/2))/(LN(2)/2)*AQ123*AT123*VLOOKUP('Données projet'!$B$10,Paramètres!$A$1:$I$89,3,0)*0.475*44/12</f>
        <v>3.2040271085714305E-13</v>
      </c>
      <c r="AX123" s="21">
        <f t="shared" si="60"/>
        <v>2.8223920347436606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-4.9658410716801891E-14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268.31928207836495</v>
      </c>
      <c r="BJ123" s="59">
        <f t="shared" si="92"/>
        <v>277.61304526670204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0.34616593996119416</v>
      </c>
      <c r="BQ123" s="21">
        <f>EXP(-LN(2)/25)*BQ122+(1-EXP(-LN(2)/25))/(LN(2)/25)*Calculateur!BL123*Calculateur!BN123*VLOOKUP('Données projet'!$B$11,Paramètres!$A$1:$I$89,3,0)*0.475*44/12</f>
        <v>0.46444209581320156</v>
      </c>
      <c r="BR123" s="21">
        <f>EXP(-LN(2)/2)*BR122+(1-EXP(-LN(2)/2))/(LN(2)/2)*BL123*BO123*VLOOKUP('Données projet'!$B$11,Paramètres!$A$1:$I$89,3,0)*0.475*44/12</f>
        <v>2.3202364532170348E-13</v>
      </c>
      <c r="BS123" s="22">
        <f t="shared" si="63"/>
        <v>0.8106080357746277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2.8421709430404007E-14</v>
      </c>
      <c r="BZ123" s="13">
        <f>BY123*VLOOKUP('Données projet'!$B$12,Paramètres!$A$1:$I$89,3,0)*VLOOKUP('Données projet'!$B$12,Paramètres!$A$1:$I$89,5,0)</f>
        <v>2.2612312022829431E-14</v>
      </c>
      <c r="CA123" s="13">
        <f t="shared" si="93"/>
        <v>4.0387900716432995E-13</v>
      </c>
      <c r="CB123" s="20">
        <f t="shared" si="64"/>
        <v>7.4280571425096929E-13</v>
      </c>
      <c r="CC123" s="59">
        <f t="shared" si="65"/>
        <v>293.33333333333405</v>
      </c>
      <c r="CD123" s="59">
        <f ca="1">AVERAGE(OFFSET($CC$3,0,0,'Données projet'!$E$12+1,1))-AVERAGE(OFFSET($H$3,0,0,'Données projet'!$E$12+1,1))</f>
        <v>241.67556898455945</v>
      </c>
      <c r="CE123" s="59">
        <f t="shared" si="94"/>
        <v>237.71070965292648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1.0625814296006268</v>
      </c>
      <c r="CL123" s="21">
        <f>EXP(-LN(2)/25)*CL122+(1-EXP(-LN(2)/25))/(LN(2)/25)*Calculateur!CG123*Calculateur!CI123*VLOOKUP('Données projet'!$B$12,Paramètres!$A$1:$I$89,3,0)*0.475*44/12</f>
        <v>0.58352829477223034</v>
      </c>
      <c r="CM123" s="21">
        <f>EXP(-LN(2)/2)*CM122+(1-EXP(-LN(2)/2))/(LN(2)/2)*CG123*CJ123*VLOOKUP('Données projet'!$B$12,Paramètres!$A$1:$I$89,3,0)*0.475*44/12</f>
        <v>1.9033534358100046E-13</v>
      </c>
      <c r="CN123" s="22">
        <f t="shared" si="66"/>
        <v>1.6461097243730476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-2.2612312022829427E-13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405.40026823646758</v>
      </c>
      <c r="T124" s="59">
        <f t="shared" si="88"/>
        <v>393.0787141050053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2.8558128028711698</v>
      </c>
      <c r="AA124" s="21">
        <f>EXP(-LN(2)/25)*AA123+(1-EXP(-LN(2)/25))/(LN(2)/25)*Calculateur!V124*Calculateur!X124*VLOOKUP('Données projet'!$B$9,Paramètres!$A$1:$I$89,3,0)*0.475*44/12</f>
        <v>1.6588184163931652</v>
      </c>
      <c r="AB124" s="21">
        <f>EXP(-LN(2)/2)*AB123+(1-EXP(-LN(2)/2))/(LN(2)/2)*V124*Y124*VLOOKUP('Données projet'!$B$9,Paramètres!$A$1:$I$89,3,0)*0.475*44/12</f>
        <v>2.3774407403453723E-13</v>
      </c>
      <c r="AC124" s="22">
        <f t="shared" si="57"/>
        <v>4.5146312192645732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4.9658410716801891E-14</v>
      </c>
      <c r="AK124" s="13">
        <f t="shared" si="89"/>
        <v>8.0934058173791862E-13</v>
      </c>
      <c r="AL124" s="20">
        <f t="shared" si="58"/>
        <v>1.4960899118586383E-12</v>
      </c>
      <c r="AM124" s="59">
        <f t="shared" si="59"/>
        <v>293.33333333333479</v>
      </c>
      <c r="AN124" s="59">
        <f ca="1">AVERAGE(OFFSET($AM$3,0,0,'Données projet'!$E$10+1,1))-AVERAGE(OFFSET($H$3,0,0,'Données projet'!$E$10+1,1))</f>
        <v>304.32767345253382</v>
      </c>
      <c r="AO124" s="59">
        <f t="shared" si="90"/>
        <v>427.16091343339173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1.3021625833593207</v>
      </c>
      <c r="AV124" s="21">
        <f>EXP(-LN(2)/25)*AV123+(1-EXP(-LN(2)/25))/(LN(2)/25)*Calculateur!AQ124*Calculateur!AS124*VLOOKUP('Données projet'!$B$10,Paramètres!$A$1:$I$89,3,0)*0.475*44/12</f>
        <v>1.4533255610894673</v>
      </c>
      <c r="AW124" s="21">
        <f>EXP(-LN(2)/2)*AW123+(1-EXP(-LN(2)/2))/(LN(2)/2)*AQ124*AT124*VLOOKUP('Données projet'!$B$10,Paramètres!$A$1:$I$89,3,0)*0.475*44/12</f>
        <v>2.2655892955763851E-13</v>
      </c>
      <c r="AX124" s="21">
        <f t="shared" si="60"/>
        <v>2.7554881444490142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-4.9658410716801891E-14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268.31928207836495</v>
      </c>
      <c r="BJ124" s="59">
        <f t="shared" si="92"/>
        <v>277.61304526670204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0.33937783701893015</v>
      </c>
      <c r="BQ124" s="21">
        <f>EXP(-LN(2)/25)*BQ123+(1-EXP(-LN(2)/25))/(LN(2)/25)*Calculateur!BL124*Calculateur!BN124*VLOOKUP('Données projet'!$B$11,Paramètres!$A$1:$I$89,3,0)*0.475*44/12</f>
        <v>0.45174190227924127</v>
      </c>
      <c r="BR124" s="21">
        <f>EXP(-LN(2)/2)*BR123+(1-EXP(-LN(2)/2))/(LN(2)/2)*BL124*BO124*VLOOKUP('Données projet'!$B$11,Paramètres!$A$1:$I$89,3,0)*0.475*44/12</f>
        <v>1.640654930025989E-13</v>
      </c>
      <c r="BS124" s="22">
        <f t="shared" si="63"/>
        <v>0.79111973929833557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2.2612312022829431E-14</v>
      </c>
      <c r="CA124" s="13">
        <f t="shared" si="93"/>
        <v>4.0387900716432995E-13</v>
      </c>
      <c r="CB124" s="20">
        <f t="shared" si="64"/>
        <v>7.4280571425096929E-13</v>
      </c>
      <c r="CC124" s="59">
        <f t="shared" si="65"/>
        <v>293.33333333333405</v>
      </c>
      <c r="CD124" s="59">
        <f ca="1">AVERAGE(OFFSET($CC$3,0,0,'Données projet'!$E$12+1,1))-AVERAGE(OFFSET($H$3,0,0,'Données projet'!$E$12+1,1))</f>
        <v>241.67556898455945</v>
      </c>
      <c r="CE124" s="59">
        <f t="shared" si="94"/>
        <v>237.71070965292648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1.041744855876835</v>
      </c>
      <c r="CL124" s="21">
        <f>EXP(-LN(2)/25)*CL123+(1-EXP(-LN(2)/25))/(LN(2)/25)*Calculateur!CG124*Calculateur!CI124*VLOOKUP('Données projet'!$B$12,Paramètres!$A$1:$I$89,3,0)*0.475*44/12</f>
        <v>0.56757168286526438</v>
      </c>
      <c r="CM124" s="21">
        <f>EXP(-LN(2)/2)*CM123+(1-EXP(-LN(2)/2))/(LN(2)/2)*CG124*CJ124*VLOOKUP('Données projet'!$B$12,Paramètres!$A$1:$I$89,3,0)*0.475*44/12</f>
        <v>1.3458741214559684E-13</v>
      </c>
      <c r="CN124" s="22">
        <f t="shared" si="66"/>
        <v>1.6093165387422339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-2.2612312022829427E-13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405.40026823646758</v>
      </c>
      <c r="T125" s="59">
        <f t="shared" si="88"/>
        <v>393.0787141050053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2.7998120556806803</v>
      </c>
      <c r="AA125" s="21">
        <f>EXP(-LN(2)/25)*AA124+(1-EXP(-LN(2)/25))/(LN(2)/25)*Calculateur!V125*Calculateur!X125*VLOOKUP('Données projet'!$B$9,Paramètres!$A$1:$I$89,3,0)*0.475*44/12</f>
        <v>1.6134579395634248</v>
      </c>
      <c r="AB125" s="21">
        <f>EXP(-LN(2)/2)*AB124+(1-EXP(-LN(2)/2))/(LN(2)/2)*V125*Y125*VLOOKUP('Données projet'!$B$9,Paramètres!$A$1:$I$89,3,0)*0.475*44/12</f>
        <v>1.6811044693673788E-13</v>
      </c>
      <c r="AC125" s="22">
        <f t="shared" si="57"/>
        <v>4.4132699952442733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4.9658410716801891E-14</v>
      </c>
      <c r="AK125" s="13">
        <f t="shared" si="89"/>
        <v>8.0934058173791862E-13</v>
      </c>
      <c r="AL125" s="20">
        <f t="shared" si="58"/>
        <v>1.4960899118586383E-12</v>
      </c>
      <c r="AM125" s="59">
        <f t="shared" si="59"/>
        <v>293.33333333333479</v>
      </c>
      <c r="AN125" s="59">
        <f ca="1">AVERAGE(OFFSET($AM$3,0,0,'Données projet'!$E$10+1,1))-AVERAGE(OFFSET($H$3,0,0,'Données projet'!$E$10+1,1))</f>
        <v>304.32767345253382</v>
      </c>
      <c r="AO125" s="59">
        <f t="shared" si="90"/>
        <v>427.16091343339173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1.2766279693403955</v>
      </c>
      <c r="AV125" s="21">
        <f>EXP(-LN(2)/25)*AV124+(1-EXP(-LN(2)/25))/(LN(2)/25)*Calculateur!AQ125*Calculateur!AS125*VLOOKUP('Données projet'!$B$10,Paramètres!$A$1:$I$89,3,0)*0.475*44/12</f>
        <v>1.4135842971944061</v>
      </c>
      <c r="AW125" s="21">
        <f>EXP(-LN(2)/2)*AW124+(1-EXP(-LN(2)/2))/(LN(2)/2)*AQ125*AT125*VLOOKUP('Données projet'!$B$10,Paramètres!$A$1:$I$89,3,0)*0.475*44/12</f>
        <v>1.6020135542857155E-13</v>
      </c>
      <c r="AX125" s="21">
        <f t="shared" si="60"/>
        <v>2.6902122665349619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-4.9658410716801891E-14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268.31928207836495</v>
      </c>
      <c r="BJ125" s="59">
        <f t="shared" si="92"/>
        <v>277.61304526670204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0.33272284463502994</v>
      </c>
      <c r="BQ125" s="21">
        <f>EXP(-LN(2)/25)*BQ124+(1-EXP(-LN(2)/25))/(LN(2)/25)*Calculateur!BL125*Calculateur!BN125*VLOOKUP('Données projet'!$B$11,Paramètres!$A$1:$I$89,3,0)*0.475*44/12</f>
        <v>0.43938899620534122</v>
      </c>
      <c r="BR125" s="21">
        <f>EXP(-LN(2)/2)*BR124+(1-EXP(-LN(2)/2))/(LN(2)/2)*BL125*BO125*VLOOKUP('Données projet'!$B$11,Paramètres!$A$1:$I$89,3,0)*0.475*44/12</f>
        <v>1.1601182266085174E-13</v>
      </c>
      <c r="BS125" s="22">
        <f t="shared" si="63"/>
        <v>0.77211184084048712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2.2612312022829431E-14</v>
      </c>
      <c r="CA125" s="13">
        <f t="shared" si="93"/>
        <v>4.0387900716432995E-13</v>
      </c>
      <c r="CB125" s="20">
        <f t="shared" si="64"/>
        <v>7.4280571425096929E-13</v>
      </c>
      <c r="CC125" s="59">
        <f t="shared" si="65"/>
        <v>293.33333333333405</v>
      </c>
      <c r="CD125" s="59">
        <f ca="1">AVERAGE(OFFSET($CC$3,0,0,'Données projet'!$E$12+1,1))-AVERAGE(OFFSET($H$3,0,0,'Données projet'!$E$12+1,1))</f>
        <v>241.67556898455945</v>
      </c>
      <c r="CE125" s="59">
        <f t="shared" si="94"/>
        <v>237.71070965292648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1.0213168746547117</v>
      </c>
      <c r="CL125" s="21">
        <f>EXP(-LN(2)/25)*CL124+(1-EXP(-LN(2)/25))/(LN(2)/25)*Calculateur!CG125*Calculateur!CI125*VLOOKUP('Données projet'!$B$12,Paramètres!$A$1:$I$89,3,0)*0.475*44/12</f>
        <v>0.55205140535001618</v>
      </c>
      <c r="CM125" s="21">
        <f>EXP(-LN(2)/2)*CM124+(1-EXP(-LN(2)/2))/(LN(2)/2)*CG125*CJ125*VLOOKUP('Données projet'!$B$12,Paramètres!$A$1:$I$89,3,0)*0.475*44/12</f>
        <v>9.516767179050023E-14</v>
      </c>
      <c r="CN125" s="22">
        <f t="shared" si="66"/>
        <v>1.573368280004823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-2.2612312022829427E-13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405.40026823646758</v>
      </c>
      <c r="T126" s="59">
        <f t="shared" si="88"/>
        <v>393.0787141050053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2.744909448985513</v>
      </c>
      <c r="AA126" s="21">
        <f>EXP(-LN(2)/25)*AA125+(1-EXP(-LN(2)/25))/(LN(2)/25)*Calculateur!V126*Calculateur!X126*VLOOKUP('Données projet'!$B$9,Paramètres!$A$1:$I$89,3,0)*0.475*44/12</f>
        <v>1.5693378473579975</v>
      </c>
      <c r="AB126" s="21">
        <f>EXP(-LN(2)/2)*AB125+(1-EXP(-LN(2)/2))/(LN(2)/2)*V126*Y126*VLOOKUP('Données projet'!$B$9,Paramètres!$A$1:$I$89,3,0)*0.475*44/12</f>
        <v>1.1887203701726861E-13</v>
      </c>
      <c r="AC126" s="22">
        <f t="shared" si="57"/>
        <v>4.3142472963436296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4.9658410716801891E-14</v>
      </c>
      <c r="AK126" s="13">
        <f t="shared" si="89"/>
        <v>8.0934058173791862E-13</v>
      </c>
      <c r="AL126" s="20">
        <f t="shared" si="58"/>
        <v>1.4960899118586383E-12</v>
      </c>
      <c r="AM126" s="59">
        <f t="shared" si="59"/>
        <v>293.33333333333479</v>
      </c>
      <c r="AN126" s="59">
        <f ca="1">AVERAGE(OFFSET($AM$3,0,0,'Données projet'!$E$10+1,1))-AVERAGE(OFFSET($H$3,0,0,'Données projet'!$E$10+1,1))</f>
        <v>304.32767345253382</v>
      </c>
      <c r="AO126" s="59">
        <f t="shared" si="90"/>
        <v>427.16091343339173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1.2515940735278046</v>
      </c>
      <c r="AV126" s="21">
        <f>EXP(-LN(2)/25)*AV125+(1-EXP(-LN(2)/25))/(LN(2)/25)*Calculateur!AQ126*Calculateur!AS126*VLOOKUP('Données projet'!$B$10,Paramètres!$A$1:$I$89,3,0)*0.475*44/12</f>
        <v>1.3749297602504578</v>
      </c>
      <c r="AW126" s="21">
        <f>EXP(-LN(2)/2)*AW125+(1-EXP(-LN(2)/2))/(LN(2)/2)*AQ126*AT126*VLOOKUP('Données projet'!$B$10,Paramètres!$A$1:$I$89,3,0)*0.475*44/12</f>
        <v>1.1327946477881928E-13</v>
      </c>
      <c r="AX126" s="21">
        <f t="shared" si="60"/>
        <v>2.6265238337783754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-4.9658410716801891E-14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268.31928207836495</v>
      </c>
      <c r="BJ126" s="59">
        <f t="shared" si="92"/>
        <v>277.61304526670204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0.32619835259263347</v>
      </c>
      <c r="BQ126" s="21">
        <f>EXP(-LN(2)/25)*BQ125+(1-EXP(-LN(2)/25))/(LN(2)/25)*Calculateur!BL126*Calculateur!BN126*VLOOKUP('Données projet'!$B$11,Paramètres!$A$1:$I$89,3,0)*0.475*44/12</f>
        <v>0.42737388099764312</v>
      </c>
      <c r="BR126" s="21">
        <f>EXP(-LN(2)/2)*BR125+(1-EXP(-LN(2)/2))/(LN(2)/2)*BL126*BO126*VLOOKUP('Données projet'!$B$11,Paramètres!$A$1:$I$89,3,0)*0.475*44/12</f>
        <v>8.2032746501299449E-14</v>
      </c>
      <c r="BS126" s="22">
        <f t="shared" si="63"/>
        <v>0.75357223359035863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2.2612312022829431E-14</v>
      </c>
      <c r="CA126" s="13">
        <f t="shared" si="93"/>
        <v>4.0387900716432995E-13</v>
      </c>
      <c r="CB126" s="20">
        <f t="shared" si="64"/>
        <v>7.4280571425096929E-13</v>
      </c>
      <c r="CC126" s="59">
        <f t="shared" si="65"/>
        <v>293.33333333333405</v>
      </c>
      <c r="CD126" s="59">
        <f ca="1">AVERAGE(OFFSET($CC$3,0,0,'Données projet'!$E$12+1,1))-AVERAGE(OFFSET($H$3,0,0,'Données projet'!$E$12+1,1))</f>
        <v>241.67556898455945</v>
      </c>
      <c r="CE126" s="59">
        <f t="shared" si="94"/>
        <v>237.71070965292648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1.0012894736845159</v>
      </c>
      <c r="CL126" s="21">
        <f>EXP(-LN(2)/25)*CL125+(1-EXP(-LN(2)/25))/(LN(2)/25)*Calculateur!CG126*Calculateur!CI126*VLOOKUP('Données projet'!$B$12,Paramètres!$A$1:$I$89,3,0)*0.475*44/12</f>
        <v>0.53695553063959833</v>
      </c>
      <c r="CM126" s="21">
        <f>EXP(-LN(2)/2)*CM125+(1-EXP(-LN(2)/2))/(LN(2)/2)*CG126*CJ126*VLOOKUP('Données projet'!$B$12,Paramètres!$A$1:$I$89,3,0)*0.475*44/12</f>
        <v>6.7293706072798418E-14</v>
      </c>
      <c r="CN126" s="22">
        <f t="shared" si="66"/>
        <v>1.5382450043241815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-2.2612312022829427E-13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405.40026823646758</v>
      </c>
      <c r="T127" s="59">
        <f t="shared" si="88"/>
        <v>393.0787141050053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2.6910834489203546</v>
      </c>
      <c r="AA127" s="21">
        <f>EXP(-LN(2)/25)*AA126+(1-EXP(-LN(2)/25))/(LN(2)/25)*Calculateur!V127*Calculateur!X127*VLOOKUP('Données projet'!$B$9,Paramètres!$A$1:$I$89,3,0)*0.475*44/12</f>
        <v>1.5264242213941024</v>
      </c>
      <c r="AB127" s="21">
        <f>EXP(-LN(2)/2)*AB126+(1-EXP(-LN(2)/2))/(LN(2)/2)*V127*Y127*VLOOKUP('Données projet'!$B$9,Paramètres!$A$1:$I$89,3,0)*0.475*44/12</f>
        <v>8.4055223468368939E-14</v>
      </c>
      <c r="AC127" s="22">
        <f t="shared" si="57"/>
        <v>4.2175076703145411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4.9658410716801891E-14</v>
      </c>
      <c r="AK127" s="13">
        <f t="shared" si="89"/>
        <v>8.0934058173791862E-13</v>
      </c>
      <c r="AL127" s="20">
        <f t="shared" si="58"/>
        <v>1.4960899118586383E-12</v>
      </c>
      <c r="AM127" s="59">
        <f t="shared" si="59"/>
        <v>293.33333333333479</v>
      </c>
      <c r="AN127" s="59">
        <f ca="1">AVERAGE(OFFSET($AM$3,0,0,'Données projet'!$E$10+1,1))-AVERAGE(OFFSET($H$3,0,0,'Données projet'!$E$10+1,1))</f>
        <v>304.32767345253382</v>
      </c>
      <c r="AO127" s="59">
        <f t="shared" si="90"/>
        <v>427.16091343339173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1.2270510771429299</v>
      </c>
      <c r="AV127" s="21">
        <f>EXP(-LN(2)/25)*AV126+(1-EXP(-LN(2)/25))/(LN(2)/25)*Calculateur!AQ127*Calculateur!AS127*VLOOKUP('Données projet'!$B$10,Paramètres!$A$1:$I$89,3,0)*0.475*44/12</f>
        <v>1.3373322336519953</v>
      </c>
      <c r="AW127" s="21">
        <f>EXP(-LN(2)/2)*AW126+(1-EXP(-LN(2)/2))/(LN(2)/2)*AQ127*AT127*VLOOKUP('Données projet'!$B$10,Paramètres!$A$1:$I$89,3,0)*0.475*44/12</f>
        <v>8.0100677714285787E-14</v>
      </c>
      <c r="AX127" s="21">
        <f t="shared" si="60"/>
        <v>2.5643833107950051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-4.9658410716801891E-14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268.31928207836495</v>
      </c>
      <c r="BJ127" s="59">
        <f t="shared" si="92"/>
        <v>277.61304526670204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0.31980180185964119</v>
      </c>
      <c r="BQ127" s="21">
        <f>EXP(-LN(2)/25)*BQ126+(1-EXP(-LN(2)/25))/(LN(2)/25)*Calculateur!BL127*Calculateur!BN127*VLOOKUP('Données projet'!$B$11,Paramètres!$A$1:$I$89,3,0)*0.475*44/12</f>
        <v>0.41568731974714695</v>
      </c>
      <c r="BR127" s="21">
        <f>EXP(-LN(2)/2)*BR126+(1-EXP(-LN(2)/2))/(LN(2)/2)*BL127*BO127*VLOOKUP('Données projet'!$B$11,Paramètres!$A$1:$I$89,3,0)*0.475*44/12</f>
        <v>5.8005911330425871E-14</v>
      </c>
      <c r="BS127" s="22">
        <f t="shared" si="63"/>
        <v>0.7354891216068461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2.2612312022829431E-14</v>
      </c>
      <c r="CA127" s="13">
        <f t="shared" si="93"/>
        <v>4.0387900716432995E-13</v>
      </c>
      <c r="CB127" s="20">
        <f t="shared" si="64"/>
        <v>7.4280571425096929E-13</v>
      </c>
      <c r="CC127" s="59">
        <f t="shared" si="65"/>
        <v>293.33333333333405</v>
      </c>
      <c r="CD127" s="59">
        <f ca="1">AVERAGE(OFFSET($CC$3,0,0,'Données projet'!$E$12+1,1))-AVERAGE(OFFSET($H$3,0,0,'Données projet'!$E$12+1,1))</f>
        <v>241.67556898455945</v>
      </c>
      <c r="CE127" s="59">
        <f t="shared" si="94"/>
        <v>237.71070965292648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0.98165479783183729</v>
      </c>
      <c r="CL127" s="21">
        <f>EXP(-LN(2)/25)*CL126+(1-EXP(-LN(2)/25))/(LN(2)/25)*Calculateur!CG127*Calculateur!CI127*VLOOKUP('Données projet'!$B$12,Paramètres!$A$1:$I$89,3,0)*0.475*44/12</f>
        <v>0.52227245341699435</v>
      </c>
      <c r="CM127" s="21">
        <f>EXP(-LN(2)/2)*CM126+(1-EXP(-LN(2)/2))/(LN(2)/2)*CG127*CJ127*VLOOKUP('Données projet'!$B$12,Paramètres!$A$1:$I$89,3,0)*0.475*44/12</f>
        <v>4.7583835895250115E-14</v>
      </c>
      <c r="CN127" s="22">
        <f t="shared" si="66"/>
        <v>1.503927251248879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-2.2612312022829427E-13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405.40026823646758</v>
      </c>
      <c r="T128" s="59">
        <f t="shared" si="88"/>
        <v>393.0787141050053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2.6383129438858557</v>
      </c>
      <c r="AA128" s="21">
        <f>EXP(-LN(2)/25)*AA127+(1-EXP(-LN(2)/25))/(LN(2)/25)*Calculateur!V128*Calculateur!X128*VLOOKUP('Données projet'!$B$9,Paramètres!$A$1:$I$89,3,0)*0.475*44/12</f>
        <v>1.4846840707889195</v>
      </c>
      <c r="AB128" s="21">
        <f>EXP(-LN(2)/2)*AB127+(1-EXP(-LN(2)/2))/(LN(2)/2)*V128*Y128*VLOOKUP('Données projet'!$B$9,Paramètres!$A$1:$I$89,3,0)*0.475*44/12</f>
        <v>5.9436018508634307E-14</v>
      </c>
      <c r="AC128" s="22">
        <f t="shared" si="57"/>
        <v>4.1229970146748345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4.9658410716801891E-14</v>
      </c>
      <c r="AK128" s="13">
        <f t="shared" si="89"/>
        <v>8.0934058173791862E-13</v>
      </c>
      <c r="AL128" s="20">
        <f t="shared" si="58"/>
        <v>1.4960899118586383E-12</v>
      </c>
      <c r="AM128" s="59">
        <f t="shared" si="59"/>
        <v>293.33333333333479</v>
      </c>
      <c r="AN128" s="59">
        <f ca="1">AVERAGE(OFFSET($AM$3,0,0,'Données projet'!$E$10+1,1))-AVERAGE(OFFSET($H$3,0,0,'Données projet'!$E$10+1,1))</f>
        <v>304.32767345253382</v>
      </c>
      <c r="AO128" s="59">
        <f t="shared" si="90"/>
        <v>427.16091343339173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1.202989353947413</v>
      </c>
      <c r="AV128" s="21">
        <f>EXP(-LN(2)/25)*AV127+(1-EXP(-LN(2)/25))/(LN(2)/25)*Calculateur!AQ128*Calculateur!AS128*VLOOKUP('Données projet'!$B$10,Paramètres!$A$1:$I$89,3,0)*0.475*44/12</f>
        <v>1.3007628133955358</v>
      </c>
      <c r="AW128" s="21">
        <f>EXP(-LN(2)/2)*AW127+(1-EXP(-LN(2)/2))/(LN(2)/2)*AQ128*AT128*VLOOKUP('Données projet'!$B$10,Paramètres!$A$1:$I$89,3,0)*0.475*44/12</f>
        <v>5.6639732389409646E-14</v>
      </c>
      <c r="AX128" s="21">
        <f t="shared" si="60"/>
        <v>2.5037521673430057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-4.9658410716801891E-14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268.31928207836495</v>
      </c>
      <c r="BJ128" s="59">
        <f t="shared" si="92"/>
        <v>277.61304526670204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0.31353068358501218</v>
      </c>
      <c r="BQ128" s="21">
        <f>EXP(-LN(2)/25)*BQ127+(1-EXP(-LN(2)/25))/(LN(2)/25)*Calculateur!BL128*Calculateur!BN128*VLOOKUP('Données projet'!$B$11,Paramètres!$A$1:$I$89,3,0)*0.475*44/12</f>
        <v>0.40432032812861513</v>
      </c>
      <c r="BR128" s="21">
        <f>EXP(-LN(2)/2)*BR127+(1-EXP(-LN(2)/2))/(LN(2)/2)*BL128*BO128*VLOOKUP('Données projet'!$B$11,Paramètres!$A$1:$I$89,3,0)*0.475*44/12</f>
        <v>4.1016373250649725E-14</v>
      </c>
      <c r="BS128" s="22">
        <f t="shared" si="63"/>
        <v>0.71785101171366827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2.2612312022829431E-14</v>
      </c>
      <c r="CA128" s="13">
        <f t="shared" si="93"/>
        <v>4.0387900716432995E-13</v>
      </c>
      <c r="CB128" s="20">
        <f t="shared" si="64"/>
        <v>7.4280571425096929E-13</v>
      </c>
      <c r="CC128" s="59">
        <f t="shared" si="65"/>
        <v>293.33333333333405</v>
      </c>
      <c r="CD128" s="59">
        <f ca="1">AVERAGE(OFFSET($CC$3,0,0,'Données projet'!$E$12+1,1))-AVERAGE(OFFSET($H$3,0,0,'Données projet'!$E$12+1,1))</f>
        <v>241.67556898455945</v>
      </c>
      <c r="CE128" s="59">
        <f t="shared" si="94"/>
        <v>237.71070965292648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0.96240514599665994</v>
      </c>
      <c r="CL128" s="21">
        <f>EXP(-LN(2)/25)*CL127+(1-EXP(-LN(2)/25))/(LN(2)/25)*Calculateur!CG128*Calculateur!CI128*VLOOKUP('Données projet'!$B$12,Paramètres!$A$1:$I$89,3,0)*0.475*44/12</f>
        <v>0.50799088571319195</v>
      </c>
      <c r="CM128" s="21">
        <f>EXP(-LN(2)/2)*CM127+(1-EXP(-LN(2)/2))/(LN(2)/2)*CG128*CJ128*VLOOKUP('Données projet'!$B$12,Paramètres!$A$1:$I$89,3,0)*0.475*44/12</f>
        <v>3.3646853036399209E-14</v>
      </c>
      <c r="CN128" s="22">
        <f t="shared" si="66"/>
        <v>1.4703960317098856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-2.2612312022829427E-13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405.40026823646758</v>
      </c>
      <c r="T129" s="59">
        <f t="shared" si="88"/>
        <v>393.0787141050053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2.5865772362682535</v>
      </c>
      <c r="AA129" s="21">
        <f>EXP(-LN(2)/25)*AA128+(1-EXP(-LN(2)/25))/(LN(2)/25)*Calculateur!V129*Calculateur!X129*VLOOKUP('Données projet'!$B$9,Paramètres!$A$1:$I$89,3,0)*0.475*44/12</f>
        <v>1.4440853067970545</v>
      </c>
      <c r="AB129" s="21">
        <f>EXP(-LN(2)/2)*AB128+(1-EXP(-LN(2)/2))/(LN(2)/2)*V129*Y129*VLOOKUP('Données projet'!$B$9,Paramètres!$A$1:$I$89,3,0)*0.475*44/12</f>
        <v>4.202761173418447E-14</v>
      </c>
      <c r="AC129" s="22">
        <f t="shared" si="57"/>
        <v>4.0306625430653495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4.9658410716801891E-14</v>
      </c>
      <c r="AK129" s="13">
        <f t="shared" si="89"/>
        <v>8.0934058173791862E-13</v>
      </c>
      <c r="AL129" s="20">
        <f t="shared" si="58"/>
        <v>1.4960899118586383E-12</v>
      </c>
      <c r="AM129" s="59">
        <f t="shared" si="59"/>
        <v>293.33333333333479</v>
      </c>
      <c r="AN129" s="59">
        <f ca="1">AVERAGE(OFFSET($AM$3,0,0,'Données projet'!$E$10+1,1))-AVERAGE(OFFSET($H$3,0,0,'Données projet'!$E$10+1,1))</f>
        <v>304.32767345253382</v>
      </c>
      <c r="AO129" s="59">
        <f t="shared" si="90"/>
        <v>427.16091343339173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1.1793994664675582</v>
      </c>
      <c r="AV129" s="21">
        <f>EXP(-LN(2)/25)*AV128+(1-EXP(-LN(2)/25))/(LN(2)/25)*Calculateur!AQ129*Calculateur!AS129*VLOOKUP('Données projet'!$B$10,Paramètres!$A$1:$I$89,3,0)*0.475*44/12</f>
        <v>1.2651933858590914</v>
      </c>
      <c r="AW129" s="21">
        <f>EXP(-LN(2)/2)*AW128+(1-EXP(-LN(2)/2))/(LN(2)/2)*AQ129*AT129*VLOOKUP('Données projet'!$B$10,Paramètres!$A$1:$I$89,3,0)*0.475*44/12</f>
        <v>4.00503388571429E-14</v>
      </c>
      <c r="AX129" s="21">
        <f t="shared" si="60"/>
        <v>2.4445928523266893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-4.9658410716801891E-14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268.31928207836495</v>
      </c>
      <c r="BJ129" s="59">
        <f t="shared" si="92"/>
        <v>277.61304526670204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0.3073825381147442</v>
      </c>
      <c r="BQ129" s="21">
        <f>EXP(-LN(2)/25)*BQ128+(1-EXP(-LN(2)/25))/(LN(2)/25)*Calculateur!BL129*Calculateur!BN129*VLOOKUP('Données projet'!$B$11,Paramètres!$A$1:$I$89,3,0)*0.475*44/12</f>
        <v>0.39326416749365617</v>
      </c>
      <c r="BR129" s="21">
        <f>EXP(-LN(2)/2)*BR128+(1-EXP(-LN(2)/2))/(LN(2)/2)*BL129*BO129*VLOOKUP('Données projet'!$B$11,Paramètres!$A$1:$I$89,3,0)*0.475*44/12</f>
        <v>2.9002955665212935E-14</v>
      </c>
      <c r="BS129" s="22">
        <f t="shared" si="63"/>
        <v>0.70064670560842934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2.2612312022829431E-14</v>
      </c>
      <c r="CA129" s="13">
        <f t="shared" si="93"/>
        <v>4.0387900716432995E-13</v>
      </c>
      <c r="CB129" s="20">
        <f t="shared" si="64"/>
        <v>7.4280571425096929E-13</v>
      </c>
      <c r="CC129" s="59">
        <f t="shared" si="65"/>
        <v>293.33333333333405</v>
      </c>
      <c r="CD129" s="59">
        <f ca="1">AVERAGE(OFFSET($CC$3,0,0,'Données projet'!$E$12+1,1))-AVERAGE(OFFSET($H$3,0,0,'Données projet'!$E$12+1,1))</f>
        <v>241.67556898455945</v>
      </c>
      <c r="CE129" s="59">
        <f t="shared" si="94"/>
        <v>237.71070965292648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0.94353296809284215</v>
      </c>
      <c r="CL129" s="21">
        <f>EXP(-LN(2)/25)*CL128+(1-EXP(-LN(2)/25))/(LN(2)/25)*Calculateur!CG129*Calculateur!CI129*VLOOKUP('Données projet'!$B$12,Paramètres!$A$1:$I$89,3,0)*0.475*44/12</f>
        <v>0.49409984822928504</v>
      </c>
      <c r="CM129" s="21">
        <f>EXP(-LN(2)/2)*CM128+(1-EXP(-LN(2)/2))/(LN(2)/2)*CG129*CJ129*VLOOKUP('Données projet'!$B$12,Paramètres!$A$1:$I$89,3,0)*0.475*44/12</f>
        <v>2.3791917947625058E-14</v>
      </c>
      <c r="CN129" s="22">
        <f t="shared" si="66"/>
        <v>1.437632816322151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-2.2612312022829427E-13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405.40026823646758</v>
      </c>
      <c r="T130" s="59">
        <f t="shared" si="88"/>
        <v>393.0787141050053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2.5358560343213665</v>
      </c>
      <c r="AA130" s="21">
        <f>EXP(-LN(2)/25)*AA129+(1-EXP(-LN(2)/25))/(LN(2)/25)*Calculateur!V130*Calculateur!X130*VLOOKUP('Données projet'!$B$9,Paramètres!$A$1:$I$89,3,0)*0.475*44/12</f>
        <v>1.4045967181415433</v>
      </c>
      <c r="AB130" s="21">
        <f>EXP(-LN(2)/2)*AB129+(1-EXP(-LN(2)/2))/(LN(2)/2)*V130*Y130*VLOOKUP('Données projet'!$B$9,Paramètres!$A$1:$I$89,3,0)*0.475*44/12</f>
        <v>2.9718009254317154E-14</v>
      </c>
      <c r="AC130" s="22">
        <f t="shared" si="57"/>
        <v>3.9404527524629396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4.9658410716801891E-14</v>
      </c>
      <c r="AK130" s="13">
        <f t="shared" si="89"/>
        <v>8.0934058173791862E-13</v>
      </c>
      <c r="AL130" s="20">
        <f t="shared" si="58"/>
        <v>1.4960899118586383E-12</v>
      </c>
      <c r="AM130" s="59">
        <f t="shared" si="59"/>
        <v>293.33333333333479</v>
      </c>
      <c r="AN130" s="59">
        <f ca="1">AVERAGE(OFFSET($AM$3,0,0,'Données projet'!$E$10+1,1))-AVERAGE(OFFSET($H$3,0,0,'Données projet'!$E$10+1,1))</f>
        <v>304.32767345253382</v>
      </c>
      <c r="AO130" s="59">
        <f t="shared" si="90"/>
        <v>427.16091343339173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1.1562721622927727</v>
      </c>
      <c r="AV130" s="21">
        <f>EXP(-LN(2)/25)*AV129+(1-EXP(-LN(2)/25))/(LN(2)/25)*Calculateur!AQ130*Calculateur!AS130*VLOOKUP('Données projet'!$B$10,Paramètres!$A$1:$I$89,3,0)*0.475*44/12</f>
        <v>1.230596606189146</v>
      </c>
      <c r="AW130" s="21">
        <f>EXP(-LN(2)/2)*AW129+(1-EXP(-LN(2)/2))/(LN(2)/2)*AQ130*AT130*VLOOKUP('Données projet'!$B$10,Paramètres!$A$1:$I$89,3,0)*0.475*44/12</f>
        <v>2.8319866194704829E-14</v>
      </c>
      <c r="AX130" s="21">
        <f t="shared" si="60"/>
        <v>2.3868687684819472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-4.9658410716801891E-14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268.31928207836495</v>
      </c>
      <c r="BJ130" s="59">
        <f t="shared" si="92"/>
        <v>277.61304526670204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0.30135495402714974</v>
      </c>
      <c r="BQ130" s="21">
        <f>EXP(-LN(2)/25)*BQ129+(1-EXP(-LN(2)/25))/(LN(2)/25)*Calculateur!BL130*Calculateur!BN130*VLOOKUP('Données projet'!$B$11,Paramètres!$A$1:$I$89,3,0)*0.475*44/12</f>
        <v>0.38251033815267838</v>
      </c>
      <c r="BR130" s="21">
        <f>EXP(-LN(2)/2)*BR129+(1-EXP(-LN(2)/2))/(LN(2)/2)*BL130*BO130*VLOOKUP('Données projet'!$B$11,Paramètres!$A$1:$I$89,3,0)*0.475*44/12</f>
        <v>2.0508186625324862E-14</v>
      </c>
      <c r="BS130" s="22">
        <f t="shared" si="63"/>
        <v>0.68386529217984859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2.2612312022829431E-14</v>
      </c>
      <c r="CA130" s="13">
        <f t="shared" si="93"/>
        <v>4.0387900716432995E-13</v>
      </c>
      <c r="CB130" s="20">
        <f t="shared" si="64"/>
        <v>7.4280571425096929E-13</v>
      </c>
      <c r="CC130" s="59">
        <f t="shared" si="65"/>
        <v>293.33333333333405</v>
      </c>
      <c r="CD130" s="59">
        <f ca="1">AVERAGE(OFFSET($CC$3,0,0,'Données projet'!$E$12+1,1))-AVERAGE(OFFSET($H$3,0,0,'Données projet'!$E$12+1,1))</f>
        <v>241.67556898455945</v>
      </c>
      <c r="CE130" s="59">
        <f t="shared" si="94"/>
        <v>237.71070965292648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0.92503086208682628</v>
      </c>
      <c r="CL130" s="21">
        <f>EXP(-LN(2)/25)*CL129+(1-EXP(-LN(2)/25))/(LN(2)/25)*Calculateur!CG130*Calculateur!CI130*VLOOKUP('Données projet'!$B$12,Paramètres!$A$1:$I$89,3,0)*0.475*44/12</f>
        <v>0.48058866189587351</v>
      </c>
      <c r="CM130" s="21">
        <f>EXP(-LN(2)/2)*CM129+(1-EXP(-LN(2)/2))/(LN(2)/2)*CG130*CJ130*VLOOKUP('Données projet'!$B$12,Paramètres!$A$1:$I$89,3,0)*0.475*44/12</f>
        <v>1.6823426518199604E-14</v>
      </c>
      <c r="CN130" s="22">
        <f t="shared" si="66"/>
        <v>1.4056195239827167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-2.2612312022829427E-13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405.40026823646758</v>
      </c>
      <c r="T131" s="59">
        <f t="shared" si="88"/>
        <v>393.0787141050053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2.4861294442077795</v>
      </c>
      <c r="AA131" s="21">
        <f>EXP(-LN(2)/25)*AA130+(1-EXP(-LN(2)/25))/(LN(2)/25)*Calculateur!V131*Calculateur!X131*VLOOKUP('Données projet'!$B$9,Paramètres!$A$1:$I$89,3,0)*0.475*44/12</f>
        <v>1.3661879470194316</v>
      </c>
      <c r="AB131" s="21">
        <f>EXP(-LN(2)/2)*AB130+(1-EXP(-LN(2)/2))/(LN(2)/2)*V131*Y131*VLOOKUP('Données projet'!$B$9,Paramètres!$A$1:$I$89,3,0)*0.475*44/12</f>
        <v>2.1013805867092235E-14</v>
      </c>
      <c r="AC131" s="22">
        <f t="shared" si="57"/>
        <v>3.8523173912272317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4.9658410716801891E-14</v>
      </c>
      <c r="AK131" s="13">
        <f t="shared" si="89"/>
        <v>8.0934058173791862E-13</v>
      </c>
      <c r="AL131" s="20">
        <f t="shared" si="58"/>
        <v>1.4960899118586383E-12</v>
      </c>
      <c r="AM131" s="59">
        <f t="shared" si="59"/>
        <v>293.33333333333479</v>
      </c>
      <c r="AN131" s="59">
        <f ca="1">AVERAGE(OFFSET($AM$3,0,0,'Données projet'!$E$10+1,1))-AVERAGE(OFFSET($H$3,0,0,'Données projet'!$E$10+1,1))</f>
        <v>304.32767345253382</v>
      </c>
      <c r="AO131" s="59">
        <f t="shared" si="90"/>
        <v>427.16091343339173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1.1335983704465922</v>
      </c>
      <c r="AV131" s="21">
        <f>EXP(-LN(2)/25)*AV130+(1-EXP(-LN(2)/25))/(LN(2)/25)*Calculateur!AQ131*Calculateur!AS131*VLOOKUP('Données projet'!$B$10,Paramètres!$A$1:$I$89,3,0)*0.475*44/12</f>
        <v>1.1969458772786408</v>
      </c>
      <c r="AW131" s="21">
        <f>EXP(-LN(2)/2)*AW130+(1-EXP(-LN(2)/2))/(LN(2)/2)*AQ131*AT131*VLOOKUP('Données projet'!$B$10,Paramètres!$A$1:$I$89,3,0)*0.475*44/12</f>
        <v>2.0025169428571453E-14</v>
      </c>
      <c r="AX131" s="21">
        <f t="shared" si="60"/>
        <v>2.3305442477252529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-4.9658410716801891E-14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268.31928207836495</v>
      </c>
      <c r="BJ131" s="59">
        <f t="shared" si="92"/>
        <v>277.61304526670204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0.29544556718704973</v>
      </c>
      <c r="BQ131" s="21">
        <f>EXP(-LN(2)/25)*BQ130+(1-EXP(-LN(2)/25))/(LN(2)/25)*Calculateur!BL131*Calculateur!BN131*VLOOKUP('Données projet'!$B$11,Paramètres!$A$1:$I$89,3,0)*0.475*44/12</f>
        <v>0.37205057284054893</v>
      </c>
      <c r="BR131" s="21">
        <f>EXP(-LN(2)/2)*BR130+(1-EXP(-LN(2)/2))/(LN(2)/2)*BL131*BO131*VLOOKUP('Données projet'!$B$11,Paramètres!$A$1:$I$89,3,0)*0.475*44/12</f>
        <v>1.4501477832606468E-14</v>
      </c>
      <c r="BS131" s="22">
        <f t="shared" si="63"/>
        <v>0.66749614002761326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2.2612312022829431E-14</v>
      </c>
      <c r="CA131" s="13">
        <f t="shared" si="93"/>
        <v>4.0387900716432995E-13</v>
      </c>
      <c r="CB131" s="20">
        <f t="shared" si="64"/>
        <v>7.4280571425096929E-13</v>
      </c>
      <c r="CC131" s="59">
        <f t="shared" si="65"/>
        <v>293.33333333333405</v>
      </c>
      <c r="CD131" s="59">
        <f ca="1">AVERAGE(OFFSET($CC$3,0,0,'Données projet'!$E$12+1,1))-AVERAGE(OFFSET($H$3,0,0,'Données projet'!$E$12+1,1))</f>
        <v>241.67556898455945</v>
      </c>
      <c r="CE131" s="59">
        <f t="shared" si="94"/>
        <v>237.71070965292648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0.90689157109441809</v>
      </c>
      <c r="CL131" s="21">
        <f>EXP(-LN(2)/25)*CL130+(1-EXP(-LN(2)/25))/(LN(2)/25)*Calculateur!CG131*Calculateur!CI131*VLOOKUP('Données projet'!$B$12,Paramètres!$A$1:$I$89,3,0)*0.475*44/12</f>
        <v>0.4674469396632715</v>
      </c>
      <c r="CM131" s="21">
        <f>EXP(-LN(2)/2)*CM130+(1-EXP(-LN(2)/2))/(LN(2)/2)*CG131*CJ131*VLOOKUP('Données projet'!$B$12,Paramètres!$A$1:$I$89,3,0)*0.475*44/12</f>
        <v>1.1895958973812529E-14</v>
      </c>
      <c r="CN131" s="22">
        <f t="shared" si="66"/>
        <v>1.3743385107577015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-2.2612312022829427E-13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405.40026823646758</v>
      </c>
      <c r="T132" s="59">
        <f t="shared" si="88"/>
        <v>393.0787141050053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2.4373779621960949</v>
      </c>
      <c r="AA132" s="21">
        <f>EXP(-LN(2)/25)*AA131+(1-EXP(-LN(2)/25))/(LN(2)/25)*Calculateur!V132*Calculateur!X132*VLOOKUP('Données projet'!$B$9,Paramètres!$A$1:$I$89,3,0)*0.475*44/12</f>
        <v>1.3288294657634836</v>
      </c>
      <c r="AB132" s="21">
        <f>EXP(-LN(2)/2)*AB131+(1-EXP(-LN(2)/2))/(LN(2)/2)*V132*Y132*VLOOKUP('Données projet'!$B$9,Paramètres!$A$1:$I$89,3,0)*0.475*44/12</f>
        <v>1.4859004627158577E-14</v>
      </c>
      <c r="AC132" s="22">
        <f t="shared" ref="AC132:AC153" si="111">SUM(Z132:AB132)</f>
        <v>3.7662074279595932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4.9658410716801891E-14</v>
      </c>
      <c r="AK132" s="13">
        <f t="shared" si="89"/>
        <v>8.0934058173791862E-13</v>
      </c>
      <c r="AL132" s="20">
        <f t="shared" ref="AL132:AL153" si="112">(AJ132+AK132)*0.475*44/12</f>
        <v>1.4960899118586383E-12</v>
      </c>
      <c r="AM132" s="59">
        <f t="shared" ref="AM132:AM195" si="113">AL132+(AD132+AE132)*44/12</f>
        <v>293.33333333333479</v>
      </c>
      <c r="AN132" s="59">
        <f ca="1">AVERAGE(OFFSET($AM$3,0,0,'Données projet'!$E$10+1,1))-AVERAGE(OFFSET($H$3,0,0,'Données projet'!$E$10+1,1))</f>
        <v>304.32767345253382</v>
      </c>
      <c r="AO132" s="59">
        <f t="shared" si="90"/>
        <v>427.16091343339173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1.1113691978288678</v>
      </c>
      <c r="AV132" s="21">
        <f>EXP(-LN(2)/25)*AV131+(1-EXP(-LN(2)/25))/(LN(2)/25)*Calculateur!AQ132*Calculateur!AS132*VLOOKUP('Données projet'!$B$10,Paramètres!$A$1:$I$89,3,0)*0.475*44/12</f>
        <v>1.1642153293198083</v>
      </c>
      <c r="AW132" s="21">
        <f>EXP(-LN(2)/2)*AW131+(1-EXP(-LN(2)/2))/(LN(2)/2)*AQ132*AT132*VLOOKUP('Données projet'!$B$10,Paramètres!$A$1:$I$89,3,0)*0.475*44/12</f>
        <v>1.4159933097352416E-14</v>
      </c>
      <c r="AX132" s="21">
        <f t="shared" ref="AX132:AX153" si="114">SUM(AU132:AW132)</f>
        <v>2.2755845271486903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-4.9658410716801891E-14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268.31928207836495</v>
      </c>
      <c r="BJ132" s="59">
        <f t="shared" si="92"/>
        <v>277.61304526670204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0.289652059818514</v>
      </c>
      <c r="BQ132" s="21">
        <f>EXP(-LN(2)/25)*BQ131+(1-EXP(-LN(2)/25))/(LN(2)/25)*Calculateur!BL132*Calculateur!BN132*VLOOKUP('Données projet'!$B$11,Paramètres!$A$1:$I$89,3,0)*0.475*44/12</f>
        <v>0.36187683036093482</v>
      </c>
      <c r="BR132" s="21">
        <f>EXP(-LN(2)/2)*BR131+(1-EXP(-LN(2)/2))/(LN(2)/2)*BL132*BO132*VLOOKUP('Données projet'!$B$11,Paramètres!$A$1:$I$89,3,0)*0.475*44/12</f>
        <v>1.0254093312662431E-14</v>
      </c>
      <c r="BS132" s="22">
        <f t="shared" ref="BS132:BS153" si="117">SUM(BP132:BR132)</f>
        <v>0.65152889017945903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2.2612312022829431E-14</v>
      </c>
      <c r="CA132" s="13">
        <f t="shared" si="93"/>
        <v>4.0387900716432995E-13</v>
      </c>
      <c r="CB132" s="20">
        <f t="shared" ref="CB132:CB153" si="118">(BZ132+CA132)*0.475*44/12</f>
        <v>7.4280571425096929E-13</v>
      </c>
      <c r="CC132" s="59">
        <f t="shared" ref="CC132:CC195" si="119">CB132+(BT132+BU132)*44/12</f>
        <v>293.33333333333405</v>
      </c>
      <c r="CD132" s="59">
        <f ca="1">AVERAGE(OFFSET($CC$3,0,0,'Données projet'!$E$12+1,1))-AVERAGE(OFFSET($H$3,0,0,'Données projet'!$E$12+1,1))</f>
        <v>241.67556898455945</v>
      </c>
      <c r="CE132" s="59">
        <f t="shared" si="94"/>
        <v>237.71070965292648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0.88910798053449602</v>
      </c>
      <c r="CL132" s="21">
        <f>EXP(-LN(2)/25)*CL131+(1-EXP(-LN(2)/25))/(LN(2)/25)*Calculateur!CG132*Calculateur!CI132*VLOOKUP('Données projet'!$B$12,Paramètres!$A$1:$I$89,3,0)*0.475*44/12</f>
        <v>0.45466457851621317</v>
      </c>
      <c r="CM132" s="21">
        <f>EXP(-LN(2)/2)*CM131+(1-EXP(-LN(2)/2))/(LN(2)/2)*CG132*CJ132*VLOOKUP('Données projet'!$B$12,Paramètres!$A$1:$I$89,3,0)*0.475*44/12</f>
        <v>8.4117132590998022E-15</v>
      </c>
      <c r="CN132" s="22">
        <f t="shared" ref="CN132:CN153" si="120">SUM(CK132:CM132)</f>
        <v>1.3437725590507177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-2.2612312022829427E-13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405.40026823646758</v>
      </c>
      <c r="T133" s="59">
        <f t="shared" ref="T133:T196" si="142">$T$3</f>
        <v>393.0787141050053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2.3895824670111914</v>
      </c>
      <c r="AA133" s="21">
        <f>EXP(-LN(2)/25)*AA132+(1-EXP(-LN(2)/25))/(LN(2)/25)*Calculateur!V133*Calculateur!X133*VLOOKUP('Données projet'!$B$9,Paramètres!$A$1:$I$89,3,0)*0.475*44/12</f>
        <v>1.2924925541420766</v>
      </c>
      <c r="AB133" s="21">
        <f>EXP(-LN(2)/2)*AB132+(1-EXP(-LN(2)/2))/(LN(2)/2)*V133*Y133*VLOOKUP('Données projet'!$B$9,Paramètres!$A$1:$I$89,3,0)*0.475*44/12</f>
        <v>1.0506902933546117E-14</v>
      </c>
      <c r="AC133" s="22">
        <f t="shared" si="111"/>
        <v>3.6820750211532784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4.9658410716801891E-14</v>
      </c>
      <c r="AK133" s="13">
        <f t="shared" ref="AK133:AK153" si="143">EXP(-1.0587+0.8836*LN(AJ133)+0.284)</f>
        <v>8.0934058173791862E-13</v>
      </c>
      <c r="AL133" s="20">
        <f t="shared" si="112"/>
        <v>1.4960899118586383E-12</v>
      </c>
      <c r="AM133" s="59">
        <f t="shared" si="113"/>
        <v>293.33333333333479</v>
      </c>
      <c r="AN133" s="59">
        <f ca="1">AVERAGE(OFFSET($AM$3,0,0,'Données projet'!$E$10+1,1))-AVERAGE(OFFSET($H$3,0,0,'Données projet'!$E$10+1,1))</f>
        <v>304.32767345253382</v>
      </c>
      <c r="AO133" s="59">
        <f t="shared" ref="AO133:AO196" si="144">$AO$3</f>
        <v>427.16091343339173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1.0895759257277204</v>
      </c>
      <c r="AV133" s="21">
        <f>EXP(-LN(2)/25)*AV132+(1-EXP(-LN(2)/25))/(LN(2)/25)*Calculateur!AQ133*Calculateur!AS133*VLOOKUP('Données projet'!$B$10,Paramètres!$A$1:$I$89,3,0)*0.475*44/12</f>
        <v>1.1323797999161349</v>
      </c>
      <c r="AW133" s="21">
        <f>EXP(-LN(2)/2)*AW132+(1-EXP(-LN(2)/2))/(LN(2)/2)*AQ133*AT133*VLOOKUP('Données projet'!$B$10,Paramètres!$A$1:$I$89,3,0)*0.475*44/12</f>
        <v>1.0012584714285728E-14</v>
      </c>
      <c r="AX133" s="21">
        <f t="shared" si="114"/>
        <v>2.2219557256438658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-4.9658410716801891E-14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268.31928207836495</v>
      </c>
      <c r="BJ133" s="59">
        <f t="shared" ref="BJ133:BJ196" si="146">$BJ$3</f>
        <v>277.61304526670204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0.2839721595957847</v>
      </c>
      <c r="BQ133" s="21">
        <f>EXP(-LN(2)/25)*BQ132+(1-EXP(-LN(2)/25))/(LN(2)/25)*Calculateur!BL133*Calculateur!BN133*VLOOKUP('Données projet'!$B$11,Paramètres!$A$1:$I$89,3,0)*0.475*44/12</f>
        <v>0.35198128940443962</v>
      </c>
      <c r="BR133" s="21">
        <f>EXP(-LN(2)/2)*BR132+(1-EXP(-LN(2)/2))/(LN(2)/2)*BL133*BO133*VLOOKUP('Données projet'!$B$11,Paramètres!$A$1:$I$89,3,0)*0.475*44/12</f>
        <v>7.2507389163032339E-15</v>
      </c>
      <c r="BS133" s="22">
        <f t="shared" si="117"/>
        <v>0.63595344900023154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2.2612312022829431E-14</v>
      </c>
      <c r="CA133" s="13">
        <f t="shared" ref="CA133:CA153" si="147">EXP(-1.0587+0.8836*LN(BZ133)+0.284)</f>
        <v>4.0387900716432995E-13</v>
      </c>
      <c r="CB133" s="20">
        <f t="shared" si="118"/>
        <v>7.4280571425096929E-13</v>
      </c>
      <c r="CC133" s="59">
        <f t="shared" si="119"/>
        <v>293.33333333333405</v>
      </c>
      <c r="CD133" s="59">
        <f ca="1">AVERAGE(OFFSET($CC$3,0,0,'Données projet'!$E$12+1,1))-AVERAGE(OFFSET($H$3,0,0,'Données projet'!$E$12+1,1))</f>
        <v>241.67556898455945</v>
      </c>
      <c r="CE133" s="59">
        <f t="shared" ref="CE133:CE196" si="148">$CE$3</f>
        <v>237.71070965292648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0.87167311533853475</v>
      </c>
      <c r="CL133" s="21">
        <f>EXP(-LN(2)/25)*CL132+(1-EXP(-LN(2)/25))/(LN(2)/25)*Calculateur!CG133*Calculateur!CI133*VLOOKUP('Données projet'!$B$12,Paramètres!$A$1:$I$89,3,0)*0.475*44/12</f>
        <v>0.44223175170691631</v>
      </c>
      <c r="CM133" s="21">
        <f>EXP(-LN(2)/2)*CM132+(1-EXP(-LN(2)/2))/(LN(2)/2)*CG133*CJ133*VLOOKUP('Données projet'!$B$12,Paramètres!$A$1:$I$89,3,0)*0.475*44/12</f>
        <v>5.9479794869062644E-15</v>
      </c>
      <c r="CN133" s="22">
        <f t="shared" si="120"/>
        <v>1.3139048670454569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-2.2612312022829427E-13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405.40026823646758</v>
      </c>
      <c r="T134" s="59">
        <f t="shared" si="142"/>
        <v>393.0787141050053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2.3427242123344905</v>
      </c>
      <c r="AA134" s="21">
        <f>EXP(-LN(2)/25)*AA133+(1-EXP(-LN(2)/25))/(LN(2)/25)*Calculateur!V134*Calculateur!X134*VLOOKUP('Données projet'!$B$9,Paramètres!$A$1:$I$89,3,0)*0.475*44/12</f>
        <v>1.2571492772798323</v>
      </c>
      <c r="AB134" s="21">
        <f>EXP(-LN(2)/2)*AB133+(1-EXP(-LN(2)/2))/(LN(2)/2)*V134*Y134*VLOOKUP('Données projet'!$B$9,Paramètres!$A$1:$I$89,3,0)*0.475*44/12</f>
        <v>7.4295023135792884E-15</v>
      </c>
      <c r="AC134" s="22">
        <f t="shared" si="111"/>
        <v>3.5998734896143305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4.9658410716801891E-14</v>
      </c>
      <c r="AK134" s="13">
        <f t="shared" si="143"/>
        <v>8.0934058173791862E-13</v>
      </c>
      <c r="AL134" s="20">
        <f t="shared" si="112"/>
        <v>1.4960899118586383E-12</v>
      </c>
      <c r="AM134" s="59">
        <f t="shared" si="113"/>
        <v>293.33333333333479</v>
      </c>
      <c r="AN134" s="59">
        <f ca="1">AVERAGE(OFFSET($AM$3,0,0,'Données projet'!$E$10+1,1))-AVERAGE(OFFSET($H$3,0,0,'Données projet'!$E$10+1,1))</f>
        <v>304.32767345253382</v>
      </c>
      <c r="AO134" s="59">
        <f t="shared" si="144"/>
        <v>427.16091343339173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1.0682100063998932</v>
      </c>
      <c r="AV134" s="21">
        <f>EXP(-LN(2)/25)*AV133+(1-EXP(-LN(2)/25))/(LN(2)/25)*Calculateur!AQ134*Calculateur!AS134*VLOOKUP('Données projet'!$B$10,Paramètres!$A$1:$I$89,3,0)*0.475*44/12</f>
        <v>1.1014148147381626</v>
      </c>
      <c r="AW134" s="21">
        <f>EXP(-LN(2)/2)*AW133+(1-EXP(-LN(2)/2))/(LN(2)/2)*AQ134*AT134*VLOOKUP('Données projet'!$B$10,Paramètres!$A$1:$I$89,3,0)*0.475*44/12</f>
        <v>7.0799665486762089E-15</v>
      </c>
      <c r="AX134" s="21">
        <f t="shared" si="114"/>
        <v>2.1696248211380631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-4.9658410716801891E-14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268.31928207836495</v>
      </c>
      <c r="BJ134" s="59">
        <f t="shared" si="146"/>
        <v>277.61304526670204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0.27840363875202606</v>
      </c>
      <c r="BQ134" s="21">
        <f>EXP(-LN(2)/25)*BQ133+(1-EXP(-LN(2)/25))/(LN(2)/25)*Calculateur!BL134*Calculateur!BN134*VLOOKUP('Données projet'!$B$11,Paramètres!$A$1:$I$89,3,0)*0.475*44/12</f>
        <v>0.34235634253578368</v>
      </c>
      <c r="BR134" s="21">
        <f>EXP(-LN(2)/2)*BR133+(1-EXP(-LN(2)/2))/(LN(2)/2)*BL134*BO134*VLOOKUP('Données projet'!$B$11,Paramètres!$A$1:$I$89,3,0)*0.475*44/12</f>
        <v>5.1270466563312156E-15</v>
      </c>
      <c r="BS134" s="22">
        <f t="shared" si="117"/>
        <v>0.62075998128781484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2.2612312022829431E-14</v>
      </c>
      <c r="CA134" s="13">
        <f t="shared" si="147"/>
        <v>4.0387900716432995E-13</v>
      </c>
      <c r="CB134" s="20">
        <f t="shared" si="118"/>
        <v>7.4280571425096929E-13</v>
      </c>
      <c r="CC134" s="59">
        <f t="shared" si="119"/>
        <v>293.33333333333405</v>
      </c>
      <c r="CD134" s="59">
        <f ca="1">AVERAGE(OFFSET($CC$3,0,0,'Données projet'!$E$12+1,1))-AVERAGE(OFFSET($H$3,0,0,'Données projet'!$E$12+1,1))</f>
        <v>241.67556898455945</v>
      </c>
      <c r="CE134" s="59">
        <f t="shared" si="148"/>
        <v>237.71070965292648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0.8545801372148486</v>
      </c>
      <c r="CL134" s="21">
        <f>EXP(-LN(2)/25)*CL133+(1-EXP(-LN(2)/25))/(LN(2)/25)*Calculateur!CG134*Calculateur!CI134*VLOOKUP('Données projet'!$B$12,Paramètres!$A$1:$I$89,3,0)*0.475*44/12</f>
        <v>0.43013890120053361</v>
      </c>
      <c r="CM134" s="21">
        <f>EXP(-LN(2)/2)*CM133+(1-EXP(-LN(2)/2))/(LN(2)/2)*CG134*CJ134*VLOOKUP('Données projet'!$B$12,Paramètres!$A$1:$I$89,3,0)*0.475*44/12</f>
        <v>4.2058566295499011E-15</v>
      </c>
      <c r="CN134" s="22">
        <f t="shared" si="120"/>
        <v>1.2847190384153864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-2.2612312022829427E-13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405.40026823646758</v>
      </c>
      <c r="T135" s="59">
        <f t="shared" si="142"/>
        <v>393.0787141050053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2.2967848194512865</v>
      </c>
      <c r="AA135" s="21">
        <f>EXP(-LN(2)/25)*AA134+(1-EXP(-LN(2)/25))/(LN(2)/25)*Calculateur!V135*Calculateur!X135*VLOOKUP('Données projet'!$B$9,Paramètres!$A$1:$I$89,3,0)*0.475*44/12</f>
        <v>1.2227724641820081</v>
      </c>
      <c r="AB135" s="21">
        <f>EXP(-LN(2)/2)*AB134+(1-EXP(-LN(2)/2))/(LN(2)/2)*V135*Y135*VLOOKUP('Données projet'!$B$9,Paramètres!$A$1:$I$89,3,0)*0.475*44/12</f>
        <v>5.2534514667730587E-15</v>
      </c>
      <c r="AC135" s="22">
        <f t="shared" si="111"/>
        <v>3.5195572836332998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4.9658410716801891E-14</v>
      </c>
      <c r="AK135" s="13">
        <f t="shared" si="143"/>
        <v>8.0934058173791862E-13</v>
      </c>
      <c r="AL135" s="20">
        <f t="shared" si="112"/>
        <v>1.4960899118586383E-12</v>
      </c>
      <c r="AM135" s="59">
        <f t="shared" si="113"/>
        <v>293.33333333333479</v>
      </c>
      <c r="AN135" s="59">
        <f ca="1">AVERAGE(OFFSET($AM$3,0,0,'Données projet'!$E$10+1,1))-AVERAGE(OFFSET($H$3,0,0,'Données projet'!$E$10+1,1))</f>
        <v>304.32767345253382</v>
      </c>
      <c r="AO135" s="59">
        <f t="shared" si="144"/>
        <v>427.16091343339173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1.0472630597181605</v>
      </c>
      <c r="AV135" s="21">
        <f>EXP(-LN(2)/25)*AV134+(1-EXP(-LN(2)/25))/(LN(2)/25)*Calculateur!AQ135*Calculateur!AS135*VLOOKUP('Données projet'!$B$10,Paramètres!$A$1:$I$89,3,0)*0.475*44/12</f>
        <v>1.0712965687082598</v>
      </c>
      <c r="AW135" s="21">
        <f>EXP(-LN(2)/2)*AW134+(1-EXP(-LN(2)/2))/(LN(2)/2)*AQ135*AT135*VLOOKUP('Données projet'!$B$10,Paramètres!$A$1:$I$89,3,0)*0.475*44/12</f>
        <v>5.0062923571428648E-15</v>
      </c>
      <c r="AX135" s="21">
        <f t="shared" si="114"/>
        <v>2.1185596284264254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-4.9658410716801891E-14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268.31928207836495</v>
      </c>
      <c r="BJ135" s="59">
        <f t="shared" si="146"/>
        <v>277.61304526670204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0.27294431320555118</v>
      </c>
      <c r="BQ135" s="21">
        <f>EXP(-LN(2)/25)*BQ134+(1-EXP(-LN(2)/25))/(LN(2)/25)*Calculateur!BL135*Calculateur!BN135*VLOOKUP('Données projet'!$B$11,Paramètres!$A$1:$I$89,3,0)*0.475*44/12</f>
        <v>0.33299459034540507</v>
      </c>
      <c r="BR135" s="21">
        <f>EXP(-LN(2)/2)*BR134+(1-EXP(-LN(2)/2))/(LN(2)/2)*BL135*BO135*VLOOKUP('Données projet'!$B$11,Paramètres!$A$1:$I$89,3,0)*0.475*44/12</f>
        <v>3.6253694581516169E-15</v>
      </c>
      <c r="BS135" s="22">
        <f t="shared" si="117"/>
        <v>0.60593890355095992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2.2612312022829431E-14</v>
      </c>
      <c r="CA135" s="13">
        <f t="shared" si="147"/>
        <v>4.0387900716432995E-13</v>
      </c>
      <c r="CB135" s="20">
        <f t="shared" si="118"/>
        <v>7.4280571425096929E-13</v>
      </c>
      <c r="CC135" s="59">
        <f t="shared" si="119"/>
        <v>293.33333333333405</v>
      </c>
      <c r="CD135" s="59">
        <f ca="1">AVERAGE(OFFSET($CC$3,0,0,'Données projet'!$E$12+1,1))-AVERAGE(OFFSET($H$3,0,0,'Données projet'!$E$12+1,1))</f>
        <v>241.67556898455945</v>
      </c>
      <c r="CE135" s="59">
        <f t="shared" si="148"/>
        <v>237.71070965292648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0.83782234196648075</v>
      </c>
      <c r="CL135" s="21">
        <f>EXP(-LN(2)/25)*CL134+(1-EXP(-LN(2)/25))/(LN(2)/25)*Calculateur!CG135*Calculateur!CI135*VLOOKUP('Données projet'!$B$12,Paramètres!$A$1:$I$89,3,0)*0.475*44/12</f>
        <v>0.41837673032718331</v>
      </c>
      <c r="CM135" s="21">
        <f>EXP(-LN(2)/2)*CM134+(1-EXP(-LN(2)/2))/(LN(2)/2)*CG135*CJ135*VLOOKUP('Données projet'!$B$12,Paramètres!$A$1:$I$89,3,0)*0.475*44/12</f>
        <v>2.9739897434531322E-15</v>
      </c>
      <c r="CN135" s="22">
        <f t="shared" si="120"/>
        <v>1.2561990722936669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-2.2612312022829427E-13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405.40026823646758</v>
      </c>
      <c r="T136" s="59">
        <f t="shared" si="142"/>
        <v>393.0787141050053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2.2517462700422595</v>
      </c>
      <c r="AA136" s="21">
        <f>EXP(-LN(2)/25)*AA135+(1-EXP(-LN(2)/25))/(LN(2)/25)*Calculateur!V136*Calculateur!X136*VLOOKUP('Données projet'!$B$9,Paramètres!$A$1:$I$89,3,0)*0.475*44/12</f>
        <v>1.189335686846142</v>
      </c>
      <c r="AB136" s="21">
        <f>EXP(-LN(2)/2)*AB135+(1-EXP(-LN(2)/2))/(LN(2)/2)*V136*Y136*VLOOKUP('Données projet'!$B$9,Paramètres!$A$1:$I$89,3,0)*0.475*44/12</f>
        <v>3.7147511567896442E-15</v>
      </c>
      <c r="AC136" s="22">
        <f t="shared" si="111"/>
        <v>3.441081956888405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4.9658410716801891E-14</v>
      </c>
      <c r="AK136" s="13">
        <f t="shared" si="143"/>
        <v>8.0934058173791862E-13</v>
      </c>
      <c r="AL136" s="20">
        <f t="shared" si="112"/>
        <v>1.4960899118586383E-12</v>
      </c>
      <c r="AM136" s="59">
        <f t="shared" si="113"/>
        <v>293.33333333333479</v>
      </c>
      <c r="AN136" s="59">
        <f ca="1">AVERAGE(OFFSET($AM$3,0,0,'Données projet'!$E$10+1,1))-AVERAGE(OFFSET($H$3,0,0,'Données projet'!$E$10+1,1))</f>
        <v>304.32767345253382</v>
      </c>
      <c r="AO136" s="59">
        <f t="shared" si="144"/>
        <v>427.16091343339173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1.0267268698844807</v>
      </c>
      <c r="AV136" s="21">
        <f>EXP(-LN(2)/25)*AV135+(1-EXP(-LN(2)/25))/(LN(2)/25)*Calculateur!AQ136*Calculateur!AS136*VLOOKUP('Données projet'!$B$10,Paramètres!$A$1:$I$89,3,0)*0.475*44/12</f>
        <v>1.0420019076998943</v>
      </c>
      <c r="AW136" s="21">
        <f>EXP(-LN(2)/2)*AW135+(1-EXP(-LN(2)/2))/(LN(2)/2)*AQ136*AT136*VLOOKUP('Données projet'!$B$10,Paramètres!$A$1:$I$89,3,0)*0.475*44/12</f>
        <v>3.5399832743381053E-15</v>
      </c>
      <c r="AX136" s="21">
        <f t="shared" si="114"/>
        <v>2.0687287775843783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-4.9658410716801891E-14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268.31928207836495</v>
      </c>
      <c r="BJ136" s="59">
        <f t="shared" si="146"/>
        <v>277.61304526670204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0.2675920417031829</v>
      </c>
      <c r="BQ136" s="21">
        <f>EXP(-LN(2)/25)*BQ135+(1-EXP(-LN(2)/25))/(LN(2)/25)*Calculateur!BL136*Calculateur!BN136*VLOOKUP('Données projet'!$B$11,Paramètres!$A$1:$I$89,3,0)*0.475*44/12</f>
        <v>0.32388883576098554</v>
      </c>
      <c r="BR136" s="21">
        <f>EXP(-LN(2)/2)*BR135+(1-EXP(-LN(2)/2))/(LN(2)/2)*BL136*BO136*VLOOKUP('Données projet'!$B$11,Paramètres!$A$1:$I$89,3,0)*0.475*44/12</f>
        <v>2.5635233281656078E-15</v>
      </c>
      <c r="BS136" s="22">
        <f t="shared" si="117"/>
        <v>0.591480877464171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2.2612312022829431E-14</v>
      </c>
      <c r="CA136" s="13">
        <f t="shared" si="147"/>
        <v>4.0387900716432995E-13</v>
      </c>
      <c r="CB136" s="20">
        <f t="shared" si="118"/>
        <v>7.4280571425096929E-13</v>
      </c>
      <c r="CC136" s="59">
        <f t="shared" si="119"/>
        <v>293.33333333333405</v>
      </c>
      <c r="CD136" s="59">
        <f ca="1">AVERAGE(OFFSET($CC$3,0,0,'Données projet'!$E$12+1,1))-AVERAGE(OFFSET($H$3,0,0,'Données projet'!$E$12+1,1))</f>
        <v>241.67556898455945</v>
      </c>
      <c r="CE136" s="59">
        <f t="shared" si="148"/>
        <v>237.71070965292648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0.82139315686168757</v>
      </c>
      <c r="CL136" s="21">
        <f>EXP(-LN(2)/25)*CL135+(1-EXP(-LN(2)/25))/(LN(2)/25)*Calculateur!CG136*Calculateur!CI136*VLOOKUP('Données projet'!$B$12,Paramètres!$A$1:$I$89,3,0)*0.475*44/12</f>
        <v>0.40693619663491043</v>
      </c>
      <c r="CM136" s="21">
        <f>EXP(-LN(2)/2)*CM135+(1-EXP(-LN(2)/2))/(LN(2)/2)*CG136*CJ136*VLOOKUP('Données projet'!$B$12,Paramètres!$A$1:$I$89,3,0)*0.475*44/12</f>
        <v>2.1029283147749505E-15</v>
      </c>
      <c r="CN136" s="22">
        <f t="shared" si="120"/>
        <v>1.2283293534966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-2.2612312022829427E-13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405.40026823646758</v>
      </c>
      <c r="T137" s="59">
        <f t="shared" si="142"/>
        <v>393.0787141050053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2.2075908991163407</v>
      </c>
      <c r="AA137" s="21">
        <f>EXP(-LN(2)/25)*AA136+(1-EXP(-LN(2)/25))/(LN(2)/25)*Calculateur!V137*Calculateur!X137*VLOOKUP('Données projet'!$B$9,Paramètres!$A$1:$I$89,3,0)*0.475*44/12</f>
        <v>1.1568132399448887</v>
      </c>
      <c r="AB137" s="21">
        <f>EXP(-LN(2)/2)*AB136+(1-EXP(-LN(2)/2))/(LN(2)/2)*V137*Y137*VLOOKUP('Données projet'!$B$9,Paramètres!$A$1:$I$89,3,0)*0.475*44/12</f>
        <v>2.6267257333865293E-15</v>
      </c>
      <c r="AC137" s="22">
        <f t="shared" si="111"/>
        <v>3.3644041390612323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4.9658410716801891E-14</v>
      </c>
      <c r="AK137" s="13">
        <f t="shared" si="143"/>
        <v>8.0934058173791862E-13</v>
      </c>
      <c r="AL137" s="20">
        <f t="shared" si="112"/>
        <v>1.4960899118586383E-12</v>
      </c>
      <c r="AM137" s="59">
        <f t="shared" si="113"/>
        <v>293.33333333333479</v>
      </c>
      <c r="AN137" s="59">
        <f ca="1">AVERAGE(OFFSET($AM$3,0,0,'Données projet'!$E$10+1,1))-AVERAGE(OFFSET($H$3,0,0,'Données projet'!$E$10+1,1))</f>
        <v>304.32767345253382</v>
      </c>
      <c r="AO137" s="59">
        <f t="shared" si="144"/>
        <v>427.16091343339173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1.0065933822076005</v>
      </c>
      <c r="AV137" s="21">
        <f>EXP(-LN(2)/25)*AV136+(1-EXP(-LN(2)/25))/(LN(2)/25)*Calculateur!AQ137*Calculateur!AS137*VLOOKUP('Données projet'!$B$10,Paramètres!$A$1:$I$89,3,0)*0.475*44/12</f>
        <v>1.0135083107373419</v>
      </c>
      <c r="AW137" s="21">
        <f>EXP(-LN(2)/2)*AW136+(1-EXP(-LN(2)/2))/(LN(2)/2)*AQ137*AT137*VLOOKUP('Données projet'!$B$10,Paramètres!$A$1:$I$89,3,0)*0.475*44/12</f>
        <v>2.5031461785714328E-15</v>
      </c>
      <c r="AX137" s="21">
        <f t="shared" si="114"/>
        <v>2.0201016929449453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-4.9658410716801891E-14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268.31928207836495</v>
      </c>
      <c r="BJ137" s="59">
        <f t="shared" si="146"/>
        <v>277.61304526670204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0.26234472498041278</v>
      </c>
      <c r="BQ137" s="21">
        <f>EXP(-LN(2)/25)*BQ136+(1-EXP(-LN(2)/25))/(LN(2)/25)*Calculateur!BL137*Calculateur!BN137*VLOOKUP('Données projet'!$B$11,Paramètres!$A$1:$I$89,3,0)*0.475*44/12</f>
        <v>0.31503207851452775</v>
      </c>
      <c r="BR137" s="21">
        <f>EXP(-LN(2)/2)*BR136+(1-EXP(-LN(2)/2))/(LN(2)/2)*BL137*BO137*VLOOKUP('Données projet'!$B$11,Paramètres!$A$1:$I$89,3,0)*0.475*44/12</f>
        <v>1.8126847290758085E-15</v>
      </c>
      <c r="BS137" s="22">
        <f t="shared" si="117"/>
        <v>0.57737680349494225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2.2612312022829431E-14</v>
      </c>
      <c r="CA137" s="13">
        <f t="shared" si="147"/>
        <v>4.0387900716432995E-13</v>
      </c>
      <c r="CB137" s="20">
        <f t="shared" si="118"/>
        <v>7.4280571425096929E-13</v>
      </c>
      <c r="CC137" s="59">
        <f t="shared" si="119"/>
        <v>293.33333333333405</v>
      </c>
      <c r="CD137" s="59">
        <f ca="1">AVERAGE(OFFSET($CC$3,0,0,'Données projet'!$E$12+1,1))-AVERAGE(OFFSET($H$3,0,0,'Données projet'!$E$12+1,1))</f>
        <v>241.67556898455945</v>
      </c>
      <c r="CE137" s="59">
        <f t="shared" si="148"/>
        <v>237.71070965292648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0.80528613805598592</v>
      </c>
      <c r="CL137" s="21">
        <f>EXP(-LN(2)/25)*CL136+(1-EXP(-LN(2)/25))/(LN(2)/25)*Calculateur!CG137*Calculateur!CI137*VLOOKUP('Données projet'!$B$12,Paramètres!$A$1:$I$89,3,0)*0.475*44/12</f>
        <v>0.39580850493808428</v>
      </c>
      <c r="CM137" s="21">
        <f>EXP(-LN(2)/2)*CM136+(1-EXP(-LN(2)/2))/(LN(2)/2)*CG137*CJ137*VLOOKUP('Données projet'!$B$12,Paramètres!$A$1:$I$89,3,0)*0.475*44/12</f>
        <v>1.4869948717265661E-15</v>
      </c>
      <c r="CN137" s="22">
        <f t="shared" si="120"/>
        <v>1.2010946429940719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-2.2612312022829427E-13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405.40026823646758</v>
      </c>
      <c r="T138" s="59">
        <f t="shared" si="142"/>
        <v>393.0787141050053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2.164301388082162</v>
      </c>
      <c r="AA138" s="21">
        <f>EXP(-LN(2)/25)*AA137+(1-EXP(-LN(2)/25))/(LN(2)/25)*Calculateur!V138*Calculateur!X138*VLOOKUP('Données projet'!$B$9,Paramètres!$A$1:$I$89,3,0)*0.475*44/12</f>
        <v>1.1251801210644314</v>
      </c>
      <c r="AB138" s="21">
        <f>EXP(-LN(2)/2)*AB137+(1-EXP(-LN(2)/2))/(LN(2)/2)*V138*Y138*VLOOKUP('Données projet'!$B$9,Paramètres!$A$1:$I$89,3,0)*0.475*44/12</f>
        <v>1.8573755783948221E-15</v>
      </c>
      <c r="AC138" s="22">
        <f t="shared" si="111"/>
        <v>3.2894815091465954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4.9658410716801891E-14</v>
      </c>
      <c r="AK138" s="13">
        <f t="shared" si="143"/>
        <v>8.0934058173791862E-13</v>
      </c>
      <c r="AL138" s="20">
        <f t="shared" si="112"/>
        <v>1.4960899118586383E-12</v>
      </c>
      <c r="AM138" s="59">
        <f t="shared" si="113"/>
        <v>293.33333333333479</v>
      </c>
      <c r="AN138" s="59">
        <f ca="1">AVERAGE(OFFSET($AM$3,0,0,'Données projet'!$E$10+1,1))-AVERAGE(OFFSET($H$3,0,0,'Données projet'!$E$10+1,1))</f>
        <v>304.32767345253382</v>
      </c>
      <c r="AO138" s="59">
        <f t="shared" si="144"/>
        <v>427.16091343339173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0.986854699943849</v>
      </c>
      <c r="AV138" s="21">
        <f>EXP(-LN(2)/25)*AV137+(1-EXP(-LN(2)/25))/(LN(2)/25)*Calculateur!AQ138*Calculateur!AS138*VLOOKUP('Données projet'!$B$10,Paramètres!$A$1:$I$89,3,0)*0.475*44/12</f>
        <v>0.98579387268214369</v>
      </c>
      <c r="AW138" s="21">
        <f>EXP(-LN(2)/2)*AW137+(1-EXP(-LN(2)/2))/(LN(2)/2)*AQ138*AT138*VLOOKUP('Données projet'!$B$10,Paramètres!$A$1:$I$89,3,0)*0.475*44/12</f>
        <v>1.7699916371690528E-15</v>
      </c>
      <c r="AX138" s="21">
        <f t="shared" si="114"/>
        <v>1.9726485726259946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-4.9658410716801891E-14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268.31928207836495</v>
      </c>
      <c r="BJ138" s="59">
        <f t="shared" si="146"/>
        <v>277.61304526670204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0.25720030493802898</v>
      </c>
      <c r="BQ138" s="21">
        <f>EXP(-LN(2)/25)*BQ137+(1-EXP(-LN(2)/25))/(LN(2)/25)*Calculateur!BL138*Calculateur!BN138*VLOOKUP('Données projet'!$B$11,Paramètres!$A$1:$I$89,3,0)*0.475*44/12</f>
        <v>0.30641750976073101</v>
      </c>
      <c r="BR138" s="21">
        <f>EXP(-LN(2)/2)*BR137+(1-EXP(-LN(2)/2))/(LN(2)/2)*BL138*BO138*VLOOKUP('Données projet'!$B$11,Paramètres!$A$1:$I$89,3,0)*0.475*44/12</f>
        <v>1.2817616640828039E-15</v>
      </c>
      <c r="BS138" s="22">
        <f t="shared" si="117"/>
        <v>0.56361781469876138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2.2612312022829431E-14</v>
      </c>
      <c r="CA138" s="13">
        <f t="shared" si="147"/>
        <v>4.0387900716432995E-13</v>
      </c>
      <c r="CB138" s="20">
        <f t="shared" si="118"/>
        <v>7.4280571425096929E-13</v>
      </c>
      <c r="CC138" s="59">
        <f t="shared" si="119"/>
        <v>293.33333333333405</v>
      </c>
      <c r="CD138" s="59">
        <f ca="1">AVERAGE(OFFSET($CC$3,0,0,'Données projet'!$E$12+1,1))-AVERAGE(OFFSET($H$3,0,0,'Données projet'!$E$12+1,1))</f>
        <v>241.67556898455945</v>
      </c>
      <c r="CE138" s="59">
        <f t="shared" si="148"/>
        <v>237.71070965292648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0.78949496806475261</v>
      </c>
      <c r="CL138" s="21">
        <f>EXP(-LN(2)/25)*CL137+(1-EXP(-LN(2)/25))/(LN(2)/25)*Calculateur!CG138*Calculateur!CI138*VLOOKUP('Données projet'!$B$12,Paramètres!$A$1:$I$89,3,0)*0.475*44/12</f>
        <v>0.38498510055588775</v>
      </c>
      <c r="CM138" s="21">
        <f>EXP(-LN(2)/2)*CM137+(1-EXP(-LN(2)/2))/(LN(2)/2)*CG138*CJ138*VLOOKUP('Données projet'!$B$12,Paramètres!$A$1:$I$89,3,0)*0.475*44/12</f>
        <v>1.0514641573874753E-15</v>
      </c>
      <c r="CN138" s="22">
        <f t="shared" si="120"/>
        <v>1.1744800686206414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-2.2612312022829427E-13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405.40026823646758</v>
      </c>
      <c r="T139" s="59">
        <f t="shared" si="142"/>
        <v>393.0787141050053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2.121860757955369</v>
      </c>
      <c r="AA139" s="21">
        <f>EXP(-LN(2)/25)*AA138+(1-EXP(-LN(2)/25))/(LN(2)/25)*Calculateur!V139*Calculateur!X139*VLOOKUP('Données projet'!$B$9,Paramètres!$A$1:$I$89,3,0)*0.475*44/12</f>
        <v>1.0944120114832736</v>
      </c>
      <c r="AB139" s="21">
        <f>EXP(-LN(2)/2)*AB138+(1-EXP(-LN(2)/2))/(LN(2)/2)*V139*Y139*VLOOKUP('Données projet'!$B$9,Paramètres!$A$1:$I$89,3,0)*0.475*44/12</f>
        <v>1.3133628666932647E-15</v>
      </c>
      <c r="AC139" s="22">
        <f t="shared" si="111"/>
        <v>3.2162727694386439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4.9658410716801891E-14</v>
      </c>
      <c r="AK139" s="13">
        <f t="shared" si="143"/>
        <v>8.0934058173791862E-13</v>
      </c>
      <c r="AL139" s="20">
        <f t="shared" si="112"/>
        <v>1.4960899118586383E-12</v>
      </c>
      <c r="AM139" s="59">
        <f t="shared" si="113"/>
        <v>293.33333333333479</v>
      </c>
      <c r="AN139" s="59">
        <f ca="1">AVERAGE(OFFSET($AM$3,0,0,'Données projet'!$E$10+1,1))-AVERAGE(OFFSET($H$3,0,0,'Données projet'!$E$10+1,1))</f>
        <v>304.32767345253382</v>
      </c>
      <c r="AO139" s="59">
        <f t="shared" si="144"/>
        <v>427.16091343339173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0.96750308119988226</v>
      </c>
      <c r="AV139" s="21">
        <f>EXP(-LN(2)/25)*AV138+(1-EXP(-LN(2)/25))/(LN(2)/25)*Calculateur!AQ139*Calculateur!AS139*VLOOKUP('Données projet'!$B$10,Paramètres!$A$1:$I$89,3,0)*0.475*44/12</f>
        <v>0.95883728739300378</v>
      </c>
      <c r="AW139" s="21">
        <f>EXP(-LN(2)/2)*AW138+(1-EXP(-LN(2)/2))/(LN(2)/2)*AQ139*AT139*VLOOKUP('Données projet'!$B$10,Paramètres!$A$1:$I$89,3,0)*0.475*44/12</f>
        <v>1.2515730892857166E-15</v>
      </c>
      <c r="AX139" s="21">
        <f t="shared" si="114"/>
        <v>1.9263403685928875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-4.9658410716801891E-14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268.31928207836495</v>
      </c>
      <c r="BJ139" s="59">
        <f t="shared" si="146"/>
        <v>277.61304526670204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0.25215676383488994</v>
      </c>
      <c r="BQ139" s="21">
        <f>EXP(-LN(2)/25)*BQ138+(1-EXP(-LN(2)/25))/(LN(2)/25)*Calculateur!BL139*Calculateur!BN139*VLOOKUP('Données projet'!$B$11,Paramètres!$A$1:$I$89,3,0)*0.475*44/12</f>
        <v>0.29803850684252731</v>
      </c>
      <c r="BR139" s="21">
        <f>EXP(-LN(2)/2)*BR138+(1-EXP(-LN(2)/2))/(LN(2)/2)*BL139*BO139*VLOOKUP('Données projet'!$B$11,Paramètres!$A$1:$I$89,3,0)*0.475*44/12</f>
        <v>9.0634236453790423E-16</v>
      </c>
      <c r="BS139" s="22">
        <f t="shared" si="117"/>
        <v>0.55019527067741814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2.2612312022829431E-14</v>
      </c>
      <c r="CA139" s="13">
        <f t="shared" si="147"/>
        <v>4.0387900716432995E-13</v>
      </c>
      <c r="CB139" s="20">
        <f t="shared" si="118"/>
        <v>7.4280571425096929E-13</v>
      </c>
      <c r="CC139" s="59">
        <f t="shared" si="119"/>
        <v>293.33333333333405</v>
      </c>
      <c r="CD139" s="59">
        <f ca="1">AVERAGE(OFFSET($CC$3,0,0,'Données projet'!$E$12+1,1))-AVERAGE(OFFSET($H$3,0,0,'Données projet'!$E$12+1,1))</f>
        <v>241.67556898455945</v>
      </c>
      <c r="CE139" s="59">
        <f t="shared" si="148"/>
        <v>237.71070965292648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0.77401345328538473</v>
      </c>
      <c r="CL139" s="21">
        <f>EXP(-LN(2)/25)*CL138+(1-EXP(-LN(2)/25))/(LN(2)/25)*Calculateur!CG139*Calculateur!CI139*VLOOKUP('Données projet'!$B$12,Paramètres!$A$1:$I$89,3,0)*0.475*44/12</f>
        <v>0.37445766273570047</v>
      </c>
      <c r="CM139" s="21">
        <f>EXP(-LN(2)/2)*CM138+(1-EXP(-LN(2)/2))/(LN(2)/2)*CG139*CJ139*VLOOKUP('Données projet'!$B$12,Paramètres!$A$1:$I$89,3,0)*0.475*44/12</f>
        <v>7.4349743586328305E-16</v>
      </c>
      <c r="CN139" s="22">
        <f t="shared" si="120"/>
        <v>1.1484711160210859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-2.2612312022829427E-13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405.40026823646758</v>
      </c>
      <c r="T140" s="59">
        <f t="shared" si="142"/>
        <v>393.0787141050053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2.080252362699134</v>
      </c>
      <c r="AA140" s="21">
        <f>EXP(-LN(2)/25)*AA139+(1-EXP(-LN(2)/25))/(LN(2)/25)*Calculateur!V140*Calculateur!X140*VLOOKUP('Données projet'!$B$9,Paramètres!$A$1:$I$89,3,0)*0.475*44/12</f>
        <v>1.064485257476637</v>
      </c>
      <c r="AB140" s="21">
        <f>EXP(-LN(2)/2)*AB139+(1-EXP(-LN(2)/2))/(LN(2)/2)*V140*Y140*VLOOKUP('Données projet'!$B$9,Paramètres!$A$1:$I$89,3,0)*0.475*44/12</f>
        <v>9.2868778919741105E-16</v>
      </c>
      <c r="AC140" s="22">
        <f t="shared" si="111"/>
        <v>3.1447376201757722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4.9658410716801891E-14</v>
      </c>
      <c r="AK140" s="13">
        <f t="shared" si="143"/>
        <v>8.0934058173791862E-13</v>
      </c>
      <c r="AL140" s="20">
        <f t="shared" si="112"/>
        <v>1.4960899118586383E-12</v>
      </c>
      <c r="AM140" s="59">
        <f t="shared" si="113"/>
        <v>293.33333333333479</v>
      </c>
      <c r="AN140" s="59">
        <f ca="1">AVERAGE(OFFSET($AM$3,0,0,'Données projet'!$E$10+1,1))-AVERAGE(OFFSET($H$3,0,0,'Données projet'!$E$10+1,1))</f>
        <v>304.32767345253382</v>
      </c>
      <c r="AO140" s="59">
        <f t="shared" si="144"/>
        <v>427.16091343339173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0.94853093589616277</v>
      </c>
      <c r="AV140" s="21">
        <f>EXP(-LN(2)/25)*AV139+(1-EXP(-LN(2)/25))/(LN(2)/25)*Calculateur!AQ140*Calculateur!AS140*VLOOKUP('Données projet'!$B$10,Paramètres!$A$1:$I$89,3,0)*0.475*44/12</f>
        <v>0.93261783134618059</v>
      </c>
      <c r="AW140" s="21">
        <f>EXP(-LN(2)/2)*AW139+(1-EXP(-LN(2)/2))/(LN(2)/2)*AQ140*AT140*VLOOKUP('Données projet'!$B$10,Paramètres!$A$1:$I$89,3,0)*0.475*44/12</f>
        <v>8.8499581858452661E-16</v>
      </c>
      <c r="AX140" s="21">
        <f t="shared" si="114"/>
        <v>1.8811487672423444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-4.9658410716801891E-14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268.31928207836495</v>
      </c>
      <c r="BJ140" s="59">
        <f t="shared" si="146"/>
        <v>277.61304526670204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0.24721212349652716</v>
      </c>
      <c r="BQ140" s="21">
        <f>EXP(-LN(2)/25)*BQ139+(1-EXP(-LN(2)/25))/(LN(2)/25)*Calculateur!BL140*Calculateur!BN140*VLOOKUP('Données projet'!$B$11,Paramètres!$A$1:$I$89,3,0)*0.475*44/12</f>
        <v>0.28988862819975447</v>
      </c>
      <c r="BR140" s="21">
        <f>EXP(-LN(2)/2)*BR139+(1-EXP(-LN(2)/2))/(LN(2)/2)*BL140*BO140*VLOOKUP('Données projet'!$B$11,Paramètres!$A$1:$I$89,3,0)*0.475*44/12</f>
        <v>6.4088083204140195E-16</v>
      </c>
      <c r="BS140" s="22">
        <f t="shared" si="117"/>
        <v>0.53710075169628224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2.2612312022829431E-14</v>
      </c>
      <c r="CA140" s="13">
        <f t="shared" si="147"/>
        <v>4.0387900716432995E-13</v>
      </c>
      <c r="CB140" s="20">
        <f t="shared" si="118"/>
        <v>7.4280571425096929E-13</v>
      </c>
      <c r="CC140" s="59">
        <f t="shared" si="119"/>
        <v>293.33333333333405</v>
      </c>
      <c r="CD140" s="59">
        <f ca="1">AVERAGE(OFFSET($CC$3,0,0,'Données projet'!$E$12+1,1))-AVERAGE(OFFSET($H$3,0,0,'Données projet'!$E$12+1,1))</f>
        <v>241.67556898455945</v>
      </c>
      <c r="CE140" s="59">
        <f t="shared" si="148"/>
        <v>237.71070965292648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0.75883552156804868</v>
      </c>
      <c r="CL140" s="21">
        <f>EXP(-LN(2)/25)*CL139+(1-EXP(-LN(2)/25))/(LN(2)/25)*Calculateur!CG140*Calculateur!CI140*VLOOKUP('Données projet'!$B$12,Paramètres!$A$1:$I$89,3,0)*0.475*44/12</f>
        <v>0.36421809825632007</v>
      </c>
      <c r="CM140" s="21">
        <f>EXP(-LN(2)/2)*CM139+(1-EXP(-LN(2)/2))/(LN(2)/2)*CG140*CJ140*VLOOKUP('Données projet'!$B$12,Paramètres!$A$1:$I$89,3,0)*0.475*44/12</f>
        <v>5.2573207869373764E-16</v>
      </c>
      <c r="CN140" s="22">
        <f t="shared" si="120"/>
        <v>1.1230536198243692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-2.2612312022829427E-13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405.40026823646758</v>
      </c>
      <c r="T141" s="59">
        <f t="shared" si="142"/>
        <v>393.0787141050053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2.039459882695259</v>
      </c>
      <c r="AA141" s="21">
        <f>EXP(-LN(2)/25)*AA140+(1-EXP(-LN(2)/25))/(LN(2)/25)*Calculateur!V141*Calculateur!X141*VLOOKUP('Données projet'!$B$9,Paramètres!$A$1:$I$89,3,0)*0.475*44/12</f>
        <v>1.0353768521320916</v>
      </c>
      <c r="AB141" s="21">
        <f>EXP(-LN(2)/2)*AB140+(1-EXP(-LN(2)/2))/(LN(2)/2)*V141*Y141*VLOOKUP('Données projet'!$B$9,Paramètres!$A$1:$I$89,3,0)*0.475*44/12</f>
        <v>6.5668143334663234E-16</v>
      </c>
      <c r="AC141" s="22">
        <f t="shared" si="111"/>
        <v>3.0748367348273509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4.9658410716801891E-14</v>
      </c>
      <c r="AK141" s="13">
        <f t="shared" si="143"/>
        <v>8.0934058173791862E-13</v>
      </c>
      <c r="AL141" s="20">
        <f t="shared" si="112"/>
        <v>1.4960899118586383E-12</v>
      </c>
      <c r="AM141" s="59">
        <f t="shared" si="113"/>
        <v>293.33333333333479</v>
      </c>
      <c r="AN141" s="59">
        <f ca="1">AVERAGE(OFFSET($AM$3,0,0,'Données projet'!$E$10+1,1))-AVERAGE(OFFSET($H$3,0,0,'Données projet'!$E$10+1,1))</f>
        <v>304.32767345253382</v>
      </c>
      <c r="AO141" s="59">
        <f t="shared" si="144"/>
        <v>427.16091343339173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0.92993082278998318</v>
      </c>
      <c r="AV141" s="21">
        <f>EXP(-LN(2)/25)*AV140+(1-EXP(-LN(2)/25))/(LN(2)/25)*Calculateur!AQ141*Calculateur!AS141*VLOOKUP('Données projet'!$B$10,Paramètres!$A$1:$I$89,3,0)*0.475*44/12</f>
        <v>0.90711534770377911</v>
      </c>
      <c r="AW141" s="21">
        <f>EXP(-LN(2)/2)*AW140+(1-EXP(-LN(2)/2))/(LN(2)/2)*AQ141*AT141*VLOOKUP('Données projet'!$B$10,Paramètres!$A$1:$I$89,3,0)*0.475*44/12</f>
        <v>6.257865446428584E-16</v>
      </c>
      <c r="AX141" s="21">
        <f t="shared" si="114"/>
        <v>1.8370461704937628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-4.9658410716801891E-14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268.31928207836495</v>
      </c>
      <c r="BJ141" s="59">
        <f t="shared" si="146"/>
        <v>277.61304526670204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0.24236444453926687</v>
      </c>
      <c r="BQ141" s="21">
        <f>EXP(-LN(2)/25)*BQ140+(1-EXP(-LN(2)/25))/(LN(2)/25)*Calculateur!BL141*Calculateur!BN141*VLOOKUP('Données projet'!$B$11,Paramètres!$A$1:$I$89,3,0)*0.475*44/12</f>
        <v>0.28196160841705176</v>
      </c>
      <c r="BR141" s="21">
        <f>EXP(-LN(2)/2)*BR140+(1-EXP(-LN(2)/2))/(LN(2)/2)*BL141*BO141*VLOOKUP('Données projet'!$B$11,Paramètres!$A$1:$I$89,3,0)*0.475*44/12</f>
        <v>4.5317118226895212E-16</v>
      </c>
      <c r="BS141" s="22">
        <f t="shared" si="117"/>
        <v>0.52432605295631907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2.2612312022829431E-14</v>
      </c>
      <c r="CA141" s="13">
        <f t="shared" si="147"/>
        <v>4.0387900716432995E-13</v>
      </c>
      <c r="CB141" s="20">
        <f t="shared" si="118"/>
        <v>7.4280571425096929E-13</v>
      </c>
      <c r="CC141" s="59">
        <f t="shared" si="119"/>
        <v>293.33333333333405</v>
      </c>
      <c r="CD141" s="59">
        <f ca="1">AVERAGE(OFFSET($CC$3,0,0,'Données projet'!$E$12+1,1))-AVERAGE(OFFSET($H$3,0,0,'Données projet'!$E$12+1,1))</f>
        <v>241.67556898455945</v>
      </c>
      <c r="CE141" s="59">
        <f t="shared" si="148"/>
        <v>237.71070965292648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0.74395521983406532</v>
      </c>
      <c r="CL141" s="21">
        <f>EXP(-LN(2)/25)*CL140+(1-EXP(-LN(2)/25))/(LN(2)/25)*Calculateur!CG141*Calculateur!CI141*VLOOKUP('Données projet'!$B$12,Paramètres!$A$1:$I$89,3,0)*0.475*44/12</f>
        <v>0.35425853520610362</v>
      </c>
      <c r="CM141" s="21">
        <f>EXP(-LN(2)/2)*CM140+(1-EXP(-LN(2)/2))/(LN(2)/2)*CG141*CJ141*VLOOKUP('Données projet'!$B$12,Paramètres!$A$1:$I$89,3,0)*0.475*44/12</f>
        <v>3.7174871793164152E-16</v>
      </c>
      <c r="CN141" s="22">
        <f t="shared" si="120"/>
        <v>1.0982137550401694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-2.2612312022829427E-13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405.40026823646758</v>
      </c>
      <c r="T142" s="59">
        <f t="shared" si="142"/>
        <v>393.0787141050053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1.9994673183433038</v>
      </c>
      <c r="AA142" s="21">
        <f>EXP(-LN(2)/25)*AA141+(1-EXP(-LN(2)/25))/(LN(2)/25)*Calculateur!V142*Calculateur!X142*VLOOKUP('Données projet'!$B$9,Paramètres!$A$1:$I$89,3,0)*0.475*44/12</f>
        <v>1.0070644176624373</v>
      </c>
      <c r="AB142" s="21">
        <f>EXP(-LN(2)/2)*AB141+(1-EXP(-LN(2)/2))/(LN(2)/2)*V142*Y142*VLOOKUP('Données projet'!$B$9,Paramètres!$A$1:$I$89,3,0)*0.475*44/12</f>
        <v>4.6434389459870553E-16</v>
      </c>
      <c r="AC142" s="22">
        <f t="shared" si="111"/>
        <v>3.0065317360057415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4.9658410716801891E-14</v>
      </c>
      <c r="AK142" s="13">
        <f t="shared" si="143"/>
        <v>8.0934058173791862E-13</v>
      </c>
      <c r="AL142" s="20">
        <f t="shared" si="112"/>
        <v>1.4960899118586383E-12</v>
      </c>
      <c r="AM142" s="59">
        <f t="shared" si="113"/>
        <v>293.33333333333479</v>
      </c>
      <c r="AN142" s="59">
        <f ca="1">AVERAGE(OFFSET($AM$3,0,0,'Données projet'!$E$10+1,1))-AVERAGE(OFFSET($H$3,0,0,'Données projet'!$E$10+1,1))</f>
        <v>304.32767345253382</v>
      </c>
      <c r="AO142" s="59">
        <f t="shared" si="144"/>
        <v>427.16091343339173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0.91169544655686696</v>
      </c>
      <c r="AV142" s="21">
        <f>EXP(-LN(2)/25)*AV141+(1-EXP(-LN(2)/25))/(LN(2)/25)*Calculateur!AQ142*Calculateur!AS142*VLOOKUP('Données projet'!$B$10,Paramètres!$A$1:$I$89,3,0)*0.475*44/12</f>
        <v>0.88231023081769633</v>
      </c>
      <c r="AW142" s="21">
        <f>EXP(-LN(2)/2)*AW141+(1-EXP(-LN(2)/2))/(LN(2)/2)*AQ142*AT142*VLOOKUP('Données projet'!$B$10,Paramètres!$A$1:$I$89,3,0)*0.475*44/12</f>
        <v>4.4249790929226335E-16</v>
      </c>
      <c r="AX142" s="21">
        <f t="shared" si="114"/>
        <v>1.7940056773745638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-4.9658410716801891E-14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268.31928207836495</v>
      </c>
      <c r="BJ142" s="59">
        <f t="shared" si="146"/>
        <v>277.61304526670204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0.23761182560956623</v>
      </c>
      <c r="BQ142" s="21">
        <f>EXP(-LN(2)/25)*BQ141+(1-EXP(-LN(2)/25))/(LN(2)/25)*Calculateur!BL142*Calculateur!BN142*VLOOKUP('Données projet'!$B$11,Paramètres!$A$1:$I$89,3,0)*0.475*44/12</f>
        <v>0.27425135340717094</v>
      </c>
      <c r="BR142" s="21">
        <f>EXP(-LN(2)/2)*BR141+(1-EXP(-LN(2)/2))/(LN(2)/2)*BL142*BO142*VLOOKUP('Données projet'!$B$11,Paramètres!$A$1:$I$89,3,0)*0.475*44/12</f>
        <v>3.2044041602070097E-16</v>
      </c>
      <c r="BS142" s="22">
        <f t="shared" si="117"/>
        <v>0.5118631790167375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2.2612312022829431E-14</v>
      </c>
      <c r="CA142" s="13">
        <f t="shared" si="147"/>
        <v>4.0387900716432995E-13</v>
      </c>
      <c r="CB142" s="20">
        <f t="shared" si="118"/>
        <v>7.4280571425096929E-13</v>
      </c>
      <c r="CC142" s="59">
        <f t="shared" si="119"/>
        <v>293.33333333333405</v>
      </c>
      <c r="CD142" s="59">
        <f ca="1">AVERAGE(OFFSET($CC$3,0,0,'Données projet'!$E$12+1,1))-AVERAGE(OFFSET($H$3,0,0,'Données projet'!$E$12+1,1))</f>
        <v>241.67556898455945</v>
      </c>
      <c r="CE142" s="59">
        <f t="shared" si="148"/>
        <v>237.71070965292648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0.72936671174099754</v>
      </c>
      <c r="CL142" s="21">
        <f>EXP(-LN(2)/25)*CL141+(1-EXP(-LN(2)/25))/(LN(2)/25)*Calculateur!CG142*Calculateur!CI142*VLOOKUP('Données projet'!$B$12,Paramètres!$A$1:$I$89,3,0)*0.475*44/12</f>
        <v>0.34457131693124604</v>
      </c>
      <c r="CM142" s="21">
        <f>EXP(-LN(2)/2)*CM141+(1-EXP(-LN(2)/2))/(LN(2)/2)*CG142*CJ142*VLOOKUP('Données projet'!$B$12,Paramètres!$A$1:$I$89,3,0)*0.475*44/12</f>
        <v>2.6286603934686882E-16</v>
      </c>
      <c r="CN142" s="22">
        <f t="shared" si="120"/>
        <v>1.0739380286722437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-2.2612312022829427E-13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405.40026823646758</v>
      </c>
      <c r="T143" s="59">
        <f t="shared" si="142"/>
        <v>393.0787141050053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1.9602589837852349</v>
      </c>
      <c r="AA143" s="21">
        <f>EXP(-LN(2)/25)*AA142+(1-EXP(-LN(2)/25))/(LN(2)/25)*Calculateur!V143*Calculateur!X143*VLOOKUP('Données projet'!$B$9,Paramètres!$A$1:$I$89,3,0)*0.475*44/12</f>
        <v>0.97952618820224191</v>
      </c>
      <c r="AB143" s="21">
        <f>EXP(-LN(2)/2)*AB142+(1-EXP(-LN(2)/2))/(LN(2)/2)*V143*Y143*VLOOKUP('Données projet'!$B$9,Paramètres!$A$1:$I$89,3,0)*0.475*44/12</f>
        <v>3.2834071667331617E-16</v>
      </c>
      <c r="AC143" s="22">
        <f t="shared" si="111"/>
        <v>2.9397851719874772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4.9658410716801891E-14</v>
      </c>
      <c r="AK143" s="13">
        <f t="shared" si="143"/>
        <v>8.0934058173791862E-13</v>
      </c>
      <c r="AL143" s="20">
        <f t="shared" si="112"/>
        <v>1.4960899118586383E-12</v>
      </c>
      <c r="AM143" s="59">
        <f t="shared" si="113"/>
        <v>293.33333333333479</v>
      </c>
      <c r="AN143" s="59">
        <f ca="1">AVERAGE(OFFSET($AM$3,0,0,'Données projet'!$E$10+1,1))-AVERAGE(OFFSET($H$3,0,0,'Données projet'!$E$10+1,1))</f>
        <v>304.32767345253382</v>
      </c>
      <c r="AO143" s="59">
        <f t="shared" si="144"/>
        <v>427.16091343339173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0.89381765492920096</v>
      </c>
      <c r="AV143" s="21">
        <f>EXP(-LN(2)/25)*AV142+(1-EXP(-LN(2)/25))/(LN(2)/25)*Calculateur!AQ143*Calculateur!AS143*VLOOKUP('Données projet'!$B$10,Paramètres!$A$1:$I$89,3,0)*0.475*44/12</f>
        <v>0.8581834111573079</v>
      </c>
      <c r="AW143" s="21">
        <f>EXP(-LN(2)/2)*AW142+(1-EXP(-LN(2)/2))/(LN(2)/2)*AQ143*AT143*VLOOKUP('Données projet'!$B$10,Paramètres!$A$1:$I$89,3,0)*0.475*44/12</f>
        <v>3.1289327232142925E-16</v>
      </c>
      <c r="AX143" s="21">
        <f t="shared" si="114"/>
        <v>1.7520010660865091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-4.9658410716801891E-14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268.31928207836495</v>
      </c>
      <c r="BJ143" s="59">
        <f t="shared" si="146"/>
        <v>277.61304526670204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0.23295240263826572</v>
      </c>
      <c r="BQ143" s="21">
        <f>EXP(-LN(2)/25)*BQ142+(1-EXP(-LN(2)/25))/(LN(2)/25)*Calculateur!BL143*Calculateur!BN143*VLOOKUP('Données projet'!$B$11,Paramètres!$A$1:$I$89,3,0)*0.475*44/12</f>
        <v>0.26675193572599998</v>
      </c>
      <c r="BR143" s="21">
        <f>EXP(-LN(2)/2)*BR142+(1-EXP(-LN(2)/2))/(LN(2)/2)*BL143*BO143*VLOOKUP('Données projet'!$B$11,Paramètres!$A$1:$I$89,3,0)*0.475*44/12</f>
        <v>2.2658559113447606E-16</v>
      </c>
      <c r="BS143" s="22">
        <f t="shared" si="117"/>
        <v>0.49970433836426592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2.2612312022829431E-14</v>
      </c>
      <c r="CA143" s="13">
        <f t="shared" si="147"/>
        <v>4.0387900716432995E-13</v>
      </c>
      <c r="CB143" s="20">
        <f t="shared" si="118"/>
        <v>7.4280571425096929E-13</v>
      </c>
      <c r="CC143" s="59">
        <f t="shared" si="119"/>
        <v>293.33333333333405</v>
      </c>
      <c r="CD143" s="59">
        <f ca="1">AVERAGE(OFFSET($CC$3,0,0,'Données projet'!$E$12+1,1))-AVERAGE(OFFSET($H$3,0,0,'Données projet'!$E$12+1,1))</f>
        <v>241.67556898455945</v>
      </c>
      <c r="CE143" s="59">
        <f t="shared" si="148"/>
        <v>237.71070965292648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0.71506427539352346</v>
      </c>
      <c r="CL143" s="21">
        <f>EXP(-LN(2)/25)*CL142+(1-EXP(-LN(2)/25))/(LN(2)/25)*Calculateur!CG143*Calculateur!CI143*VLOOKUP('Données projet'!$B$12,Paramètres!$A$1:$I$89,3,0)*0.475*44/12</f>
        <v>0.33514899614954308</v>
      </c>
      <c r="CM143" s="21">
        <f>EXP(-LN(2)/2)*CM142+(1-EXP(-LN(2)/2))/(LN(2)/2)*CG143*CJ143*VLOOKUP('Données projet'!$B$12,Paramètres!$A$1:$I$89,3,0)*0.475*44/12</f>
        <v>1.8587435896582076E-16</v>
      </c>
      <c r="CN143" s="22">
        <f t="shared" si="120"/>
        <v>1.0502132715430668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-2.2612312022829427E-13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405.40026823646758</v>
      </c>
      <c r="T144" s="59">
        <f t="shared" si="142"/>
        <v>393.0787141050053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1.9218195007531269</v>
      </c>
      <c r="AA144" s="21">
        <f>EXP(-LN(2)/25)*AA143+(1-EXP(-LN(2)/25))/(LN(2)/25)*Calculateur!V144*Calculateur!X144*VLOOKUP('Données projet'!$B$9,Paramètres!$A$1:$I$89,3,0)*0.475*44/12</f>
        <v>0.95274099307480808</v>
      </c>
      <c r="AB144" s="21">
        <f>EXP(-LN(2)/2)*AB143+(1-EXP(-LN(2)/2))/(LN(2)/2)*V144*Y144*VLOOKUP('Données projet'!$B$9,Paramètres!$A$1:$I$89,3,0)*0.475*44/12</f>
        <v>2.3217194729935276E-16</v>
      </c>
      <c r="AC144" s="22">
        <f t="shared" si="111"/>
        <v>2.8745604938279352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4.9658410716801891E-14</v>
      </c>
      <c r="AK144" s="13">
        <f t="shared" si="143"/>
        <v>8.0934058173791862E-13</v>
      </c>
      <c r="AL144" s="20">
        <f t="shared" si="112"/>
        <v>1.4960899118586383E-12</v>
      </c>
      <c r="AM144" s="59">
        <f t="shared" si="113"/>
        <v>293.33333333333479</v>
      </c>
      <c r="AN144" s="59">
        <f ca="1">AVERAGE(OFFSET($AM$3,0,0,'Données projet'!$E$10+1,1))-AVERAGE(OFFSET($H$3,0,0,'Données projet'!$E$10+1,1))</f>
        <v>304.32767345253382</v>
      </c>
      <c r="AO144" s="59">
        <f t="shared" si="144"/>
        <v>427.16091343339173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0.87629043589097733</v>
      </c>
      <c r="AV144" s="21">
        <f>EXP(-LN(2)/25)*AV143+(1-EXP(-LN(2)/25))/(LN(2)/25)*Calculateur!AQ144*Calculateur!AS144*VLOOKUP('Données projet'!$B$10,Paramètres!$A$1:$I$89,3,0)*0.475*44/12</f>
        <v>0.83471634064930711</v>
      </c>
      <c r="AW144" s="21">
        <f>EXP(-LN(2)/2)*AW143+(1-EXP(-LN(2)/2))/(LN(2)/2)*AQ144*AT144*VLOOKUP('Données projet'!$B$10,Paramètres!$A$1:$I$89,3,0)*0.475*44/12</f>
        <v>2.212489546461317E-16</v>
      </c>
      <c r="AX144" s="21">
        <f t="shared" si="114"/>
        <v>1.7110067765402845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-4.9658410716801891E-14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268.31928207836495</v>
      </c>
      <c r="BJ144" s="59">
        <f t="shared" si="146"/>
        <v>277.61304526670204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0.22838434810946501</v>
      </c>
      <c r="BQ144" s="21">
        <f>EXP(-LN(2)/25)*BQ143+(1-EXP(-LN(2)/25))/(LN(2)/25)*Calculateur!BL144*Calculateur!BN144*VLOOKUP('Données projet'!$B$11,Paramètres!$A$1:$I$89,3,0)*0.475*44/12</f>
        <v>0.2594575900156979</v>
      </c>
      <c r="BR144" s="21">
        <f>EXP(-LN(2)/2)*BR143+(1-EXP(-LN(2)/2))/(LN(2)/2)*BL144*BO144*VLOOKUP('Données projet'!$B$11,Paramètres!$A$1:$I$89,3,0)*0.475*44/12</f>
        <v>1.6022020801035049E-16</v>
      </c>
      <c r="BS144" s="22">
        <f t="shared" si="117"/>
        <v>0.48784193812516308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2.2612312022829431E-14</v>
      </c>
      <c r="CA144" s="13">
        <f t="shared" si="147"/>
        <v>4.0387900716432995E-13</v>
      </c>
      <c r="CB144" s="20">
        <f t="shared" si="118"/>
        <v>7.4280571425096929E-13</v>
      </c>
      <c r="CC144" s="59">
        <f t="shared" si="119"/>
        <v>293.33333333333405</v>
      </c>
      <c r="CD144" s="59">
        <f ca="1">AVERAGE(OFFSET($CC$3,0,0,'Données projet'!$E$12+1,1))-AVERAGE(OFFSET($H$3,0,0,'Données projet'!$E$12+1,1))</f>
        <v>241.67556898455945</v>
      </c>
      <c r="CE144" s="59">
        <f t="shared" si="148"/>
        <v>237.71070965292648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0.70104230109919863</v>
      </c>
      <c r="CL144" s="21">
        <f>EXP(-LN(2)/25)*CL143+(1-EXP(-LN(2)/25))/(LN(2)/25)*Calculateur!CG144*Calculateur!CI144*VLOOKUP('Données projet'!$B$12,Paramètres!$A$1:$I$89,3,0)*0.475*44/12</f>
        <v>0.32598432922511411</v>
      </c>
      <c r="CM144" s="21">
        <f>EXP(-LN(2)/2)*CM143+(1-EXP(-LN(2)/2))/(LN(2)/2)*CG144*CJ144*VLOOKUP('Données projet'!$B$12,Paramètres!$A$1:$I$89,3,0)*0.475*44/12</f>
        <v>1.3143301967343441E-16</v>
      </c>
      <c r="CN144" s="22">
        <f t="shared" si="120"/>
        <v>1.027026630324313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-2.2612312022829427E-13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405.40026823646758</v>
      </c>
      <c r="T145" s="59">
        <f t="shared" si="142"/>
        <v>393.0787141050053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1.884133792537509</v>
      </c>
      <c r="AA145" s="21">
        <f>EXP(-LN(2)/25)*AA144+(1-EXP(-LN(2)/25))/(LN(2)/25)*Calculateur!V145*Calculateur!X145*VLOOKUP('Données projet'!$B$9,Paramètres!$A$1:$I$89,3,0)*0.475*44/12</f>
        <v>0.92668824051670617</v>
      </c>
      <c r="AB145" s="21">
        <f>EXP(-LN(2)/2)*AB144+(1-EXP(-LN(2)/2))/(LN(2)/2)*V145*Y145*VLOOKUP('Données projet'!$B$9,Paramètres!$A$1:$I$89,3,0)*0.475*44/12</f>
        <v>1.6417035833665808E-16</v>
      </c>
      <c r="AC145" s="22">
        <f t="shared" si="111"/>
        <v>2.8108220330542153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4.9658410716801891E-14</v>
      </c>
      <c r="AK145" s="13">
        <f t="shared" si="143"/>
        <v>8.0934058173791862E-13</v>
      </c>
      <c r="AL145" s="20">
        <f t="shared" si="112"/>
        <v>1.4960899118586383E-12</v>
      </c>
      <c r="AM145" s="59">
        <f t="shared" si="113"/>
        <v>293.33333333333479</v>
      </c>
      <c r="AN145" s="59">
        <f ca="1">AVERAGE(OFFSET($AM$3,0,0,'Données projet'!$E$10+1,1))-AVERAGE(OFFSET($H$3,0,0,'Données projet'!$E$10+1,1))</f>
        <v>304.32767345253382</v>
      </c>
      <c r="AO145" s="59">
        <f t="shared" si="144"/>
        <v>427.16091343339173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0.85910691492754521</v>
      </c>
      <c r="AV145" s="21">
        <f>EXP(-LN(2)/25)*AV144+(1-EXP(-LN(2)/25))/(LN(2)/25)*Calculateur!AQ145*Calculateur!AS145*VLOOKUP('Données projet'!$B$10,Paramètres!$A$1:$I$89,3,0)*0.475*44/12</f>
        <v>0.81189097841842717</v>
      </c>
      <c r="AW145" s="21">
        <f>EXP(-LN(2)/2)*AW144+(1-EXP(-LN(2)/2))/(LN(2)/2)*AQ145*AT145*VLOOKUP('Données projet'!$B$10,Paramètres!$A$1:$I$89,3,0)*0.475*44/12</f>
        <v>1.5644663616071465E-16</v>
      </c>
      <c r="AX145" s="21">
        <f t="shared" si="114"/>
        <v>1.6709978933459726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-4.9658410716801891E-14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268.31928207836495</v>
      </c>
      <c r="BJ145" s="59">
        <f t="shared" si="146"/>
        <v>277.61304526670204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0.22390587034373594</v>
      </c>
      <c r="BQ145" s="21">
        <f>EXP(-LN(2)/25)*BQ144+(1-EXP(-LN(2)/25))/(LN(2)/25)*Calculateur!BL145*Calculateur!BN145*VLOOKUP('Données projet'!$B$11,Paramètres!$A$1:$I$89,3,0)*0.475*44/12</f>
        <v>0.25236270857243698</v>
      </c>
      <c r="BR145" s="21">
        <f>EXP(-LN(2)/2)*BR144+(1-EXP(-LN(2)/2))/(LN(2)/2)*BL145*BO145*VLOOKUP('Données projet'!$B$11,Paramètres!$A$1:$I$89,3,0)*0.475*44/12</f>
        <v>1.1329279556723803E-16</v>
      </c>
      <c r="BS145" s="22">
        <f t="shared" si="117"/>
        <v>0.47626857891617302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2.2612312022829431E-14</v>
      </c>
      <c r="CA145" s="13">
        <f t="shared" si="147"/>
        <v>4.0387900716432995E-13</v>
      </c>
      <c r="CB145" s="20">
        <f t="shared" si="118"/>
        <v>7.4280571425096929E-13</v>
      </c>
      <c r="CC145" s="59">
        <f t="shared" si="119"/>
        <v>293.33333333333405</v>
      </c>
      <c r="CD145" s="59">
        <f ca="1">AVERAGE(OFFSET($CC$3,0,0,'Données projet'!$E$12+1,1))-AVERAGE(OFFSET($H$3,0,0,'Données projet'!$E$12+1,1))</f>
        <v>241.67556898455945</v>
      </c>
      <c r="CE145" s="59">
        <f t="shared" si="148"/>
        <v>237.71070965292648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0.68729528916822569</v>
      </c>
      <c r="CL145" s="21">
        <f>EXP(-LN(2)/25)*CL144+(1-EXP(-LN(2)/25))/(LN(2)/25)*Calculateur!CG145*Calculateur!CI145*VLOOKUP('Données projet'!$B$12,Paramètres!$A$1:$I$89,3,0)*0.475*44/12</f>
        <v>0.31707027059968251</v>
      </c>
      <c r="CM145" s="21">
        <f>EXP(-LN(2)/2)*CM144+(1-EXP(-LN(2)/2))/(LN(2)/2)*CG145*CJ145*VLOOKUP('Données projet'!$B$12,Paramètres!$A$1:$I$89,3,0)*0.475*44/12</f>
        <v>9.2937179482910381E-17</v>
      </c>
      <c r="CN145" s="22">
        <f t="shared" si="120"/>
        <v>1.0043655597679082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-2.2612312022829427E-13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405.40026823646758</v>
      </c>
      <c r="T146" s="59">
        <f t="shared" si="142"/>
        <v>393.0787141050053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1.847187078073987</v>
      </c>
      <c r="AA146" s="21">
        <f>EXP(-LN(2)/25)*AA145+(1-EXP(-LN(2)/25))/(LN(2)/25)*Calculateur!V146*Calculateur!X146*VLOOKUP('Données projet'!$B$9,Paramètres!$A$1:$I$89,3,0)*0.475*44/12</f>
        <v>0.90134790184736024</v>
      </c>
      <c r="AB146" s="21">
        <f>EXP(-LN(2)/2)*AB145+(1-EXP(-LN(2)/2))/(LN(2)/2)*V146*Y146*VLOOKUP('Données projet'!$B$9,Paramètres!$A$1:$I$89,3,0)*0.475*44/12</f>
        <v>1.1608597364967638E-16</v>
      </c>
      <c r="AC146" s="22">
        <f t="shared" si="111"/>
        <v>2.748534979921347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4.9658410716801891E-14</v>
      </c>
      <c r="AK146" s="13">
        <f t="shared" si="143"/>
        <v>8.0934058173791862E-13</v>
      </c>
      <c r="AL146" s="20">
        <f t="shared" si="112"/>
        <v>1.4960899118586383E-12</v>
      </c>
      <c r="AM146" s="59">
        <f t="shared" si="113"/>
        <v>293.33333333333479</v>
      </c>
      <c r="AN146" s="59">
        <f ca="1">AVERAGE(OFFSET($AM$3,0,0,'Données projet'!$E$10+1,1))-AVERAGE(OFFSET($H$3,0,0,'Données projet'!$E$10+1,1))</f>
        <v>304.32767345253382</v>
      </c>
      <c r="AO146" s="59">
        <f t="shared" si="144"/>
        <v>427.16091343339173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0.84226035232929308</v>
      </c>
      <c r="AV146" s="21">
        <f>EXP(-LN(2)/25)*AV145+(1-EXP(-LN(2)/25))/(LN(2)/25)*Calculateur!AQ146*Calculateur!AS146*VLOOKUP('Données projet'!$B$10,Paramètres!$A$1:$I$89,3,0)*0.475*44/12</f>
        <v>0.78968977691808429</v>
      </c>
      <c r="AW146" s="21">
        <f>EXP(-LN(2)/2)*AW145+(1-EXP(-LN(2)/2))/(LN(2)/2)*AQ146*AT146*VLOOKUP('Données projet'!$B$10,Paramètres!$A$1:$I$89,3,0)*0.475*44/12</f>
        <v>1.1062447732306588E-16</v>
      </c>
      <c r="AX146" s="21">
        <f t="shared" si="114"/>
        <v>1.6319501292473775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-4.9658410716801891E-14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268.31928207836495</v>
      </c>
      <c r="BJ146" s="59">
        <f t="shared" si="146"/>
        <v>277.61304526670204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0.2195152127953911</v>
      </c>
      <c r="BQ146" s="21">
        <f>EXP(-LN(2)/25)*BQ145+(1-EXP(-LN(2)/25))/(LN(2)/25)*Calculateur!BL146*Calculateur!BN146*VLOOKUP('Données projet'!$B$11,Paramètres!$A$1:$I$89,3,0)*0.475*44/12</f>
        <v>0.24546183703534563</v>
      </c>
      <c r="BR146" s="21">
        <f>EXP(-LN(2)/2)*BR145+(1-EXP(-LN(2)/2))/(LN(2)/2)*BL146*BO146*VLOOKUP('Données projet'!$B$11,Paramètres!$A$1:$I$89,3,0)*0.475*44/12</f>
        <v>8.0110104005175243E-17</v>
      </c>
      <c r="BS146" s="22">
        <f t="shared" si="117"/>
        <v>0.46497704983073679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2.2612312022829431E-14</v>
      </c>
      <c r="CA146" s="13">
        <f t="shared" si="147"/>
        <v>4.0387900716432995E-13</v>
      </c>
      <c r="CB146" s="20">
        <f t="shared" si="118"/>
        <v>7.4280571425096929E-13</v>
      </c>
      <c r="CC146" s="59">
        <f t="shared" si="119"/>
        <v>293.33333333333405</v>
      </c>
      <c r="CD146" s="59">
        <f ca="1">AVERAGE(OFFSET($CC$3,0,0,'Données projet'!$E$12+1,1))-AVERAGE(OFFSET($H$3,0,0,'Données projet'!$E$12+1,1))</f>
        <v>241.67556898455945</v>
      </c>
      <c r="CE146" s="59">
        <f t="shared" si="148"/>
        <v>237.71070965292648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0.67381784775636977</v>
      </c>
      <c r="CL146" s="21">
        <f>EXP(-LN(2)/25)*CL145+(1-EXP(-LN(2)/25))/(LN(2)/25)*Calculateur!CG146*Calculateur!CI146*VLOOKUP('Données projet'!$B$12,Paramètres!$A$1:$I$89,3,0)*0.475*44/12</f>
        <v>0.30839996737613334</v>
      </c>
      <c r="CM146" s="21">
        <f>EXP(-LN(2)/2)*CM145+(1-EXP(-LN(2)/2))/(LN(2)/2)*CG146*CJ146*VLOOKUP('Données projet'!$B$12,Paramètres!$A$1:$I$89,3,0)*0.475*44/12</f>
        <v>6.5716509836717205E-17</v>
      </c>
      <c r="CN146" s="22">
        <f t="shared" si="120"/>
        <v>0.98221781513250328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-2.2612312022829427E-13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405.40026823646758</v>
      </c>
      <c r="T147" s="59">
        <f t="shared" si="142"/>
        <v>393.0787141050053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1.810964866145824</v>
      </c>
      <c r="AA147" s="21">
        <f>EXP(-LN(2)/25)*AA146+(1-EXP(-LN(2)/25))/(LN(2)/25)*Calculateur!V147*Calculateur!X147*VLOOKUP('Données projet'!$B$9,Paramètres!$A$1:$I$89,3,0)*0.475*44/12</f>
        <v>0.87670049607151812</v>
      </c>
      <c r="AB147" s="21">
        <f>EXP(-LN(2)/2)*AB146+(1-EXP(-LN(2)/2))/(LN(2)/2)*V147*Y147*VLOOKUP('Données projet'!$B$9,Paramètres!$A$1:$I$89,3,0)*0.475*44/12</f>
        <v>8.2085179168329042E-17</v>
      </c>
      <c r="AC147" s="22">
        <f t="shared" si="111"/>
        <v>2.6876653622173423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4.9658410716801891E-14</v>
      </c>
      <c r="AK147" s="13">
        <f t="shared" si="143"/>
        <v>8.0934058173791862E-13</v>
      </c>
      <c r="AL147" s="20">
        <f t="shared" si="112"/>
        <v>1.4960899118586383E-12</v>
      </c>
      <c r="AM147" s="59">
        <f t="shared" si="113"/>
        <v>293.33333333333479</v>
      </c>
      <c r="AN147" s="59">
        <f ca="1">AVERAGE(OFFSET($AM$3,0,0,'Données projet'!$E$10+1,1))-AVERAGE(OFFSET($H$3,0,0,'Données projet'!$E$10+1,1))</f>
        <v>304.32767345253382</v>
      </c>
      <c r="AO147" s="59">
        <f t="shared" si="144"/>
        <v>427.16091343339173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0.82574414054820411</v>
      </c>
      <c r="AV147" s="21">
        <f>EXP(-LN(2)/25)*AV146+(1-EXP(-LN(2)/25))/(LN(2)/25)*Calculateur!AQ147*Calculateur!AS147*VLOOKUP('Données projet'!$B$10,Paramètres!$A$1:$I$89,3,0)*0.475*44/12</f>
        <v>0.76809566844027877</v>
      </c>
      <c r="AW147" s="21">
        <f>EXP(-LN(2)/2)*AW146+(1-EXP(-LN(2)/2))/(LN(2)/2)*AQ147*AT147*VLOOKUP('Données projet'!$B$10,Paramètres!$A$1:$I$89,3,0)*0.475*44/12</f>
        <v>7.8223318080357337E-17</v>
      </c>
      <c r="AX147" s="21">
        <f t="shared" si="114"/>
        <v>1.5938398089884829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-4.9658410716801891E-14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268.31928207836495</v>
      </c>
      <c r="BJ147" s="59">
        <f t="shared" si="146"/>
        <v>277.61304526670204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0.21521065336353265</v>
      </c>
      <c r="BQ147" s="21">
        <f>EXP(-LN(2)/25)*BQ146+(1-EXP(-LN(2)/25))/(LN(2)/25)*Calculateur!BL147*Calculateur!BN147*VLOOKUP('Données projet'!$B$11,Paramètres!$A$1:$I$89,3,0)*0.475*44/12</f>
        <v>0.23874967019333709</v>
      </c>
      <c r="BR147" s="21">
        <f>EXP(-LN(2)/2)*BR146+(1-EXP(-LN(2)/2))/(LN(2)/2)*BL147*BO147*VLOOKUP('Données projet'!$B$11,Paramètres!$A$1:$I$89,3,0)*0.475*44/12</f>
        <v>5.6646397783619015E-17</v>
      </c>
      <c r="BS147" s="22">
        <f t="shared" si="117"/>
        <v>0.45396032355686983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2.2612312022829431E-14</v>
      </c>
      <c r="CA147" s="13">
        <f t="shared" si="147"/>
        <v>4.0387900716432995E-13</v>
      </c>
      <c r="CB147" s="20">
        <f t="shared" si="118"/>
        <v>7.4280571425096929E-13</v>
      </c>
      <c r="CC147" s="59">
        <f t="shared" si="119"/>
        <v>293.33333333333405</v>
      </c>
      <c r="CD147" s="59">
        <f ca="1">AVERAGE(OFFSET($CC$3,0,0,'Données projet'!$E$12+1,1))-AVERAGE(OFFSET($H$3,0,0,'Données projet'!$E$12+1,1))</f>
        <v>241.67556898455945</v>
      </c>
      <c r="CE147" s="59">
        <f t="shared" si="148"/>
        <v>237.71070965292648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0.66060469075017281</v>
      </c>
      <c r="CL147" s="21">
        <f>EXP(-LN(2)/25)*CL146+(1-EXP(-LN(2)/25))/(LN(2)/25)*Calculateur!CG147*Calculateur!CI147*VLOOKUP('Données projet'!$B$12,Paramètres!$A$1:$I$89,3,0)*0.475*44/12</f>
        <v>0.29996675405018353</v>
      </c>
      <c r="CM147" s="21">
        <f>EXP(-LN(2)/2)*CM146+(1-EXP(-LN(2)/2))/(LN(2)/2)*CG147*CJ147*VLOOKUP('Données projet'!$B$12,Paramètres!$A$1:$I$89,3,0)*0.475*44/12</f>
        <v>4.6468589741455191E-17</v>
      </c>
      <c r="CN147" s="22">
        <f t="shared" si="120"/>
        <v>0.96057144480035639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-2.2612312022829427E-13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405.40026823646758</v>
      </c>
      <c r="T148" s="59">
        <f t="shared" si="142"/>
        <v>393.0787141050053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1.7754529497002045</v>
      </c>
      <c r="AA148" s="21">
        <f>EXP(-LN(2)/25)*AA147+(1-EXP(-LN(2)/25))/(LN(2)/25)*Calculateur!V148*Calculateur!X148*VLOOKUP('Données projet'!$B$9,Paramètres!$A$1:$I$89,3,0)*0.475*44/12</f>
        <v>0.85272707490276711</v>
      </c>
      <c r="AB148" s="21">
        <f>EXP(-LN(2)/2)*AB147+(1-EXP(-LN(2)/2))/(LN(2)/2)*V148*Y148*VLOOKUP('Données projet'!$B$9,Paramètres!$A$1:$I$89,3,0)*0.475*44/12</f>
        <v>5.8042986824838191E-17</v>
      </c>
      <c r="AC148" s="22">
        <f t="shared" si="111"/>
        <v>2.6281800246029716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4.9658410716801891E-14</v>
      </c>
      <c r="AK148" s="13">
        <f t="shared" si="143"/>
        <v>8.0934058173791862E-13</v>
      </c>
      <c r="AL148" s="20">
        <f t="shared" si="112"/>
        <v>1.4960899118586383E-12</v>
      </c>
      <c r="AM148" s="59">
        <f t="shared" si="113"/>
        <v>293.33333333333479</v>
      </c>
      <c r="AN148" s="59">
        <f ca="1">AVERAGE(OFFSET($AM$3,0,0,'Données projet'!$E$10+1,1))-AVERAGE(OFFSET($H$3,0,0,'Données projet'!$E$10+1,1))</f>
        <v>304.32767345253382</v>
      </c>
      <c r="AO148" s="59">
        <f t="shared" si="144"/>
        <v>427.16091343339173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0.80955180160624785</v>
      </c>
      <c r="AV148" s="21">
        <f>EXP(-LN(2)/25)*AV147+(1-EXP(-LN(2)/25))/(LN(2)/25)*Calculateur!AQ148*Calculateur!AS148*VLOOKUP('Données projet'!$B$10,Paramètres!$A$1:$I$89,3,0)*0.475*44/12</f>
        <v>0.74709205199438367</v>
      </c>
      <c r="AW148" s="21">
        <f>EXP(-LN(2)/2)*AW147+(1-EXP(-LN(2)/2))/(LN(2)/2)*AQ148*AT148*VLOOKUP('Données projet'!$B$10,Paramètres!$A$1:$I$89,3,0)*0.475*44/12</f>
        <v>5.5312238661532944E-17</v>
      </c>
      <c r="AX148" s="21">
        <f t="shared" si="114"/>
        <v>1.5566438536006315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-4.9658410716801891E-14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268.31928207836495</v>
      </c>
      <c r="BJ148" s="59">
        <f t="shared" si="146"/>
        <v>277.61304526670204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0.21099050371661093</v>
      </c>
      <c r="BQ148" s="21">
        <f>EXP(-LN(2)/25)*BQ147+(1-EXP(-LN(2)/25))/(LN(2)/25)*Calculateur!BL148*Calculateur!BN148*VLOOKUP('Données projet'!$B$11,Paramètres!$A$1:$I$89,3,0)*0.475*44/12</f>
        <v>0.23222104790660081</v>
      </c>
      <c r="BR148" s="21">
        <f>EXP(-LN(2)/2)*BR147+(1-EXP(-LN(2)/2))/(LN(2)/2)*BL148*BO148*VLOOKUP('Données projet'!$B$11,Paramètres!$A$1:$I$89,3,0)*0.475*44/12</f>
        <v>4.0055052002587622E-17</v>
      </c>
      <c r="BS148" s="22">
        <f t="shared" si="117"/>
        <v>0.4432115516232118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2.2612312022829431E-14</v>
      </c>
      <c r="CA148" s="13">
        <f t="shared" si="147"/>
        <v>4.0387900716432995E-13</v>
      </c>
      <c r="CB148" s="20">
        <f t="shared" si="118"/>
        <v>7.4280571425096929E-13</v>
      </c>
      <c r="CC148" s="59">
        <f t="shared" si="119"/>
        <v>293.33333333333405</v>
      </c>
      <c r="CD148" s="59">
        <f ca="1">AVERAGE(OFFSET($CC$3,0,0,'Données projet'!$E$12+1,1))-AVERAGE(OFFSET($H$3,0,0,'Données projet'!$E$12+1,1))</f>
        <v>241.67556898455945</v>
      </c>
      <c r="CE148" s="59">
        <f t="shared" si="148"/>
        <v>237.71070965292648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0.64765063569363734</v>
      </c>
      <c r="CL148" s="21">
        <f>EXP(-LN(2)/25)*CL147+(1-EXP(-LN(2)/25))/(LN(2)/25)*Calculateur!CG148*Calculateur!CI148*VLOOKUP('Données projet'!$B$12,Paramètres!$A$1:$I$89,3,0)*0.475*44/12</f>
        <v>0.29176414738611522</v>
      </c>
      <c r="CM148" s="21">
        <f>EXP(-LN(2)/2)*CM147+(1-EXP(-LN(2)/2))/(LN(2)/2)*CG148*CJ148*VLOOKUP('Données projet'!$B$12,Paramètres!$A$1:$I$89,3,0)*0.475*44/12</f>
        <v>3.2858254918358602E-17</v>
      </c>
      <c r="CN148" s="22">
        <f t="shared" si="120"/>
        <v>0.93941478307975257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-2.2612312022829427E-13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405.40026823646758</v>
      </c>
      <c r="T149" s="59">
        <f t="shared" si="142"/>
        <v>393.0787141050053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1.7406374002759535</v>
      </c>
      <c r="AA149" s="21">
        <f>EXP(-LN(2)/25)*AA148+(1-EXP(-LN(2)/25))/(LN(2)/25)*Calculateur!V149*Calculateur!X149*VLOOKUP('Données projet'!$B$9,Paramètres!$A$1:$I$89,3,0)*0.475*44/12</f>
        <v>0.82940920819658304</v>
      </c>
      <c r="AB149" s="21">
        <f>EXP(-LN(2)/2)*AB148+(1-EXP(-LN(2)/2))/(LN(2)/2)*V149*Y149*VLOOKUP('Données projet'!$B$9,Paramètres!$A$1:$I$89,3,0)*0.475*44/12</f>
        <v>4.1042589584164521E-17</v>
      </c>
      <c r="AC149" s="22">
        <f t="shared" si="111"/>
        <v>2.5700466084725364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4.9658410716801891E-14</v>
      </c>
      <c r="AK149" s="13">
        <f t="shared" si="143"/>
        <v>8.0934058173791862E-13</v>
      </c>
      <c r="AL149" s="20">
        <f t="shared" si="112"/>
        <v>1.4960899118586383E-12</v>
      </c>
      <c r="AM149" s="59">
        <f t="shared" si="113"/>
        <v>293.33333333333479</v>
      </c>
      <c r="AN149" s="59">
        <f ca="1">AVERAGE(OFFSET($AM$3,0,0,'Données projet'!$E$10+1,1))-AVERAGE(OFFSET($H$3,0,0,'Données projet'!$E$10+1,1))</f>
        <v>304.32767345253382</v>
      </c>
      <c r="AO149" s="59">
        <f t="shared" si="144"/>
        <v>427.16091343339173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0.79367698455459179</v>
      </c>
      <c r="AV149" s="21">
        <f>EXP(-LN(2)/25)*AV148+(1-EXP(-LN(2)/25))/(LN(2)/25)*Calculateur!AQ149*Calculateur!AS149*VLOOKUP('Données projet'!$B$10,Paramètres!$A$1:$I$89,3,0)*0.475*44/12</f>
        <v>0.72666278054473377</v>
      </c>
      <c r="AW149" s="21">
        <f>EXP(-LN(2)/2)*AW148+(1-EXP(-LN(2)/2))/(LN(2)/2)*AQ149*AT149*VLOOKUP('Données projet'!$B$10,Paramètres!$A$1:$I$89,3,0)*0.475*44/12</f>
        <v>3.9111659040178675E-17</v>
      </c>
      <c r="AX149" s="21">
        <f t="shared" si="114"/>
        <v>1.5203397650993256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-4.9658410716801891E-14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268.31928207836495</v>
      </c>
      <c r="BJ149" s="59">
        <f t="shared" si="146"/>
        <v>277.61304526670204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0.20685310863022824</v>
      </c>
      <c r="BQ149" s="21">
        <f>EXP(-LN(2)/25)*BQ148+(1-EXP(-LN(2)/25))/(LN(2)/25)*Calculateur!BL149*Calculateur!BN149*VLOOKUP('Données projet'!$B$11,Paramètres!$A$1:$I$89,3,0)*0.475*44/12</f>
        <v>0.22587095113962063</v>
      </c>
      <c r="BR149" s="21">
        <f>EXP(-LN(2)/2)*BR148+(1-EXP(-LN(2)/2))/(LN(2)/2)*BL149*BO149*VLOOKUP('Données projet'!$B$11,Paramètres!$A$1:$I$89,3,0)*0.475*44/12</f>
        <v>2.8323198891809507E-17</v>
      </c>
      <c r="BS149" s="22">
        <f t="shared" si="117"/>
        <v>0.4327240597698489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2.2612312022829431E-14</v>
      </c>
      <c r="CA149" s="13">
        <f t="shared" si="147"/>
        <v>4.0387900716432995E-13</v>
      </c>
      <c r="CB149" s="20">
        <f t="shared" si="118"/>
        <v>7.4280571425096929E-13</v>
      </c>
      <c r="CC149" s="59">
        <f t="shared" si="119"/>
        <v>293.33333333333405</v>
      </c>
      <c r="CD149" s="59">
        <f ca="1">AVERAGE(OFFSET($CC$3,0,0,'Données projet'!$E$12+1,1))-AVERAGE(OFFSET($H$3,0,0,'Données projet'!$E$12+1,1))</f>
        <v>241.67556898455945</v>
      </c>
      <c r="CE149" s="59">
        <f t="shared" si="148"/>
        <v>237.71070965292648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0.63495060175556717</v>
      </c>
      <c r="CL149" s="21">
        <f>EXP(-LN(2)/25)*CL148+(1-EXP(-LN(2)/25))/(LN(2)/25)*Calculateur!CG149*Calculateur!CI149*VLOOKUP('Données projet'!$B$12,Paramètres!$A$1:$I$89,3,0)*0.475*44/12</f>
        <v>0.28378584143263225</v>
      </c>
      <c r="CM149" s="21">
        <f>EXP(-LN(2)/2)*CM148+(1-EXP(-LN(2)/2))/(LN(2)/2)*CG149*CJ149*VLOOKUP('Données projet'!$B$12,Paramètres!$A$1:$I$89,3,0)*0.475*44/12</f>
        <v>2.3234294870727595E-17</v>
      </c>
      <c r="CN149" s="22">
        <f t="shared" si="120"/>
        <v>0.91873644318819947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-2.2612312022829427E-13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405.40026823646758</v>
      </c>
      <c r="T150" s="59">
        <f t="shared" si="142"/>
        <v>393.0787141050053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1.7065045625405235</v>
      </c>
      <c r="AA150" s="21">
        <f>EXP(-LN(2)/25)*AA149+(1-EXP(-LN(2)/25))/(LN(2)/25)*Calculateur!V150*Calculateur!X150*VLOOKUP('Données projet'!$B$9,Paramètres!$A$1:$I$89,3,0)*0.475*44/12</f>
        <v>0.80672896978171282</v>
      </c>
      <c r="AB150" s="21">
        <f>EXP(-LN(2)/2)*AB149+(1-EXP(-LN(2)/2))/(LN(2)/2)*V150*Y150*VLOOKUP('Données projet'!$B$9,Paramètres!$A$1:$I$89,3,0)*0.475*44/12</f>
        <v>2.9021493412419095E-17</v>
      </c>
      <c r="AC150" s="22">
        <f t="shared" si="111"/>
        <v>2.5132335323222366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4.9658410716801891E-14</v>
      </c>
      <c r="AK150" s="13">
        <f t="shared" si="143"/>
        <v>8.0934058173791862E-13</v>
      </c>
      <c r="AL150" s="20">
        <f t="shared" si="112"/>
        <v>1.4960899118586383E-12</v>
      </c>
      <c r="AM150" s="59">
        <f t="shared" si="113"/>
        <v>293.33333333333479</v>
      </c>
      <c r="AN150" s="59">
        <f ca="1">AVERAGE(OFFSET($AM$3,0,0,'Données projet'!$E$10+1,1))-AVERAGE(OFFSET($H$3,0,0,'Données projet'!$E$10+1,1))</f>
        <v>304.32767345253382</v>
      </c>
      <c r="AO150" s="59">
        <f t="shared" si="144"/>
        <v>427.16091343339173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0.77811346298263639</v>
      </c>
      <c r="AV150" s="21">
        <f>EXP(-LN(2)/25)*AV149+(1-EXP(-LN(2)/25))/(LN(2)/25)*Calculateur!AQ150*Calculateur!AS150*VLOOKUP('Données projet'!$B$10,Paramètres!$A$1:$I$89,3,0)*0.475*44/12</f>
        <v>0.70679214859720318</v>
      </c>
      <c r="AW150" s="21">
        <f>EXP(-LN(2)/2)*AW149+(1-EXP(-LN(2)/2))/(LN(2)/2)*AQ150*AT150*VLOOKUP('Données projet'!$B$10,Paramètres!$A$1:$I$89,3,0)*0.475*44/12</f>
        <v>2.7656119330766478E-17</v>
      </c>
      <c r="AX150" s="21">
        <f t="shared" si="114"/>
        <v>1.4849056115798396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-4.9658410716801891E-14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268.31928207836495</v>
      </c>
      <c r="BJ150" s="59">
        <f t="shared" si="146"/>
        <v>277.61304526670204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0.20279684533792769</v>
      </c>
      <c r="BQ150" s="21">
        <f>EXP(-LN(2)/25)*BQ149+(1-EXP(-LN(2)/25))/(LN(2)/25)*Calculateur!BL150*Calculateur!BN150*VLOOKUP('Données projet'!$B$11,Paramètres!$A$1:$I$89,3,0)*0.475*44/12</f>
        <v>0.21969449810267061</v>
      </c>
      <c r="BR150" s="21">
        <f>EXP(-LN(2)/2)*BR149+(1-EXP(-LN(2)/2))/(LN(2)/2)*BL150*BO150*VLOOKUP('Données projet'!$B$11,Paramètres!$A$1:$I$89,3,0)*0.475*44/12</f>
        <v>2.0027526001293811E-17</v>
      </c>
      <c r="BS150" s="22">
        <f t="shared" si="117"/>
        <v>0.4224913434405983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2.2612312022829431E-14</v>
      </c>
      <c r="CA150" s="13">
        <f t="shared" si="147"/>
        <v>4.0387900716432995E-13</v>
      </c>
      <c r="CB150" s="20">
        <f t="shared" si="118"/>
        <v>7.4280571425096929E-13</v>
      </c>
      <c r="CC150" s="59">
        <f t="shared" si="119"/>
        <v>293.33333333333405</v>
      </c>
      <c r="CD150" s="59">
        <f ca="1">AVERAGE(OFFSET($CC$3,0,0,'Données projet'!$E$12+1,1))-AVERAGE(OFFSET($H$3,0,0,'Données projet'!$E$12+1,1))</f>
        <v>241.67556898455945</v>
      </c>
      <c r="CE150" s="59">
        <f t="shared" si="148"/>
        <v>237.71070965292648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0.62249960773676671</v>
      </c>
      <c r="CL150" s="21">
        <f>EXP(-LN(2)/25)*CL149+(1-EXP(-LN(2)/25))/(LN(2)/25)*Calculateur!CG150*Calculateur!CI150*VLOOKUP('Données projet'!$B$12,Paramètres!$A$1:$I$89,3,0)*0.475*44/12</f>
        <v>0.27602570267500814</v>
      </c>
      <c r="CM150" s="21">
        <f>EXP(-LN(2)/2)*CM149+(1-EXP(-LN(2)/2))/(LN(2)/2)*CG150*CJ150*VLOOKUP('Données projet'!$B$12,Paramètres!$A$1:$I$89,3,0)*0.475*44/12</f>
        <v>1.6429127459179301E-17</v>
      </c>
      <c r="CN150" s="22">
        <f t="shared" si="120"/>
        <v>0.89852531041177486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-2.2612312022829427E-13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405.40026823646758</v>
      </c>
      <c r="T151" s="59">
        <f t="shared" si="142"/>
        <v>393.0787141050053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1.6730410489341101</v>
      </c>
      <c r="AA151" s="21">
        <f>EXP(-LN(2)/25)*AA150+(1-EXP(-LN(2)/25))/(LN(2)/25)*Calculateur!V151*Calculateur!X151*VLOOKUP('Données projet'!$B$9,Paramètres!$A$1:$I$89,3,0)*0.475*44/12</f>
        <v>0.78466892367899921</v>
      </c>
      <c r="AB151" s="21">
        <f>EXP(-LN(2)/2)*AB150+(1-EXP(-LN(2)/2))/(LN(2)/2)*V151*Y151*VLOOKUP('Données projet'!$B$9,Paramètres!$A$1:$I$89,3,0)*0.475*44/12</f>
        <v>2.0521294792082261E-17</v>
      </c>
      <c r="AC151" s="22">
        <f t="shared" si="111"/>
        <v>2.4577099726131095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4.9658410716801891E-14</v>
      </c>
      <c r="AK151" s="13">
        <f t="shared" si="143"/>
        <v>8.0934058173791862E-13</v>
      </c>
      <c r="AL151" s="20">
        <f t="shared" si="112"/>
        <v>1.4960899118586383E-12</v>
      </c>
      <c r="AM151" s="59">
        <f t="shared" si="113"/>
        <v>293.33333333333479</v>
      </c>
      <c r="AN151" s="59">
        <f ca="1">AVERAGE(OFFSET($AM$3,0,0,'Données projet'!$E$10+1,1))-AVERAGE(OFFSET($H$3,0,0,'Données projet'!$E$10+1,1))</f>
        <v>304.32767345253382</v>
      </c>
      <c r="AO151" s="59">
        <f t="shared" si="144"/>
        <v>427.16091343339173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0.76285513257589621</v>
      </c>
      <c r="AV151" s="21">
        <f>EXP(-LN(2)/25)*AV150+(1-EXP(-LN(2)/25))/(LN(2)/25)*Calculateur!AQ151*Calculateur!AS151*VLOOKUP('Données projet'!$B$10,Paramètres!$A$1:$I$89,3,0)*0.475*44/12</f>
        <v>0.68746488012522899</v>
      </c>
      <c r="AW151" s="21">
        <f>EXP(-LN(2)/2)*AW150+(1-EXP(-LN(2)/2))/(LN(2)/2)*AQ151*AT151*VLOOKUP('Données projet'!$B$10,Paramètres!$A$1:$I$89,3,0)*0.475*44/12</f>
        <v>1.955582952008934E-17</v>
      </c>
      <c r="AX151" s="21">
        <f t="shared" si="114"/>
        <v>1.4503200127011251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-4.9658410716801891E-14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268.31928207836495</v>
      </c>
      <c r="BJ151" s="59">
        <f t="shared" si="146"/>
        <v>277.61304526670204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0.19882012289471282</v>
      </c>
      <c r="BQ151" s="21">
        <f>EXP(-LN(2)/25)*BQ150+(1-EXP(-LN(2)/25))/(LN(2)/25)*Calculateur!BL151*Calculateur!BN151*VLOOKUP('Données projet'!$B$11,Paramètres!$A$1:$I$89,3,0)*0.475*44/12</f>
        <v>0.21368694049882156</v>
      </c>
      <c r="BR151" s="21">
        <f>EXP(-LN(2)/2)*BR150+(1-EXP(-LN(2)/2))/(LN(2)/2)*BL151*BO151*VLOOKUP('Données projet'!$B$11,Paramètres!$A$1:$I$89,3,0)*0.475*44/12</f>
        <v>1.4161599445904754E-17</v>
      </c>
      <c r="BS151" s="22">
        <f t="shared" si="117"/>
        <v>0.41250706339353438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2.2612312022829431E-14</v>
      </c>
      <c r="CA151" s="13">
        <f t="shared" si="147"/>
        <v>4.0387900716432995E-13</v>
      </c>
      <c r="CB151" s="20">
        <f t="shared" si="118"/>
        <v>7.4280571425096929E-13</v>
      </c>
      <c r="CC151" s="59">
        <f t="shared" si="119"/>
        <v>293.33333333333405</v>
      </c>
      <c r="CD151" s="59">
        <f ca="1">AVERAGE(OFFSET($CC$3,0,0,'Données projet'!$E$12+1,1))-AVERAGE(OFFSET($H$3,0,0,'Données projet'!$E$12+1,1))</f>
        <v>241.67556898455945</v>
      </c>
      <c r="CE151" s="59">
        <f t="shared" si="148"/>
        <v>237.71070965292648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0.61029277011631844</v>
      </c>
      <c r="CL151" s="21">
        <f>EXP(-LN(2)/25)*CL150+(1-EXP(-LN(2)/25))/(LN(2)/25)*Calculateur!CG151*Calculateur!CI151*VLOOKUP('Données projet'!$B$12,Paramètres!$A$1:$I$89,3,0)*0.475*44/12</f>
        <v>0.26847776531979922</v>
      </c>
      <c r="CM151" s="21">
        <f>EXP(-LN(2)/2)*CM150+(1-EXP(-LN(2)/2))/(LN(2)/2)*CG151*CJ151*VLOOKUP('Données projet'!$B$12,Paramètres!$A$1:$I$89,3,0)*0.475*44/12</f>
        <v>1.1617147435363798E-17</v>
      </c>
      <c r="CN151" s="22">
        <f t="shared" si="120"/>
        <v>0.87877053543611772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-2.2612312022829427E-13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405.40026823646758</v>
      </c>
      <c r="T152" s="59">
        <f t="shared" si="142"/>
        <v>393.0787141050053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1.6402337344187905</v>
      </c>
      <c r="AA152" s="21">
        <f>EXP(-LN(2)/25)*AA151+(1-EXP(-LN(2)/25))/(LN(2)/25)*Calculateur!V152*Calculateur!X152*VLOOKUP('Données projet'!$B$9,Paramètres!$A$1:$I$89,3,0)*0.475*44/12</f>
        <v>0.76321211069705164</v>
      </c>
      <c r="AB152" s="21">
        <f>EXP(-LN(2)/2)*AB151+(1-EXP(-LN(2)/2))/(LN(2)/2)*V152*Y152*VLOOKUP('Données projet'!$B$9,Paramètres!$A$1:$I$89,3,0)*0.475*44/12</f>
        <v>1.4510746706209548E-17</v>
      </c>
      <c r="AC152" s="22">
        <f t="shared" si="111"/>
        <v>2.4034458451158422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4.9658410716801891E-14</v>
      </c>
      <c r="AK152" s="13">
        <f t="shared" si="143"/>
        <v>8.0934058173791862E-13</v>
      </c>
      <c r="AL152" s="20">
        <f t="shared" si="112"/>
        <v>1.4960899118586383E-12</v>
      </c>
      <c r="AM152" s="59">
        <f t="shared" si="113"/>
        <v>293.33333333333479</v>
      </c>
      <c r="AN152" s="59">
        <f ca="1">AVERAGE(OFFSET($AM$3,0,0,'Données projet'!$E$10+1,1))-AVERAGE(OFFSET($H$3,0,0,'Données projet'!$E$10+1,1))</f>
        <v>304.32767345253382</v>
      </c>
      <c r="AO152" s="59">
        <f t="shared" si="144"/>
        <v>427.16091343339173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0.74789600872176965</v>
      </c>
      <c r="AV152" s="21">
        <f>EXP(-LN(2)/25)*AV151+(1-EXP(-LN(2)/25))/(LN(2)/25)*Calculateur!AQ152*Calculateur!AS152*VLOOKUP('Données projet'!$B$10,Paramètres!$A$1:$I$89,3,0)*0.475*44/12</f>
        <v>0.66866611682599775</v>
      </c>
      <c r="AW152" s="21">
        <f>EXP(-LN(2)/2)*AW151+(1-EXP(-LN(2)/2))/(LN(2)/2)*AQ152*AT152*VLOOKUP('Données projet'!$B$10,Paramètres!$A$1:$I$89,3,0)*0.475*44/12</f>
        <v>1.3828059665383241E-17</v>
      </c>
      <c r="AX152" s="21">
        <f t="shared" si="114"/>
        <v>1.4165621255477674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-4.9658410716801891E-14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268.31928207836495</v>
      </c>
      <c r="BJ152" s="59">
        <f t="shared" si="146"/>
        <v>277.61304526670204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0.19492138155304822</v>
      </c>
      <c r="BQ152" s="21">
        <f>EXP(-LN(2)/25)*BQ151+(1-EXP(-LN(2)/25))/(LN(2)/25)*Calculateur!BL152*Calculateur!BN152*VLOOKUP('Données projet'!$B$11,Paramètres!$A$1:$I$89,3,0)*0.475*44/12</f>
        <v>0.20784365987357348</v>
      </c>
      <c r="BR152" s="21">
        <f>EXP(-LN(2)/2)*BR151+(1-EXP(-LN(2)/2))/(LN(2)/2)*BL152*BO152*VLOOKUP('Données projet'!$B$11,Paramètres!$A$1:$I$89,3,0)*0.475*44/12</f>
        <v>1.0013763000646905E-17</v>
      </c>
      <c r="BS152" s="22">
        <f t="shared" si="117"/>
        <v>0.40276504142662173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2.2612312022829431E-14</v>
      </c>
      <c r="CA152" s="13">
        <f t="shared" si="147"/>
        <v>4.0387900716432995E-13</v>
      </c>
      <c r="CB152" s="20">
        <f t="shared" si="118"/>
        <v>7.4280571425096929E-13</v>
      </c>
      <c r="CC152" s="59">
        <f t="shared" si="119"/>
        <v>293.33333333333405</v>
      </c>
      <c r="CD152" s="59">
        <f ca="1">AVERAGE(OFFSET($CC$3,0,0,'Données projet'!$E$12+1,1))-AVERAGE(OFFSET($H$3,0,0,'Données projet'!$E$12+1,1))</f>
        <v>241.67556898455945</v>
      </c>
      <c r="CE152" s="59">
        <f t="shared" si="148"/>
        <v>237.71070965292648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0.59832530113617133</v>
      </c>
      <c r="CL152" s="21">
        <f>EXP(-LN(2)/25)*CL151+(1-EXP(-LN(2)/25))/(LN(2)/25)*Calculateur!CG152*Calculateur!CI152*VLOOKUP('Données projet'!$B$12,Paramètres!$A$1:$I$89,3,0)*0.475*44/12</f>
        <v>0.26113622670849723</v>
      </c>
      <c r="CM152" s="21">
        <f>EXP(-LN(2)/2)*CM151+(1-EXP(-LN(2)/2))/(LN(2)/2)*CG152*CJ152*VLOOKUP('Données projet'!$B$12,Paramètres!$A$1:$I$89,3,0)*0.475*44/12</f>
        <v>8.2145637295896506E-18</v>
      </c>
      <c r="CN152" s="22">
        <f t="shared" si="120"/>
        <v>0.85946152784466856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-2.2612312022829427E-13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405.40026823646758</v>
      </c>
      <c r="T153" s="59">
        <f t="shared" si="142"/>
        <v>393.0787141050053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1.6080697513306303</v>
      </c>
      <c r="AA153" s="21">
        <f>EXP(-LN(2)/25)*AA152+(1-EXP(-LN(2)/25))/(LN(2)/25)*Calculateur!V153*Calculateur!X153*VLOOKUP('Données projet'!$B$9,Paramètres!$A$1:$I$89,3,0)*0.475*44/12</f>
        <v>0.7423420353944602</v>
      </c>
      <c r="AB153" s="21">
        <f>EXP(-LN(2)/2)*AB152+(1-EXP(-LN(2)/2))/(LN(2)/2)*V153*Y153*VLOOKUP('Données projet'!$B$9,Paramètres!$A$1:$I$89,3,0)*0.475*44/12</f>
        <v>1.026064739604113E-17</v>
      </c>
      <c r="AC153" s="22">
        <f t="shared" si="111"/>
        <v>2.3504117867250907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4.9658410716801891E-14</v>
      </c>
      <c r="AK153" s="13">
        <f t="shared" si="143"/>
        <v>8.0934058173791862E-13</v>
      </c>
      <c r="AL153" s="20">
        <f t="shared" si="112"/>
        <v>1.4960899118586383E-12</v>
      </c>
      <c r="AM153" s="59">
        <f t="shared" si="113"/>
        <v>293.33333333333479</v>
      </c>
      <c r="AN153" s="59">
        <f ca="1">AVERAGE(OFFSET($AM$3,0,0,'Données projet'!$E$10+1,1))-AVERAGE(OFFSET($H$3,0,0,'Données projet'!$E$10+1,1))</f>
        <v>304.32767345253382</v>
      </c>
      <c r="AO153" s="59">
        <f t="shared" si="144"/>
        <v>427.16091343339173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0.73323022416225792</v>
      </c>
      <c r="AV153" s="21">
        <f>EXP(-LN(2)/25)*AV152+(1-EXP(-LN(2)/25))/(LN(2)/25)*Calculateur!AQ153*Calculateur!AS153*VLOOKUP('Données projet'!$B$10,Paramètres!$A$1:$I$89,3,0)*0.475*44/12</f>
        <v>0.65038140669776801</v>
      </c>
      <c r="AW153" s="21">
        <f>EXP(-LN(2)/2)*AW152+(1-EXP(-LN(2)/2))/(LN(2)/2)*AQ153*AT153*VLOOKUP('Données projet'!$B$10,Paramètres!$A$1:$I$89,3,0)*0.475*44/12</f>
        <v>9.7779147600446717E-18</v>
      </c>
      <c r="AX153" s="21">
        <f t="shared" si="114"/>
        <v>1.3836116308600259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-4.9658410716801891E-14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268.31928207836495</v>
      </c>
      <c r="BJ153" s="59">
        <f t="shared" si="146"/>
        <v>277.61304526670204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0.19109909215109624</v>
      </c>
      <c r="BQ153" s="21">
        <f>EXP(-LN(2)/25)*BQ152+(1-EXP(-LN(2)/25))/(LN(2)/25)*Calculateur!BL153*Calculateur!BN153*VLOOKUP('Données projet'!$B$11,Paramètres!$A$1:$I$89,3,0)*0.475*44/12</f>
        <v>0.20216016406430756</v>
      </c>
      <c r="BR153" s="21">
        <f>EXP(-LN(2)/2)*BR152+(1-EXP(-LN(2)/2))/(LN(2)/2)*BL153*BO153*VLOOKUP('Données projet'!$B$11,Paramètres!$A$1:$I$89,3,0)*0.475*44/12</f>
        <v>7.0807997229523768E-18</v>
      </c>
      <c r="BS153" s="22">
        <f t="shared" si="117"/>
        <v>0.39325925621540381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2.2612312022829431E-14</v>
      </c>
      <c r="CA153" s="13">
        <f t="shared" si="147"/>
        <v>4.0387900716432995E-13</v>
      </c>
      <c r="CB153" s="20">
        <f t="shared" si="118"/>
        <v>7.4280571425096929E-13</v>
      </c>
      <c r="CC153" s="59">
        <f t="shared" si="119"/>
        <v>293.33333333333405</v>
      </c>
      <c r="CD153" s="59">
        <f ca="1">AVERAGE(OFFSET($CC$3,0,0,'Données projet'!$E$12+1,1))-AVERAGE(OFFSET($H$3,0,0,'Données projet'!$E$12+1,1))</f>
        <v>241.67556898455945</v>
      </c>
      <c r="CE153" s="59">
        <f t="shared" si="148"/>
        <v>237.71070965292648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0.58659250692328968</v>
      </c>
      <c r="CL153" s="21">
        <f>EXP(-LN(2)/25)*CL152+(1-EXP(-LN(2)/25))/(LN(2)/25)*Calculateur!CG153*Calculateur!CI153*VLOOKUP('Données projet'!$B$12,Paramètres!$A$1:$I$89,3,0)*0.475*44/12</f>
        <v>0.25399544285659603</v>
      </c>
      <c r="CM153" s="21">
        <f>EXP(-LN(2)/2)*CM152+(1-EXP(-LN(2)/2))/(LN(2)/2)*CG153*CJ153*VLOOKUP('Données projet'!$B$12,Paramètres!$A$1:$I$89,3,0)*0.475*44/12</f>
        <v>5.8085737176818988E-18</v>
      </c>
      <c r="CN153" s="22">
        <f t="shared" si="120"/>
        <v>0.84058794977988571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-2.2612312022829427E-13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405.40026823646758</v>
      </c>
      <c r="T154" s="59">
        <f t="shared" si="142"/>
        <v>393.0787141050053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1.5765364843327365</v>
      </c>
      <c r="AA154" s="21">
        <f>EXP(-LN(2)/25)*AA153+(1-EXP(-LN(2)/25))/(LN(2)/25)*Calculateur!V154*Calculateur!X154*VLOOKUP('Données projet'!$B$9,Paramètres!$A$1:$I$89,3,0)*0.475*44/12</f>
        <v>0.72204265339852769</v>
      </c>
      <c r="AB154" s="21">
        <f>EXP(-LN(2)/2)*AB153+(1-EXP(-LN(2)/2))/(LN(2)/2)*V154*Y154*VLOOKUP('Données projet'!$B$9,Paramètres!$A$1:$I$89,3,0)*0.475*44/12</f>
        <v>7.2553733531047739E-18</v>
      </c>
      <c r="AC154" s="22">
        <f t="shared" ref="AC154:AC203" si="163">SUM(Z154:AB154)</f>
        <v>2.2985791377312643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4.9658410716801891E-14</v>
      </c>
      <c r="AK154" s="13">
        <f t="shared" ref="AK154:AK203" si="164">EXP(-1.0587+0.8836*LN(AJ154)+0.284)</f>
        <v>8.0934058173791862E-13</v>
      </c>
      <c r="AL154" s="20">
        <f t="shared" ref="AL154:AL203" si="165">(AJ154+AK154)*0.475*44/12</f>
        <v>1.4960899118586383E-12</v>
      </c>
      <c r="AM154" s="59">
        <f t="shared" si="113"/>
        <v>293.33333333333479</v>
      </c>
      <c r="AN154" s="59">
        <f ca="1">AVERAGE(OFFSET($AM$3,0,0,'Données projet'!$E$10+1,1))-AVERAGE(OFFSET($H$3,0,0,'Données projet'!$E$10+1,1))</f>
        <v>304.32767345253382</v>
      </c>
      <c r="AO154" s="59">
        <f t="shared" si="144"/>
        <v>427.16091343339173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0.71885202669271286</v>
      </c>
      <c r="AV154" s="21">
        <f>EXP(-LN(2)/25)*AV153+(1-EXP(-LN(2)/25))/(LN(2)/25)*Calculateur!AQ154*Calculateur!AS154*VLOOKUP('Données projet'!$B$10,Paramètres!$A$1:$I$89,3,0)*0.475*44/12</f>
        <v>0.63259669292954579</v>
      </c>
      <c r="AW154" s="21">
        <f>EXP(-LN(2)/2)*AW153+(1-EXP(-LN(2)/2))/(LN(2)/2)*AQ154*AT154*VLOOKUP('Données projet'!$B$10,Paramètres!$A$1:$I$89,3,0)*0.475*44/12</f>
        <v>6.9140298326916219E-18</v>
      </c>
      <c r="AX154" s="21">
        <f t="shared" ref="AX154:AX203" si="166">SUM(AU154:AW154)</f>
        <v>1.3514487196222587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-4.9658410716801891E-14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268.31928207836495</v>
      </c>
      <c r="BJ154" s="59">
        <f t="shared" si="146"/>
        <v>277.61304526670204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0.18735175551295022</v>
      </c>
      <c r="BQ154" s="21">
        <f>EXP(-LN(2)/25)*BQ153+(1-EXP(-LN(2)/25))/(LN(2)/25)*Calculateur!BL154*Calculateur!BN154*VLOOKUP('Données projet'!$B$11,Paramètres!$A$1:$I$89,3,0)*0.475*44/12</f>
        <v>0.19663208374682808</v>
      </c>
      <c r="BR154" s="21">
        <f>EXP(-LN(2)/2)*BR153+(1-EXP(-LN(2)/2))/(LN(2)/2)*BL154*BO154*VLOOKUP('Données projet'!$B$11,Paramètres!$A$1:$I$89,3,0)*0.475*44/12</f>
        <v>5.0068815003234527E-18</v>
      </c>
      <c r="BS154" s="22">
        <f t="shared" ref="BS154:BS203" si="169">SUM(BP154:BR154)</f>
        <v>0.3839838392597783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2.2612312022829431E-14</v>
      </c>
      <c r="CA154" s="13">
        <f t="shared" ref="CA154:CA203" si="170">EXP(-1.0587+0.8836*LN(BZ154)+0.284)</f>
        <v>4.0387900716432995E-13</v>
      </c>
      <c r="CB154" s="20">
        <f t="shared" ref="CB154:CB203" si="171">(BZ154+CA154)*0.475*44/12</f>
        <v>7.4280571425096929E-13</v>
      </c>
      <c r="CC154" s="59">
        <f t="shared" si="119"/>
        <v>293.33333333333405</v>
      </c>
      <c r="CD154" s="59">
        <f ca="1">AVERAGE(OFFSET($CC$3,0,0,'Données projet'!$E$12+1,1))-AVERAGE(OFFSET($H$3,0,0,'Données projet'!$E$12+1,1))</f>
        <v>241.67556898455945</v>
      </c>
      <c r="CE154" s="59">
        <f t="shared" si="148"/>
        <v>237.71070965292648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0.57508978564862478</v>
      </c>
      <c r="CL154" s="21">
        <f>EXP(-LN(2)/25)*CL153+(1-EXP(-LN(2)/25))/(LN(2)/25)*Calculateur!CG154*Calculateur!CI154*VLOOKUP('Données projet'!$B$12,Paramètres!$A$1:$I$89,3,0)*0.475*44/12</f>
        <v>0.24704992411464258</v>
      </c>
      <c r="CM154" s="21">
        <f>EXP(-LN(2)/2)*CM153+(1-EXP(-LN(2)/2))/(LN(2)/2)*CG154*CJ154*VLOOKUP('Données projet'!$B$12,Paramètres!$A$1:$I$89,3,0)*0.475*44/12</f>
        <v>4.1072818647948253E-18</v>
      </c>
      <c r="CN154" s="22">
        <f t="shared" ref="CN154:CN203" si="172">SUM(CK154:CM154)</f>
        <v>0.82213970976326733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-2.2612312022829427E-13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405.40026823646758</v>
      </c>
      <c r="T155" s="59">
        <f t="shared" si="142"/>
        <v>393.0787141050053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1.5456215654672776</v>
      </c>
      <c r="AA155" s="21">
        <f>EXP(-LN(2)/25)*AA154+(1-EXP(-LN(2)/25))/(LN(2)/25)*Calculateur!V155*Calculateur!X155*VLOOKUP('Données projet'!$B$9,Paramètres!$A$1:$I$89,3,0)*0.475*44/12</f>
        <v>0.70229835907077209</v>
      </c>
      <c r="AB155" s="21">
        <f>EXP(-LN(2)/2)*AB154+(1-EXP(-LN(2)/2))/(LN(2)/2)*V155*Y155*VLOOKUP('Données projet'!$B$9,Paramètres!$A$1:$I$89,3,0)*0.475*44/12</f>
        <v>5.1303236980205651E-18</v>
      </c>
      <c r="AC155" s="22">
        <f t="shared" si="163"/>
        <v>2.2479199245380497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4.9658410716801891E-14</v>
      </c>
      <c r="AK155" s="13">
        <f t="shared" si="164"/>
        <v>8.0934058173791862E-13</v>
      </c>
      <c r="AL155" s="20">
        <f t="shared" si="165"/>
        <v>1.4960899118586383E-12</v>
      </c>
      <c r="AM155" s="59">
        <f t="shared" si="113"/>
        <v>293.33333333333479</v>
      </c>
      <c r="AN155" s="59">
        <f ca="1">AVERAGE(OFFSET($AM$3,0,0,'Données projet'!$E$10+1,1))-AVERAGE(OFFSET($H$3,0,0,'Données projet'!$E$10+1,1))</f>
        <v>304.32767345253382</v>
      </c>
      <c r="AO155" s="59">
        <f t="shared" si="144"/>
        <v>427.16091343339173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0.70475577690571112</v>
      </c>
      <c r="AV155" s="21">
        <f>EXP(-LN(2)/25)*AV154+(1-EXP(-LN(2)/25))/(LN(2)/25)*Calculateur!AQ155*Calculateur!AS155*VLOOKUP('Données projet'!$B$10,Paramètres!$A$1:$I$89,3,0)*0.475*44/12</f>
        <v>0.61529830309457312</v>
      </c>
      <c r="AW155" s="21">
        <f>EXP(-LN(2)/2)*AW154+(1-EXP(-LN(2)/2))/(LN(2)/2)*AQ155*AT155*VLOOKUP('Données projet'!$B$10,Paramètres!$A$1:$I$89,3,0)*0.475*44/12</f>
        <v>4.8889573800223366E-18</v>
      </c>
      <c r="AX155" s="21">
        <f t="shared" si="166"/>
        <v>1.3200540800002842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-4.9658410716801891E-14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268.31928207836495</v>
      </c>
      <c r="BJ155" s="59">
        <f t="shared" si="146"/>
        <v>277.61304526670204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0.18367790186062857</v>
      </c>
      <c r="BQ155" s="21">
        <f>EXP(-LN(2)/25)*BQ154+(1-EXP(-LN(2)/25))/(LN(2)/25)*Calculateur!BL155*Calculateur!BN155*VLOOKUP('Données projet'!$B$11,Paramètres!$A$1:$I$89,3,0)*0.475*44/12</f>
        <v>0.19125516907633919</v>
      </c>
      <c r="BR155" s="21">
        <f>EXP(-LN(2)/2)*BR154+(1-EXP(-LN(2)/2))/(LN(2)/2)*BL155*BO155*VLOOKUP('Données projet'!$B$11,Paramètres!$A$1:$I$89,3,0)*0.475*44/12</f>
        <v>3.5403998614761884E-18</v>
      </c>
      <c r="BS155" s="22">
        <f t="shared" si="169"/>
        <v>0.37493307093696776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2.2612312022829431E-14</v>
      </c>
      <c r="CA155" s="13">
        <f t="shared" si="170"/>
        <v>4.0387900716432995E-13</v>
      </c>
      <c r="CB155" s="20">
        <f t="shared" si="171"/>
        <v>7.4280571425096929E-13</v>
      </c>
      <c r="CC155" s="59">
        <f t="shared" si="119"/>
        <v>293.33333333333405</v>
      </c>
      <c r="CD155" s="59">
        <f ca="1">AVERAGE(OFFSET($CC$3,0,0,'Données projet'!$E$12+1,1))-AVERAGE(OFFSET($H$3,0,0,'Données projet'!$E$12+1,1))</f>
        <v>241.67556898455945</v>
      </c>
      <c r="CE155" s="59">
        <f t="shared" si="148"/>
        <v>237.71070965292648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0.56381262572218882</v>
      </c>
      <c r="CL155" s="21">
        <f>EXP(-LN(2)/25)*CL154+(1-EXP(-LN(2)/25))/(LN(2)/25)*Calculateur!CG155*Calculateur!CI155*VLOOKUP('Données projet'!$B$12,Paramètres!$A$1:$I$89,3,0)*0.475*44/12</f>
        <v>0.24029433094793681</v>
      </c>
      <c r="CM155" s="21">
        <f>EXP(-LN(2)/2)*CM154+(1-EXP(-LN(2)/2))/(LN(2)/2)*CG155*CJ155*VLOOKUP('Données projet'!$B$12,Paramètres!$A$1:$I$89,3,0)*0.475*44/12</f>
        <v>2.9042868588409494E-18</v>
      </c>
      <c r="CN155" s="22">
        <f t="shared" si="172"/>
        <v>0.80410695667012566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-2.2612312022829427E-13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405.40026823646758</v>
      </c>
      <c r="T156" s="59">
        <f t="shared" si="142"/>
        <v>393.0787141050053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1.5153128693045317</v>
      </c>
      <c r="AA156" s="21">
        <f>EXP(-LN(2)/25)*AA155+(1-EXP(-LN(2)/25))/(LN(2)/25)*Calculateur!V156*Calculateur!X156*VLOOKUP('Données projet'!$B$9,Paramètres!$A$1:$I$89,3,0)*0.475*44/12</f>
        <v>0.68309397350971623</v>
      </c>
      <c r="AB156" s="21">
        <f>EXP(-LN(2)/2)*AB155+(1-EXP(-LN(2)/2))/(LN(2)/2)*V156*Y156*VLOOKUP('Données projet'!$B$9,Paramètres!$A$1:$I$89,3,0)*0.475*44/12</f>
        <v>3.6276866765523869E-18</v>
      </c>
      <c r="AC156" s="22">
        <f t="shared" si="163"/>
        <v>2.198406842814248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4.9658410716801891E-14</v>
      </c>
      <c r="AK156" s="13">
        <f t="shared" si="164"/>
        <v>8.0934058173791862E-13</v>
      </c>
      <c r="AL156" s="20">
        <f t="shared" si="165"/>
        <v>1.4960899118586383E-12</v>
      </c>
      <c r="AM156" s="59">
        <f t="shared" si="113"/>
        <v>293.33333333333479</v>
      </c>
      <c r="AN156" s="59">
        <f ca="1">AVERAGE(OFFSET($AM$3,0,0,'Données projet'!$E$10+1,1))-AVERAGE(OFFSET($H$3,0,0,'Données projet'!$E$10+1,1))</f>
        <v>304.32767345253382</v>
      </c>
      <c r="AO156" s="59">
        <f t="shared" si="144"/>
        <v>427.16091343339173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0.69093594597916907</v>
      </c>
      <c r="AV156" s="21">
        <f>EXP(-LN(2)/25)*AV155+(1-EXP(-LN(2)/25))/(LN(2)/25)*Calculateur!AQ156*Calculateur!AS156*VLOOKUP('Données projet'!$B$10,Paramètres!$A$1:$I$89,3,0)*0.475*44/12</f>
        <v>0.5984729386393205</v>
      </c>
      <c r="AW156" s="21">
        <f>EXP(-LN(2)/2)*AW155+(1-EXP(-LN(2)/2))/(LN(2)/2)*AQ156*AT156*VLOOKUP('Données projet'!$B$10,Paramètres!$A$1:$I$89,3,0)*0.475*44/12</f>
        <v>3.4570149163458113E-18</v>
      </c>
      <c r="AX156" s="21">
        <f t="shared" si="166"/>
        <v>1.2894088846184895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-4.9658410716801891E-14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268.31928207836495</v>
      </c>
      <c r="BJ156" s="59">
        <f t="shared" si="146"/>
        <v>277.61304526670204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0.18007609023759949</v>
      </c>
      <c r="BQ156" s="21">
        <f>EXP(-LN(2)/25)*BQ155+(1-EXP(-LN(2)/25))/(LN(2)/25)*Calculateur!BL156*Calculateur!BN156*VLOOKUP('Données projet'!$B$11,Paramètres!$A$1:$I$89,3,0)*0.475*44/12</f>
        <v>0.18602528642027447</v>
      </c>
      <c r="BR156" s="21">
        <f>EXP(-LN(2)/2)*BR155+(1-EXP(-LN(2)/2))/(LN(2)/2)*BL156*BO156*VLOOKUP('Données projet'!$B$11,Paramètres!$A$1:$I$89,3,0)*0.475*44/12</f>
        <v>2.5034407501617264E-18</v>
      </c>
      <c r="BS156" s="22">
        <f t="shared" si="169"/>
        <v>0.36610137665787396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2.2612312022829431E-14</v>
      </c>
      <c r="CA156" s="13">
        <f t="shared" si="170"/>
        <v>4.0387900716432995E-13</v>
      </c>
      <c r="CB156" s="20">
        <f t="shared" si="171"/>
        <v>7.4280571425096929E-13</v>
      </c>
      <c r="CC156" s="59">
        <f t="shared" si="119"/>
        <v>293.33333333333405</v>
      </c>
      <c r="CD156" s="59">
        <f ca="1">AVERAGE(OFFSET($CC$3,0,0,'Données projet'!$E$12+1,1))-AVERAGE(OFFSET($H$3,0,0,'Données projet'!$E$12+1,1))</f>
        <v>241.67556898455945</v>
      </c>
      <c r="CE156" s="59">
        <f t="shared" si="148"/>
        <v>237.71070965292648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0.55275660402352189</v>
      </c>
      <c r="CL156" s="21">
        <f>EXP(-LN(2)/25)*CL155+(1-EXP(-LN(2)/25))/(LN(2)/25)*Calculateur!CG156*Calculateur!CI156*VLOOKUP('Données projet'!$B$12,Paramètres!$A$1:$I$89,3,0)*0.475*44/12</f>
        <v>0.23372346983163581</v>
      </c>
      <c r="CM156" s="21">
        <f>EXP(-LN(2)/2)*CM155+(1-EXP(-LN(2)/2))/(LN(2)/2)*CG156*CJ156*VLOOKUP('Données projet'!$B$12,Paramètres!$A$1:$I$89,3,0)*0.475*44/12</f>
        <v>2.0536409323974126E-18</v>
      </c>
      <c r="CN156" s="22">
        <f t="shared" si="172"/>
        <v>0.78648007385515772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-2.2612312022829427E-13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405.40026823646758</v>
      </c>
      <c r="T157" s="59">
        <f t="shared" si="142"/>
        <v>393.0787141050053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1.485598508187058</v>
      </c>
      <c r="AA157" s="21">
        <f>EXP(-LN(2)/25)*AA156+(1-EXP(-LN(2)/25))/(LN(2)/25)*Calculateur!V157*Calculateur!X157*VLOOKUP('Données projet'!$B$9,Paramètres!$A$1:$I$89,3,0)*0.475*44/12</f>
        <v>0.66441473288174224</v>
      </c>
      <c r="AB157" s="21">
        <f>EXP(-LN(2)/2)*AB156+(1-EXP(-LN(2)/2))/(LN(2)/2)*V157*Y157*VLOOKUP('Données projet'!$B$9,Paramètres!$A$1:$I$89,3,0)*0.475*44/12</f>
        <v>2.5651618490102826E-18</v>
      </c>
      <c r="AC157" s="22">
        <f t="shared" si="163"/>
        <v>2.1500132410688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4.9658410716801891E-14</v>
      </c>
      <c r="AK157" s="13">
        <f t="shared" si="164"/>
        <v>8.0934058173791862E-13</v>
      </c>
      <c r="AL157" s="20">
        <f t="shared" si="165"/>
        <v>1.4960899118586383E-12</v>
      </c>
      <c r="AM157" s="59">
        <f t="shared" si="113"/>
        <v>293.33333333333479</v>
      </c>
      <c r="AN157" s="59">
        <f ca="1">AVERAGE(OFFSET($AM$3,0,0,'Données projet'!$E$10+1,1))-AVERAGE(OFFSET($H$3,0,0,'Données projet'!$E$10+1,1))</f>
        <v>304.32767345253382</v>
      </c>
      <c r="AO157" s="59">
        <f t="shared" si="144"/>
        <v>427.16091343339173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0.67738711350783187</v>
      </c>
      <c r="AV157" s="21">
        <f>EXP(-LN(2)/25)*AV156+(1-EXP(-LN(2)/25))/(LN(2)/25)*Calculateur!AQ157*Calculateur!AS157*VLOOKUP('Données projet'!$B$10,Paramètres!$A$1:$I$89,3,0)*0.475*44/12</f>
        <v>0.58210766465990427</v>
      </c>
      <c r="AW157" s="21">
        <f>EXP(-LN(2)/2)*AW156+(1-EXP(-LN(2)/2))/(LN(2)/2)*AQ157*AT157*VLOOKUP('Données projet'!$B$10,Paramètres!$A$1:$I$89,3,0)*0.475*44/12</f>
        <v>2.4444786900111687E-18</v>
      </c>
      <c r="AX157" s="21">
        <f t="shared" si="166"/>
        <v>1.2594947781677361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-4.9658410716801891E-14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268.31928207836495</v>
      </c>
      <c r="BJ157" s="59">
        <f t="shared" si="146"/>
        <v>277.61304526670204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0.17654490794360986</v>
      </c>
      <c r="BQ157" s="21">
        <f>EXP(-LN(2)/25)*BQ156+(1-EXP(-LN(2)/25))/(LN(2)/25)*Calculateur!BL157*Calculateur!BN157*VLOOKUP('Données projet'!$B$11,Paramètres!$A$1:$I$89,3,0)*0.475*44/12</f>
        <v>0.18093841518046741</v>
      </c>
      <c r="BR157" s="21">
        <f>EXP(-LN(2)/2)*BR156+(1-EXP(-LN(2)/2))/(LN(2)/2)*BL157*BO157*VLOOKUP('Données projet'!$B$11,Paramètres!$A$1:$I$89,3,0)*0.475*44/12</f>
        <v>1.7701999307380942E-18</v>
      </c>
      <c r="BS157" s="22">
        <f t="shared" si="169"/>
        <v>0.35748332312407727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2.2612312022829431E-14</v>
      </c>
      <c r="CA157" s="13">
        <f t="shared" si="170"/>
        <v>4.0387900716432995E-13</v>
      </c>
      <c r="CB157" s="20">
        <f t="shared" si="171"/>
        <v>7.4280571425096929E-13</v>
      </c>
      <c r="CC157" s="59">
        <f t="shared" si="119"/>
        <v>293.33333333333405</v>
      </c>
      <c r="CD157" s="59">
        <f ca="1">AVERAGE(OFFSET($CC$3,0,0,'Données projet'!$E$12+1,1))-AVERAGE(OFFSET($H$3,0,0,'Données projet'!$E$12+1,1))</f>
        <v>241.67556898455945</v>
      </c>
      <c r="CE157" s="59">
        <f t="shared" si="148"/>
        <v>237.71070965292648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0.54191738416685842</v>
      </c>
      <c r="CL157" s="21">
        <f>EXP(-LN(2)/25)*CL156+(1-EXP(-LN(2)/25))/(LN(2)/25)*Calculateur!CG157*Calculateur!CI157*VLOOKUP('Données projet'!$B$12,Paramètres!$A$1:$I$89,3,0)*0.475*44/12</f>
        <v>0.22733228925810664</v>
      </c>
      <c r="CM157" s="21">
        <f>EXP(-LN(2)/2)*CM156+(1-EXP(-LN(2)/2))/(LN(2)/2)*CG157*CJ157*VLOOKUP('Données projet'!$B$12,Paramètres!$A$1:$I$89,3,0)*0.475*44/12</f>
        <v>1.4521434294204747E-18</v>
      </c>
      <c r="CN157" s="22">
        <f t="shared" si="172"/>
        <v>0.76924967342496509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-2.2612312022829427E-13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405.40026823646758</v>
      </c>
      <c r="T158" s="59">
        <f t="shared" si="142"/>
        <v>393.0787141050053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1.4564668275671273</v>
      </c>
      <c r="AA158" s="21">
        <f>EXP(-LN(2)/25)*AA157+(1-EXP(-LN(2)/25))/(LN(2)/25)*Calculateur!V158*Calculateur!X158*VLOOKUP('Données projet'!$B$9,Paramètres!$A$1:$I$89,3,0)*0.475*44/12</f>
        <v>0.64624627707103877</v>
      </c>
      <c r="AB158" s="21">
        <f>EXP(-LN(2)/2)*AB157+(1-EXP(-LN(2)/2))/(LN(2)/2)*V158*Y158*VLOOKUP('Données projet'!$B$9,Paramètres!$A$1:$I$89,3,0)*0.475*44/12</f>
        <v>1.8138433382761935E-18</v>
      </c>
      <c r="AC158" s="22">
        <f t="shared" si="163"/>
        <v>2.1027131046381662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4.9658410716801891E-14</v>
      </c>
      <c r="AK158" s="13">
        <f t="shared" si="164"/>
        <v>8.0934058173791862E-13</v>
      </c>
      <c r="AL158" s="20">
        <f t="shared" si="165"/>
        <v>1.4960899118586383E-12</v>
      </c>
      <c r="AM158" s="59">
        <f t="shared" si="113"/>
        <v>293.33333333333479</v>
      </c>
      <c r="AN158" s="59">
        <f ca="1">AVERAGE(OFFSET($AM$3,0,0,'Données projet'!$E$10+1,1))-AVERAGE(OFFSET($H$3,0,0,'Données projet'!$E$10+1,1))</f>
        <v>304.32767345253382</v>
      </c>
      <c r="AO158" s="59">
        <f t="shared" si="144"/>
        <v>427.16091343339173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0.66410396537728589</v>
      </c>
      <c r="AV158" s="21">
        <f>EXP(-LN(2)/25)*AV157+(1-EXP(-LN(2)/25))/(LN(2)/25)*Calculateur!AQ158*Calculateur!AS158*VLOOKUP('Données projet'!$B$10,Paramètres!$A$1:$I$89,3,0)*0.475*44/12</f>
        <v>0.56618989995806757</v>
      </c>
      <c r="AW158" s="21">
        <f>EXP(-LN(2)/2)*AW157+(1-EXP(-LN(2)/2))/(LN(2)/2)*AQ158*AT158*VLOOKUP('Données projet'!$B$10,Paramètres!$A$1:$I$89,3,0)*0.475*44/12</f>
        <v>1.7285074581729058E-18</v>
      </c>
      <c r="AX158" s="21">
        <f t="shared" si="166"/>
        <v>1.2302938653353535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-4.9658410716801891E-14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268.31928207836495</v>
      </c>
      <c r="BJ158" s="59">
        <f t="shared" si="146"/>
        <v>277.61304526670204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0.17308296998059683</v>
      </c>
      <c r="BQ158" s="21">
        <f>EXP(-LN(2)/25)*BQ157+(1-EXP(-LN(2)/25))/(LN(2)/25)*Calculateur!BL158*Calculateur!BN158*VLOOKUP('Données projet'!$B$11,Paramètres!$A$1:$I$89,3,0)*0.475*44/12</f>
        <v>0.17599064470221981</v>
      </c>
      <c r="BR158" s="21">
        <f>EXP(-LN(2)/2)*BR157+(1-EXP(-LN(2)/2))/(LN(2)/2)*BL158*BO158*VLOOKUP('Données projet'!$B$11,Paramètres!$A$1:$I$89,3,0)*0.475*44/12</f>
        <v>1.2517203750808632E-18</v>
      </c>
      <c r="BS158" s="22">
        <f t="shared" si="169"/>
        <v>0.34907361468281661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2.2612312022829431E-14</v>
      </c>
      <c r="CA158" s="13">
        <f t="shared" si="170"/>
        <v>4.0387900716432995E-13</v>
      </c>
      <c r="CB158" s="20">
        <f t="shared" si="171"/>
        <v>7.4280571425096929E-13</v>
      </c>
      <c r="CC158" s="59">
        <f t="shared" si="119"/>
        <v>293.33333333333405</v>
      </c>
      <c r="CD158" s="59">
        <f ca="1">AVERAGE(OFFSET($CC$3,0,0,'Données projet'!$E$12+1,1))-AVERAGE(OFFSET($H$3,0,0,'Données projet'!$E$12+1,1))</f>
        <v>241.67556898455945</v>
      </c>
      <c r="CE158" s="59">
        <f t="shared" si="148"/>
        <v>237.71070965292648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0.53129071480031287</v>
      </c>
      <c r="CL158" s="21">
        <f>EXP(-LN(2)/25)*CL157+(1-EXP(-LN(2)/25))/(LN(2)/25)*Calculateur!CG158*Calculateur!CI158*VLOOKUP('Données projet'!$B$12,Paramètres!$A$1:$I$89,3,0)*0.475*44/12</f>
        <v>0.22111587585345821</v>
      </c>
      <c r="CM158" s="21">
        <f>EXP(-LN(2)/2)*CM157+(1-EXP(-LN(2)/2))/(LN(2)/2)*CG158*CJ158*VLOOKUP('Données projet'!$B$12,Paramètres!$A$1:$I$89,3,0)*0.475*44/12</f>
        <v>1.0268204661987063E-18</v>
      </c>
      <c r="CN158" s="22">
        <f t="shared" si="172"/>
        <v>0.75240659065377113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-2.2612312022829427E-13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405.40026823646758</v>
      </c>
      <c r="T159" s="59">
        <f t="shared" si="142"/>
        <v>393.0787141050053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1.4279064014355829</v>
      </c>
      <c r="AA159" s="21">
        <f>EXP(-LN(2)/25)*AA158+(1-EXP(-LN(2)/25))/(LN(2)/25)*Calculateur!V159*Calculateur!X159*VLOOKUP('Données projet'!$B$9,Paramètres!$A$1:$I$89,3,0)*0.475*44/12</f>
        <v>0.62857463863991647</v>
      </c>
      <c r="AB159" s="21">
        <f>EXP(-LN(2)/2)*AB158+(1-EXP(-LN(2)/2))/(LN(2)/2)*V159*Y159*VLOOKUP('Données projet'!$B$9,Paramètres!$A$1:$I$89,3,0)*0.475*44/12</f>
        <v>1.2825809245051413E-18</v>
      </c>
      <c r="AC159" s="22">
        <f t="shared" si="163"/>
        <v>2.0564810400754991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4.9658410716801891E-14</v>
      </c>
      <c r="AK159" s="13">
        <f t="shared" si="164"/>
        <v>8.0934058173791862E-13</v>
      </c>
      <c r="AL159" s="20">
        <f t="shared" si="165"/>
        <v>1.4960899118586383E-12</v>
      </c>
      <c r="AM159" s="59">
        <f t="shared" si="113"/>
        <v>293.33333333333479</v>
      </c>
      <c r="AN159" s="59">
        <f ca="1">AVERAGE(OFFSET($AM$3,0,0,'Données projet'!$E$10+1,1))-AVERAGE(OFFSET($H$3,0,0,'Données projet'!$E$10+1,1))</f>
        <v>304.32767345253382</v>
      </c>
      <c r="AO159" s="59">
        <f t="shared" si="144"/>
        <v>427.16091343339173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0.65108129167965945</v>
      </c>
      <c r="AV159" s="21">
        <f>EXP(-LN(2)/25)*AV158+(1-EXP(-LN(2)/25))/(LN(2)/25)*Calculateur!AQ159*Calculateur!AS159*VLOOKUP('Données projet'!$B$10,Paramètres!$A$1:$I$89,3,0)*0.475*44/12</f>
        <v>0.55070740736908141</v>
      </c>
      <c r="AW159" s="21">
        <f>EXP(-LN(2)/2)*AW158+(1-EXP(-LN(2)/2))/(LN(2)/2)*AQ159*AT159*VLOOKUP('Données projet'!$B$10,Paramètres!$A$1:$I$89,3,0)*0.475*44/12</f>
        <v>1.2222393450055845E-18</v>
      </c>
      <c r="AX159" s="21">
        <f t="shared" si="166"/>
        <v>1.2017886990487407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-4.9658410716801891E-14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268.31928207836495</v>
      </c>
      <c r="BJ159" s="59">
        <f t="shared" si="146"/>
        <v>277.61304526670204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0.16968891850946483</v>
      </c>
      <c r="BQ159" s="21">
        <f>EXP(-LN(2)/25)*BQ158+(1-EXP(-LN(2)/25))/(LN(2)/25)*Calculateur!BL159*Calculateur!BN159*VLOOKUP('Données projet'!$B$11,Paramètres!$A$1:$I$89,3,0)*0.475*44/12</f>
        <v>0.17117817126789184</v>
      </c>
      <c r="BR159" s="21">
        <f>EXP(-LN(2)/2)*BR158+(1-EXP(-LN(2)/2))/(LN(2)/2)*BL159*BO159*VLOOKUP('Données projet'!$B$11,Paramètres!$A$1:$I$89,3,0)*0.475*44/12</f>
        <v>8.850999653690471E-19</v>
      </c>
      <c r="BS159" s="22">
        <f t="shared" si="169"/>
        <v>0.34086708977735669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2.2612312022829431E-14</v>
      </c>
      <c r="CA159" s="13">
        <f t="shared" si="170"/>
        <v>4.0387900716432995E-13</v>
      </c>
      <c r="CB159" s="20">
        <f t="shared" si="171"/>
        <v>7.4280571425096929E-13</v>
      </c>
      <c r="CC159" s="59">
        <f t="shared" si="119"/>
        <v>293.33333333333405</v>
      </c>
      <c r="CD159" s="59">
        <f ca="1">AVERAGE(OFFSET($CC$3,0,0,'Données projet'!$E$12+1,1))-AVERAGE(OFFSET($H$3,0,0,'Données projet'!$E$12+1,1))</f>
        <v>241.67556898455945</v>
      </c>
      <c r="CE159" s="59">
        <f t="shared" si="148"/>
        <v>237.71070965292648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0.52087242793841693</v>
      </c>
      <c r="CL159" s="21">
        <f>EXP(-LN(2)/25)*CL158+(1-EXP(-LN(2)/25))/(LN(2)/25)*Calculateur!CG159*Calculateur!CI159*VLOOKUP('Données projet'!$B$12,Paramètres!$A$1:$I$89,3,0)*0.475*44/12</f>
        <v>0.21506945060026686</v>
      </c>
      <c r="CM159" s="21">
        <f>EXP(-LN(2)/2)*CM158+(1-EXP(-LN(2)/2))/(LN(2)/2)*CG159*CJ159*VLOOKUP('Données projet'!$B$12,Paramètres!$A$1:$I$89,3,0)*0.475*44/12</f>
        <v>7.2607171471023735E-19</v>
      </c>
      <c r="CN159" s="22">
        <f t="shared" si="172"/>
        <v>0.73594187853868376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-2.2612312022829427E-13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405.40026823646758</v>
      </c>
      <c r="T160" s="59">
        <f t="shared" si="142"/>
        <v>393.0787141050053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1.3999060278403381</v>
      </c>
      <c r="AA160" s="21">
        <f>EXP(-LN(2)/25)*AA159+(1-EXP(-LN(2)/25))/(LN(2)/25)*Calculateur!V160*Calculateur!X160*VLOOKUP('Données projet'!$B$9,Paramètres!$A$1:$I$89,3,0)*0.475*44/12</f>
        <v>0.61138623209100429</v>
      </c>
      <c r="AB160" s="21">
        <f>EXP(-LN(2)/2)*AB159+(1-EXP(-LN(2)/2))/(LN(2)/2)*V160*Y160*VLOOKUP('Données projet'!$B$9,Paramètres!$A$1:$I$89,3,0)*0.475*44/12</f>
        <v>9.0692166913809673E-19</v>
      </c>
      <c r="AC160" s="22">
        <f t="shared" si="163"/>
        <v>2.0112922599313423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4.9658410716801891E-14</v>
      </c>
      <c r="AK160" s="13">
        <f t="shared" si="164"/>
        <v>8.0934058173791862E-13</v>
      </c>
      <c r="AL160" s="20">
        <f t="shared" si="165"/>
        <v>1.4960899118586383E-12</v>
      </c>
      <c r="AM160" s="59">
        <f t="shared" si="113"/>
        <v>293.33333333333479</v>
      </c>
      <c r="AN160" s="59">
        <f ca="1">AVERAGE(OFFSET($AM$3,0,0,'Données projet'!$E$10+1,1))-AVERAGE(OFFSET($H$3,0,0,'Données projet'!$E$10+1,1))</f>
        <v>304.32767345253382</v>
      </c>
      <c r="AO160" s="59">
        <f t="shared" si="144"/>
        <v>427.16091343339173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0.63831398467019684</v>
      </c>
      <c r="AV160" s="21">
        <f>EXP(-LN(2)/25)*AV159+(1-EXP(-LN(2)/25))/(LN(2)/25)*Calculateur!AQ160*Calculateur!AS160*VLOOKUP('Données projet'!$B$10,Paramètres!$A$1:$I$89,3,0)*0.475*44/12</f>
        <v>0.53564828435413003</v>
      </c>
      <c r="AW160" s="21">
        <f>EXP(-LN(2)/2)*AW159+(1-EXP(-LN(2)/2))/(LN(2)/2)*AQ160*AT160*VLOOKUP('Données projet'!$B$10,Paramètres!$A$1:$I$89,3,0)*0.475*44/12</f>
        <v>8.6425372908645312E-19</v>
      </c>
      <c r="AX160" s="21">
        <f t="shared" si="166"/>
        <v>1.1739622690243268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-4.9658410716801891E-14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268.31928207836495</v>
      </c>
      <c r="BJ160" s="59">
        <f t="shared" si="146"/>
        <v>277.61304526670204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0.16636142231751475</v>
      </c>
      <c r="BQ160" s="21">
        <f>EXP(-LN(2)/25)*BQ159+(1-EXP(-LN(2)/25))/(LN(2)/25)*Calculateur!BL160*Calculateur!BN160*VLOOKUP('Données projet'!$B$11,Paramètres!$A$1:$I$89,3,0)*0.475*44/12</f>
        <v>0.16649729517270254</v>
      </c>
      <c r="BR160" s="21">
        <f>EXP(-LN(2)/2)*BR159+(1-EXP(-LN(2)/2))/(LN(2)/2)*BL160*BO160*VLOOKUP('Données projet'!$B$11,Paramètres!$A$1:$I$89,3,0)*0.475*44/12</f>
        <v>6.2586018754043159E-19</v>
      </c>
      <c r="BS160" s="22">
        <f t="shared" si="169"/>
        <v>0.33285871749021728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2.2612312022829431E-14</v>
      </c>
      <c r="CA160" s="13">
        <f t="shared" si="170"/>
        <v>4.0387900716432995E-13</v>
      </c>
      <c r="CB160" s="20">
        <f t="shared" si="171"/>
        <v>7.4280571425096929E-13</v>
      </c>
      <c r="CC160" s="59">
        <f t="shared" si="119"/>
        <v>293.33333333333405</v>
      </c>
      <c r="CD160" s="59">
        <f ca="1">AVERAGE(OFFSET($CC$3,0,0,'Données projet'!$E$12+1,1))-AVERAGE(OFFSET($H$3,0,0,'Données projet'!$E$12+1,1))</f>
        <v>241.67556898455945</v>
      </c>
      <c r="CE160" s="59">
        <f t="shared" si="148"/>
        <v>237.71070965292648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0.51065843732735527</v>
      </c>
      <c r="CL160" s="21">
        <f>EXP(-LN(2)/25)*CL159+(1-EXP(-LN(2)/25))/(LN(2)/25)*Calculateur!CG160*Calculateur!CI160*VLOOKUP('Données projet'!$B$12,Paramètres!$A$1:$I$89,3,0)*0.475*44/12</f>
        <v>0.20918836516359171</v>
      </c>
      <c r="CM160" s="21">
        <f>EXP(-LN(2)/2)*CM159+(1-EXP(-LN(2)/2))/(LN(2)/2)*CG160*CJ160*VLOOKUP('Données projet'!$B$12,Paramètres!$A$1:$I$89,3,0)*0.475*44/12</f>
        <v>5.1341023309935316E-19</v>
      </c>
      <c r="CN160" s="22">
        <f t="shared" si="172"/>
        <v>0.71984680249094701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-2.2612312022829427E-13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405.40026823646758</v>
      </c>
      <c r="T161" s="59">
        <f t="shared" si="142"/>
        <v>393.0787141050053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1.3724547244927545</v>
      </c>
      <c r="AA161" s="21">
        <f>EXP(-LN(2)/25)*AA160+(1-EXP(-LN(2)/25))/(LN(2)/25)*Calculateur!V161*Calculateur!X161*VLOOKUP('Données projet'!$B$9,Paramètres!$A$1:$I$89,3,0)*0.475*44/12</f>
        <v>0.59466784342307122</v>
      </c>
      <c r="AB161" s="21">
        <f>EXP(-LN(2)/2)*AB160+(1-EXP(-LN(2)/2))/(LN(2)/2)*V161*Y161*VLOOKUP('Données projet'!$B$9,Paramètres!$A$1:$I$89,3,0)*0.475*44/12</f>
        <v>6.4129046225257064E-19</v>
      </c>
      <c r="AC161" s="22">
        <f t="shared" si="163"/>
        <v>1.9671225679158257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4.9658410716801891E-14</v>
      </c>
      <c r="AK161" s="13">
        <f t="shared" si="164"/>
        <v>8.0934058173791862E-13</v>
      </c>
      <c r="AL161" s="20">
        <f t="shared" si="165"/>
        <v>1.4960899118586383E-12</v>
      </c>
      <c r="AM161" s="59">
        <f t="shared" si="113"/>
        <v>293.33333333333479</v>
      </c>
      <c r="AN161" s="59">
        <f ca="1">AVERAGE(OFFSET($AM$3,0,0,'Données projet'!$E$10+1,1))-AVERAGE(OFFSET($H$3,0,0,'Données projet'!$E$10+1,1))</f>
        <v>304.32767345253382</v>
      </c>
      <c r="AO161" s="59">
        <f t="shared" si="144"/>
        <v>427.16091343339173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0.62579703676390153</v>
      </c>
      <c r="AV161" s="21">
        <f>EXP(-LN(2)/25)*AV160+(1-EXP(-LN(2)/25))/(LN(2)/25)*Calculateur!AQ161*Calculateur!AS161*VLOOKUP('Données projet'!$B$10,Paramètres!$A$1:$I$89,3,0)*0.475*44/12</f>
        <v>0.52100095384994727</v>
      </c>
      <c r="AW161" s="21">
        <f>EXP(-LN(2)/2)*AW160+(1-EXP(-LN(2)/2))/(LN(2)/2)*AQ161*AT161*VLOOKUP('Données projet'!$B$10,Paramètres!$A$1:$I$89,3,0)*0.475*44/12</f>
        <v>6.1111967250279237E-19</v>
      </c>
      <c r="AX161" s="21">
        <f t="shared" si="166"/>
        <v>1.1467979906138488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-4.9658410716801891E-14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268.31928207836495</v>
      </c>
      <c r="BJ161" s="59">
        <f t="shared" si="146"/>
        <v>277.61304526670204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0.16309917629631651</v>
      </c>
      <c r="BQ161" s="21">
        <f>EXP(-LN(2)/25)*BQ160+(1-EXP(-LN(2)/25))/(LN(2)/25)*Calculateur!BL161*Calculateur!BN161*VLOOKUP('Données projet'!$B$11,Paramètres!$A$1:$I$89,3,0)*0.475*44/12</f>
        <v>0.16194441788049277</v>
      </c>
      <c r="BR161" s="21">
        <f>EXP(-LN(2)/2)*BR160+(1-EXP(-LN(2)/2))/(LN(2)/2)*BL161*BO161*VLOOKUP('Données projet'!$B$11,Paramètres!$A$1:$I$89,3,0)*0.475*44/12</f>
        <v>4.4254998268452355E-19</v>
      </c>
      <c r="BS161" s="22">
        <f t="shared" si="169"/>
        <v>0.32504359417680928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2.2612312022829431E-14</v>
      </c>
      <c r="CA161" s="13">
        <f t="shared" si="170"/>
        <v>4.0387900716432995E-13</v>
      </c>
      <c r="CB161" s="20">
        <f t="shared" si="171"/>
        <v>7.4280571425096929E-13</v>
      </c>
      <c r="CC161" s="59">
        <f t="shared" si="119"/>
        <v>293.33333333333405</v>
      </c>
      <c r="CD161" s="59">
        <f ca="1">AVERAGE(OFFSET($CC$3,0,0,'Données projet'!$E$12+1,1))-AVERAGE(OFFSET($H$3,0,0,'Données projet'!$E$12+1,1))</f>
        <v>241.67556898455945</v>
      </c>
      <c r="CE161" s="59">
        <f t="shared" si="148"/>
        <v>237.71070965292648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0.50064473684225741</v>
      </c>
      <c r="CL161" s="21">
        <f>EXP(-LN(2)/25)*CL160+(1-EXP(-LN(2)/25))/(LN(2)/25)*Calculateur!CG161*Calculateur!CI161*VLOOKUP('Données projet'!$B$12,Paramètres!$A$1:$I$89,3,0)*0.475*44/12</f>
        <v>0.20346809831745527</v>
      </c>
      <c r="CM161" s="21">
        <f>EXP(-LN(2)/2)*CM160+(1-EXP(-LN(2)/2))/(LN(2)/2)*CG161*CJ161*VLOOKUP('Données projet'!$B$12,Paramètres!$A$1:$I$89,3,0)*0.475*44/12</f>
        <v>3.6303585735511868E-19</v>
      </c>
      <c r="CN161" s="22">
        <f t="shared" si="172"/>
        <v>0.70411283515971268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-2.2612312022829427E-13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405.40026823646758</v>
      </c>
      <c r="T162" s="59">
        <f t="shared" si="142"/>
        <v>393.0787141050053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1.3455417244601753</v>
      </c>
      <c r="AA162" s="21">
        <f>EXP(-LN(2)/25)*AA161+(1-EXP(-LN(2)/25))/(LN(2)/25)*Calculateur!V162*Calculateur!X162*VLOOKUP('Données projet'!$B$9,Paramètres!$A$1:$I$89,3,0)*0.475*44/12</f>
        <v>0.57840661997244458</v>
      </c>
      <c r="AB162" s="21">
        <f>EXP(-LN(2)/2)*AB161+(1-EXP(-LN(2)/2))/(LN(2)/2)*V162*Y162*VLOOKUP('Données projet'!$B$9,Paramètres!$A$1:$I$89,3,0)*0.475*44/12</f>
        <v>4.5346083456904837E-19</v>
      </c>
      <c r="AC162" s="22">
        <f t="shared" si="163"/>
        <v>1.92394834443262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4.9658410716801891E-14</v>
      </c>
      <c r="AK162" s="13">
        <f t="shared" si="164"/>
        <v>8.0934058173791862E-13</v>
      </c>
      <c r="AL162" s="20">
        <f t="shared" si="165"/>
        <v>1.4960899118586383E-12</v>
      </c>
      <c r="AM162" s="59">
        <f t="shared" si="113"/>
        <v>293.33333333333479</v>
      </c>
      <c r="AN162" s="59">
        <f ca="1">AVERAGE(OFFSET($AM$3,0,0,'Données projet'!$E$10+1,1))-AVERAGE(OFFSET($H$3,0,0,'Données projet'!$E$10+1,1))</f>
        <v>304.32767345253382</v>
      </c>
      <c r="AO162" s="59">
        <f t="shared" si="144"/>
        <v>427.16091343339173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0.6135255385714643</v>
      </c>
      <c r="AV162" s="21">
        <f>EXP(-LN(2)/25)*AV161+(1-EXP(-LN(2)/25))/(LN(2)/25)*Calculateur!AQ162*Calculateur!AS162*VLOOKUP('Données projet'!$B$10,Paramètres!$A$1:$I$89,3,0)*0.475*44/12</f>
        <v>0.50675415536867108</v>
      </c>
      <c r="AW162" s="21">
        <f>EXP(-LN(2)/2)*AW161+(1-EXP(-LN(2)/2))/(LN(2)/2)*AQ162*AT162*VLOOKUP('Données projet'!$B$10,Paramètres!$A$1:$I$89,3,0)*0.475*44/12</f>
        <v>4.3212686454322661E-19</v>
      </c>
      <c r="AX162" s="21">
        <f t="shared" si="166"/>
        <v>1.1202796939401354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-4.9658410716801891E-14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268.31928207836495</v>
      </c>
      <c r="BJ162" s="59">
        <f t="shared" si="146"/>
        <v>277.61304526670204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0.15990090092982037</v>
      </c>
      <c r="BQ162" s="21">
        <f>EXP(-LN(2)/25)*BQ161+(1-EXP(-LN(2)/25))/(LN(2)/25)*Calculateur!BL162*Calculateur!BN162*VLOOKUP('Données projet'!$B$11,Paramètres!$A$1:$I$89,3,0)*0.475*44/12</f>
        <v>0.15751603925726387</v>
      </c>
      <c r="BR162" s="21">
        <f>EXP(-LN(2)/2)*BR161+(1-EXP(-LN(2)/2))/(LN(2)/2)*BL162*BO162*VLOOKUP('Données projet'!$B$11,Paramètres!$A$1:$I$89,3,0)*0.475*44/12</f>
        <v>3.1293009377021579E-19</v>
      </c>
      <c r="BS162" s="22">
        <f t="shared" si="169"/>
        <v>0.31741694018708422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2.2612312022829431E-14</v>
      </c>
      <c r="CA162" s="13">
        <f t="shared" si="170"/>
        <v>4.0387900716432995E-13</v>
      </c>
      <c r="CB162" s="20">
        <f t="shared" si="171"/>
        <v>7.4280571425096929E-13</v>
      </c>
      <c r="CC162" s="59">
        <f t="shared" si="119"/>
        <v>293.33333333333405</v>
      </c>
      <c r="CD162" s="59">
        <f ca="1">AVERAGE(OFFSET($CC$3,0,0,'Données projet'!$E$12+1,1))-AVERAGE(OFFSET($H$3,0,0,'Données projet'!$E$12+1,1))</f>
        <v>241.67556898455945</v>
      </c>
      <c r="CE162" s="59">
        <f t="shared" si="148"/>
        <v>237.71070965292648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0.49082739891591809</v>
      </c>
      <c r="CL162" s="21">
        <f>EXP(-LN(2)/25)*CL161+(1-EXP(-LN(2)/25))/(LN(2)/25)*Calculateur!CG162*Calculateur!CI162*VLOOKUP('Données projet'!$B$12,Paramètres!$A$1:$I$89,3,0)*0.475*44/12</f>
        <v>0.1979042524690422</v>
      </c>
      <c r="CM162" s="21">
        <f>EXP(-LN(2)/2)*CM161+(1-EXP(-LN(2)/2))/(LN(2)/2)*CG162*CJ162*VLOOKUP('Données projet'!$B$12,Paramètres!$A$1:$I$89,3,0)*0.475*44/12</f>
        <v>2.5670511654967658E-19</v>
      </c>
      <c r="CN162" s="22">
        <f t="shared" si="172"/>
        <v>0.68873165138496029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-2.2612312022829427E-13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405.40026823646758</v>
      </c>
      <c r="T163" s="59">
        <f t="shared" si="142"/>
        <v>393.0787141050053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1.3191564719429258</v>
      </c>
      <c r="AA163" s="21">
        <f>EXP(-LN(2)/25)*AA162+(1-EXP(-LN(2)/25))/(LN(2)/25)*Calculateur!V163*Calculateur!X163*VLOOKUP('Données projet'!$B$9,Paramètres!$A$1:$I$89,3,0)*0.475*44/12</f>
        <v>0.56259006053221594</v>
      </c>
      <c r="AB163" s="21">
        <f>EXP(-LN(2)/2)*AB162+(1-EXP(-LN(2)/2))/(LN(2)/2)*V163*Y163*VLOOKUP('Données projet'!$B$9,Paramètres!$A$1:$I$89,3,0)*0.475*44/12</f>
        <v>3.2064523112628532E-19</v>
      </c>
      <c r="AC163" s="22">
        <f t="shared" si="163"/>
        <v>1.8817465324751419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4.9658410716801891E-14</v>
      </c>
      <c r="AK163" s="13">
        <f t="shared" si="164"/>
        <v>8.0934058173791862E-13</v>
      </c>
      <c r="AL163" s="20">
        <f t="shared" si="165"/>
        <v>1.4960899118586383E-12</v>
      </c>
      <c r="AM163" s="59">
        <f t="shared" si="113"/>
        <v>293.33333333333479</v>
      </c>
      <c r="AN163" s="59">
        <f ca="1">AVERAGE(OFFSET($AM$3,0,0,'Données projet'!$E$10+1,1))-AVERAGE(OFFSET($H$3,0,0,'Données projet'!$E$10+1,1))</f>
        <v>304.32767345253382</v>
      </c>
      <c r="AO163" s="59">
        <f t="shared" si="144"/>
        <v>427.16091343339173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0.60149467697370584</v>
      </c>
      <c r="AV163" s="21">
        <f>EXP(-LN(2)/25)*AV162+(1-EXP(-LN(2)/25))/(LN(2)/25)*Calculateur!AQ163*Calculateur!AS163*VLOOKUP('Données projet'!$B$10,Paramètres!$A$1:$I$89,3,0)*0.475*44/12</f>
        <v>0.49289693634107196</v>
      </c>
      <c r="AW163" s="21">
        <f>EXP(-LN(2)/2)*AW162+(1-EXP(-LN(2)/2))/(LN(2)/2)*AQ163*AT163*VLOOKUP('Données projet'!$B$10,Paramètres!$A$1:$I$89,3,0)*0.475*44/12</f>
        <v>3.0555983625139623E-19</v>
      </c>
      <c r="AX163" s="21">
        <f t="shared" si="166"/>
        <v>1.0943916133147777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-4.9658410716801891E-14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268.31928207836495</v>
      </c>
      <c r="BJ163" s="59">
        <f t="shared" si="146"/>
        <v>277.61304526670204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0.15676534179250587</v>
      </c>
      <c r="BQ163" s="21">
        <f>EXP(-LN(2)/25)*BQ162+(1-EXP(-LN(2)/25))/(LN(2)/25)*Calculateur!BL163*Calculateur!BN163*VLOOKUP('Données projet'!$B$11,Paramètres!$A$1:$I$89,3,0)*0.475*44/12</f>
        <v>0.15320875488036551</v>
      </c>
      <c r="BR163" s="21">
        <f>EXP(-LN(2)/2)*BR162+(1-EXP(-LN(2)/2))/(LN(2)/2)*BL163*BO163*VLOOKUP('Données projet'!$B$11,Paramètres!$A$1:$I$89,3,0)*0.475*44/12</f>
        <v>2.2127499134226178E-19</v>
      </c>
      <c r="BS163" s="22">
        <f t="shared" si="169"/>
        <v>0.30997409667287135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2.2612312022829431E-14</v>
      </c>
      <c r="CA163" s="13">
        <f t="shared" si="170"/>
        <v>4.0387900716432995E-13</v>
      </c>
      <c r="CB163" s="20">
        <f t="shared" si="171"/>
        <v>7.4280571425096929E-13</v>
      </c>
      <c r="CC163" s="59">
        <f t="shared" si="119"/>
        <v>293.33333333333405</v>
      </c>
      <c r="CD163" s="59">
        <f ca="1">AVERAGE(OFFSET($CC$3,0,0,'Données projet'!$E$12+1,1))-AVERAGE(OFFSET($H$3,0,0,'Données projet'!$E$12+1,1))</f>
        <v>241.67556898455945</v>
      </c>
      <c r="CE163" s="59">
        <f t="shared" si="148"/>
        <v>237.71070965292648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0.48120257299832941</v>
      </c>
      <c r="CL163" s="21">
        <f>EXP(-LN(2)/25)*CL162+(1-EXP(-LN(2)/25))/(LN(2)/25)*Calculateur!CG163*Calculateur!CI163*VLOOKUP('Données projet'!$B$12,Paramètres!$A$1:$I$89,3,0)*0.475*44/12</f>
        <v>0.19249255027794393</v>
      </c>
      <c r="CM163" s="21">
        <f>EXP(-LN(2)/2)*CM162+(1-EXP(-LN(2)/2))/(LN(2)/2)*CG163*CJ163*VLOOKUP('Données projet'!$B$12,Paramètres!$A$1:$I$89,3,0)*0.475*44/12</f>
        <v>1.8151792867755934E-19</v>
      </c>
      <c r="CN163" s="22">
        <f t="shared" si="172"/>
        <v>0.67369512327627334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-2.2612312022829427E-13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405.40026823646758</v>
      </c>
      <c r="T164" s="59">
        <f t="shared" si="142"/>
        <v>393.0787141050053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1.2932886181341248</v>
      </c>
      <c r="AA164" s="21">
        <f>EXP(-LN(2)/25)*AA163+(1-EXP(-LN(2)/25))/(LN(2)/25)*Calculateur!V164*Calculateur!X164*VLOOKUP('Données projet'!$B$9,Paramètres!$A$1:$I$89,3,0)*0.475*44/12</f>
        <v>0.54720600574163702</v>
      </c>
      <c r="AB164" s="21">
        <f>EXP(-LN(2)/2)*AB163+(1-EXP(-LN(2)/2))/(LN(2)/2)*V164*Y164*VLOOKUP('Données projet'!$B$9,Paramètres!$A$1:$I$89,3,0)*0.475*44/12</f>
        <v>2.2673041728452418E-19</v>
      </c>
      <c r="AC164" s="22">
        <f t="shared" si="163"/>
        <v>1.8404946238757618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4.9658410716801891E-14</v>
      </c>
      <c r="AK164" s="13">
        <f t="shared" si="164"/>
        <v>8.0934058173791862E-13</v>
      </c>
      <c r="AL164" s="20">
        <f t="shared" si="165"/>
        <v>1.4960899118586383E-12</v>
      </c>
      <c r="AM164" s="59">
        <f t="shared" si="113"/>
        <v>293.33333333333479</v>
      </c>
      <c r="AN164" s="59">
        <f ca="1">AVERAGE(OFFSET($AM$3,0,0,'Données projet'!$E$10+1,1))-AVERAGE(OFFSET($H$3,0,0,'Données projet'!$E$10+1,1))</f>
        <v>304.32767345253382</v>
      </c>
      <c r="AO164" s="59">
        <f t="shared" si="144"/>
        <v>427.16091343339173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0.58969973323377844</v>
      </c>
      <c r="AV164" s="21">
        <f>EXP(-LN(2)/25)*AV163+(1-EXP(-LN(2)/25))/(LN(2)/25)*Calculateur!AQ164*Calculateur!AS164*VLOOKUP('Données projet'!$B$10,Paramètres!$A$1:$I$89,3,0)*0.475*44/12</f>
        <v>0.479418643696502</v>
      </c>
      <c r="AW164" s="21">
        <f>EXP(-LN(2)/2)*AW163+(1-EXP(-LN(2)/2))/(LN(2)/2)*AQ164*AT164*VLOOKUP('Données projet'!$B$10,Paramètres!$A$1:$I$89,3,0)*0.475*44/12</f>
        <v>2.1606343227161335E-19</v>
      </c>
      <c r="AX164" s="21">
        <f t="shared" si="166"/>
        <v>1.0691183769302803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-4.9658410716801891E-14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268.31928207836495</v>
      </c>
      <c r="BJ164" s="59">
        <f t="shared" si="146"/>
        <v>277.61304526670204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0.15369126905737188</v>
      </c>
      <c r="BQ164" s="21">
        <f>EXP(-LN(2)/25)*BQ163+(1-EXP(-LN(2)/25))/(LN(2)/25)*Calculateur!BL164*Calculateur!BN164*VLOOKUP('Données projet'!$B$11,Paramètres!$A$1:$I$89,3,0)*0.475*44/12</f>
        <v>0.14901925342126365</v>
      </c>
      <c r="BR164" s="21">
        <f>EXP(-LN(2)/2)*BR163+(1-EXP(-LN(2)/2))/(LN(2)/2)*BL164*BO164*VLOOKUP('Données projet'!$B$11,Paramètres!$A$1:$I$89,3,0)*0.475*44/12</f>
        <v>1.564650468851079E-19</v>
      </c>
      <c r="BS164" s="22">
        <f t="shared" si="169"/>
        <v>0.3027105224786355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2.2612312022829431E-14</v>
      </c>
      <c r="CA164" s="13">
        <f t="shared" si="170"/>
        <v>4.0387900716432995E-13</v>
      </c>
      <c r="CB164" s="20">
        <f t="shared" si="171"/>
        <v>7.4280571425096929E-13</v>
      </c>
      <c r="CC164" s="59">
        <f t="shared" si="119"/>
        <v>293.33333333333405</v>
      </c>
      <c r="CD164" s="59">
        <f ca="1">AVERAGE(OFFSET($CC$3,0,0,'Données projet'!$E$12+1,1))-AVERAGE(OFFSET($H$3,0,0,'Données projet'!$E$12+1,1))</f>
        <v>241.67556898455945</v>
      </c>
      <c r="CE164" s="59">
        <f t="shared" si="148"/>
        <v>237.71070965292648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0.47176648404642052</v>
      </c>
      <c r="CL164" s="21">
        <f>EXP(-LN(2)/25)*CL163+(1-EXP(-LN(2)/25))/(LN(2)/25)*Calculateur!CG164*Calculateur!CI164*VLOOKUP('Données projet'!$B$12,Paramètres!$A$1:$I$89,3,0)*0.475*44/12</f>
        <v>0.18722883136785029</v>
      </c>
      <c r="CM164" s="21">
        <f>EXP(-LN(2)/2)*CM163+(1-EXP(-LN(2)/2))/(LN(2)/2)*CG164*CJ164*VLOOKUP('Données projet'!$B$12,Paramètres!$A$1:$I$89,3,0)*0.475*44/12</f>
        <v>1.2835255827483829E-19</v>
      </c>
      <c r="CN164" s="22">
        <f t="shared" si="172"/>
        <v>0.65899531541427081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-2.2612312022829427E-13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405.40026823646758</v>
      </c>
      <c r="T165" s="59">
        <f t="shared" si="142"/>
        <v>393.0787141050053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1.2679280171606813</v>
      </c>
      <c r="AA165" s="21">
        <f>EXP(-LN(2)/25)*AA164+(1-EXP(-LN(2)/25))/(LN(2)/25)*Calculateur!V165*Calculateur!X165*VLOOKUP('Données projet'!$B$9,Paramètres!$A$1:$I$89,3,0)*0.475*44/12</f>
        <v>0.53224262873831873</v>
      </c>
      <c r="AB165" s="21">
        <f>EXP(-LN(2)/2)*AB164+(1-EXP(-LN(2)/2))/(LN(2)/2)*V165*Y165*VLOOKUP('Données projet'!$B$9,Paramètres!$A$1:$I$89,3,0)*0.475*44/12</f>
        <v>1.6032261556314266E-19</v>
      </c>
      <c r="AC165" s="22">
        <f t="shared" si="163"/>
        <v>1.8001706458990001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4.9658410716801891E-14</v>
      </c>
      <c r="AK165" s="13">
        <f t="shared" si="164"/>
        <v>8.0934058173791862E-13</v>
      </c>
      <c r="AL165" s="20">
        <f t="shared" si="165"/>
        <v>1.4960899118586383E-12</v>
      </c>
      <c r="AM165" s="59">
        <f t="shared" si="113"/>
        <v>293.33333333333479</v>
      </c>
      <c r="AN165" s="59">
        <f ca="1">AVERAGE(OFFSET($AM$3,0,0,'Données projet'!$E$10+1,1))-AVERAGE(OFFSET($H$3,0,0,'Données projet'!$E$10+1,1))</f>
        <v>304.32767345253382</v>
      </c>
      <c r="AO165" s="59">
        <f t="shared" si="144"/>
        <v>427.16091343339173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0.57813608114638571</v>
      </c>
      <c r="AV165" s="21">
        <f>EXP(-LN(2)/25)*AV164+(1-EXP(-LN(2)/25))/(LN(2)/25)*Calculateur!AQ165*Calculateur!AS165*VLOOKUP('Données projet'!$B$10,Paramètres!$A$1:$I$89,3,0)*0.475*44/12</f>
        <v>0.46630891567309041</v>
      </c>
      <c r="AW165" s="21">
        <f>EXP(-LN(2)/2)*AW164+(1-EXP(-LN(2)/2))/(LN(2)/2)*AQ165*AT165*VLOOKUP('Données projet'!$B$10,Paramètres!$A$1:$I$89,3,0)*0.475*44/12</f>
        <v>1.5277991812569814E-19</v>
      </c>
      <c r="AX165" s="21">
        <f t="shared" si="166"/>
        <v>1.0444449968194762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-4.9658410716801891E-14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268.31928207836495</v>
      </c>
      <c r="BJ165" s="59">
        <f t="shared" si="146"/>
        <v>277.61304526670204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0.15067747701357465</v>
      </c>
      <c r="BQ165" s="21">
        <f>EXP(-LN(2)/25)*BQ164+(1-EXP(-LN(2)/25))/(LN(2)/25)*Calculateur!BL165*Calculateur!BN165*VLOOKUP('Données projet'!$B$11,Paramètres!$A$1:$I$89,3,0)*0.475*44/12</f>
        <v>0.14494431409987724</v>
      </c>
      <c r="BR165" s="21">
        <f>EXP(-LN(2)/2)*BR164+(1-EXP(-LN(2)/2))/(LN(2)/2)*BL165*BO165*VLOOKUP('Données projet'!$B$11,Paramètres!$A$1:$I$89,3,0)*0.475*44/12</f>
        <v>1.1063749567113089E-19</v>
      </c>
      <c r="BS165" s="22">
        <f t="shared" si="169"/>
        <v>0.29562179111345188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2.2612312022829431E-14</v>
      </c>
      <c r="CA165" s="13">
        <f t="shared" si="170"/>
        <v>4.0387900716432995E-13</v>
      </c>
      <c r="CB165" s="20">
        <f t="shared" si="171"/>
        <v>7.4280571425096929E-13</v>
      </c>
      <c r="CC165" s="59">
        <f t="shared" si="119"/>
        <v>293.33333333333405</v>
      </c>
      <c r="CD165" s="59">
        <f ca="1">AVERAGE(OFFSET($CC$3,0,0,'Données projet'!$E$12+1,1))-AVERAGE(OFFSET($H$3,0,0,'Données projet'!$E$12+1,1))</f>
        <v>241.67556898455945</v>
      </c>
      <c r="CE165" s="59">
        <f t="shared" si="148"/>
        <v>237.71070965292648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0.46251543104341264</v>
      </c>
      <c r="CL165" s="21">
        <f>EXP(-LN(2)/25)*CL164+(1-EXP(-LN(2)/25))/(LN(2)/25)*Calculateur!CG165*Calculateur!CI165*VLOOKUP('Données projet'!$B$12,Paramètres!$A$1:$I$89,3,0)*0.475*44/12</f>
        <v>0.18210904912816009</v>
      </c>
      <c r="CM165" s="21">
        <f>EXP(-LN(2)/2)*CM164+(1-EXP(-LN(2)/2))/(LN(2)/2)*CG165*CJ165*VLOOKUP('Données projet'!$B$12,Paramètres!$A$1:$I$89,3,0)*0.475*44/12</f>
        <v>9.0758964338779669E-20</v>
      </c>
      <c r="CN165" s="22">
        <f t="shared" si="172"/>
        <v>0.6446244801715727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-2.2612312022829427E-13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405.40026823646758</v>
      </c>
      <c r="T166" s="59">
        <f t="shared" si="142"/>
        <v>393.0787141050053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1.2430647221038877</v>
      </c>
      <c r="AA166" s="21">
        <f>EXP(-LN(2)/25)*AA165+(1-EXP(-LN(2)/25))/(LN(2)/25)*Calculateur!V166*Calculateur!X166*VLOOKUP('Données projet'!$B$9,Paramètres!$A$1:$I$89,3,0)*0.475*44/12</f>
        <v>0.51768842606604604</v>
      </c>
      <c r="AB166" s="21">
        <f>EXP(-LN(2)/2)*AB165+(1-EXP(-LN(2)/2))/(LN(2)/2)*V166*Y166*VLOOKUP('Données projet'!$B$9,Paramètres!$A$1:$I$89,3,0)*0.475*44/12</f>
        <v>1.1336520864226209E-19</v>
      </c>
      <c r="AC166" s="22">
        <f t="shared" si="163"/>
        <v>1.7607531481699339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4.9658410716801891E-14</v>
      </c>
      <c r="AK166" s="13">
        <f t="shared" si="164"/>
        <v>8.0934058173791862E-13</v>
      </c>
      <c r="AL166" s="20">
        <f t="shared" si="165"/>
        <v>1.4960899118586383E-12</v>
      </c>
      <c r="AM166" s="59">
        <f t="shared" si="113"/>
        <v>293.33333333333479</v>
      </c>
      <c r="AN166" s="59">
        <f ca="1">AVERAGE(OFFSET($AM$3,0,0,'Données projet'!$E$10+1,1))-AVERAGE(OFFSET($H$3,0,0,'Données projet'!$E$10+1,1))</f>
        <v>304.32767345253382</v>
      </c>
      <c r="AO166" s="59">
        <f t="shared" si="144"/>
        <v>427.16091343339173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0.56679918522329542</v>
      </c>
      <c r="AV166" s="21">
        <f>EXP(-LN(2)/25)*AV165+(1-EXP(-LN(2)/25))/(LN(2)/25)*Calculateur!AQ166*Calculateur!AS166*VLOOKUP('Données projet'!$B$10,Paramètres!$A$1:$I$89,3,0)*0.475*44/12</f>
        <v>0.45355767385188966</v>
      </c>
      <c r="AW166" s="21">
        <f>EXP(-LN(2)/2)*AW165+(1-EXP(-LN(2)/2))/(LN(2)/2)*AQ166*AT166*VLOOKUP('Données projet'!$B$10,Paramètres!$A$1:$I$89,3,0)*0.475*44/12</f>
        <v>1.0803171613580669E-19</v>
      </c>
      <c r="AX166" s="21">
        <f t="shared" si="166"/>
        <v>1.020356859075185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-4.9658410716801891E-14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268.31928207836495</v>
      </c>
      <c r="BJ166" s="59">
        <f t="shared" si="146"/>
        <v>277.61304526670204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0.14772278359352464</v>
      </c>
      <c r="BQ166" s="21">
        <f>EXP(-LN(2)/25)*BQ165+(1-EXP(-LN(2)/25))/(LN(2)/25)*Calculateur!BL166*Calculateur!BN166*VLOOKUP('Données projet'!$B$11,Paramètres!$A$1:$I$89,3,0)*0.475*44/12</f>
        <v>0.14098080420852588</v>
      </c>
      <c r="BR166" s="21">
        <f>EXP(-LN(2)/2)*BR165+(1-EXP(-LN(2)/2))/(LN(2)/2)*BL166*BO166*VLOOKUP('Données projet'!$B$11,Paramètres!$A$1:$I$89,3,0)*0.475*44/12</f>
        <v>7.8232523442553948E-20</v>
      </c>
      <c r="BS166" s="22">
        <f t="shared" si="169"/>
        <v>0.28870358780205052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2.2612312022829431E-14</v>
      </c>
      <c r="CA166" s="13">
        <f t="shared" si="170"/>
        <v>4.0387900716432995E-13</v>
      </c>
      <c r="CB166" s="20">
        <f t="shared" si="171"/>
        <v>7.4280571425096929E-13</v>
      </c>
      <c r="CC166" s="59">
        <f t="shared" si="119"/>
        <v>293.33333333333405</v>
      </c>
      <c r="CD166" s="59">
        <f ca="1">AVERAGE(OFFSET($CC$3,0,0,'Données projet'!$E$12+1,1))-AVERAGE(OFFSET($H$3,0,0,'Données projet'!$E$12+1,1))</f>
        <v>241.67556898455945</v>
      </c>
      <c r="CE166" s="59">
        <f t="shared" si="148"/>
        <v>237.71070965292648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0.45344578554720855</v>
      </c>
      <c r="CL166" s="21">
        <f>EXP(-LN(2)/25)*CL165+(1-EXP(-LN(2)/25))/(LN(2)/25)*Calculateur!CG166*Calculateur!CI166*VLOOKUP('Données projet'!$B$12,Paramètres!$A$1:$I$89,3,0)*0.475*44/12</f>
        <v>0.17712926760305187</v>
      </c>
      <c r="CM166" s="21">
        <f>EXP(-LN(2)/2)*CM165+(1-EXP(-LN(2)/2))/(LN(2)/2)*CG166*CJ166*VLOOKUP('Données projet'!$B$12,Paramètres!$A$1:$I$89,3,0)*0.475*44/12</f>
        <v>6.4176279137419145E-20</v>
      </c>
      <c r="CN166" s="22">
        <f t="shared" si="172"/>
        <v>0.63057505315026041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-2.2612312022829427E-13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405.40026823646758</v>
      </c>
      <c r="T167" s="59">
        <f t="shared" si="142"/>
        <v>393.0787141050053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1.2186889810980455</v>
      </c>
      <c r="AA167" s="21">
        <f>EXP(-LN(2)/25)*AA166+(1-EXP(-LN(2)/25))/(LN(2)/25)*Calculateur!V167*Calculateur!X167*VLOOKUP('Données projet'!$B$9,Paramètres!$A$1:$I$89,3,0)*0.475*44/12</f>
        <v>0.50353220883121885</v>
      </c>
      <c r="AB167" s="21">
        <f>EXP(-LN(2)/2)*AB166+(1-EXP(-LN(2)/2))/(LN(2)/2)*V167*Y167*VLOOKUP('Données projet'!$B$9,Paramètres!$A$1:$I$89,3,0)*0.475*44/12</f>
        <v>8.016130778157133E-20</v>
      </c>
      <c r="AC167" s="22">
        <f t="shared" si="163"/>
        <v>1.7222211899292643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4.9658410716801891E-14</v>
      </c>
      <c r="AK167" s="13">
        <f t="shared" si="164"/>
        <v>8.0934058173791862E-13</v>
      </c>
      <c r="AL167" s="20">
        <f t="shared" si="165"/>
        <v>1.4960899118586383E-12</v>
      </c>
      <c r="AM167" s="59">
        <f t="shared" si="113"/>
        <v>293.33333333333479</v>
      </c>
      <c r="AN167" s="59">
        <f ca="1">AVERAGE(OFFSET($AM$3,0,0,'Données projet'!$E$10+1,1))-AVERAGE(OFFSET($H$3,0,0,'Données projet'!$E$10+1,1))</f>
        <v>304.32767345253382</v>
      </c>
      <c r="AO167" s="59">
        <f t="shared" si="144"/>
        <v>427.16091343339173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0.55568459891443323</v>
      </c>
      <c r="AV167" s="21">
        <f>EXP(-LN(2)/25)*AV166+(1-EXP(-LN(2)/25))/(LN(2)/25)*Calculateur!AQ167*Calculateur!AS167*VLOOKUP('Données projet'!$B$10,Paramètres!$A$1:$I$89,3,0)*0.475*44/12</f>
        <v>0.44115511540884828</v>
      </c>
      <c r="AW167" s="21">
        <f>EXP(-LN(2)/2)*AW166+(1-EXP(-LN(2)/2))/(LN(2)/2)*AQ167*AT167*VLOOKUP('Données projet'!$B$10,Paramètres!$A$1:$I$89,3,0)*0.475*44/12</f>
        <v>7.6389959062849082E-20</v>
      </c>
      <c r="AX167" s="21">
        <f t="shared" si="166"/>
        <v>0.99683971432328145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-4.9658410716801891E-14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268.31928207836495</v>
      </c>
      <c r="BJ167" s="59">
        <f t="shared" si="146"/>
        <v>277.61304526670204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0.14482602990925678</v>
      </c>
      <c r="BQ167" s="21">
        <f>EXP(-LN(2)/25)*BQ166+(1-EXP(-LN(2)/25))/(LN(2)/25)*Calculateur!BL167*Calculateur!BN167*VLOOKUP('Données projet'!$B$11,Paramètres!$A$1:$I$89,3,0)*0.475*44/12</f>
        <v>0.13712567670358547</v>
      </c>
      <c r="BR167" s="21">
        <f>EXP(-LN(2)/2)*BR166+(1-EXP(-LN(2)/2))/(LN(2)/2)*BL167*BO167*VLOOKUP('Données projet'!$B$11,Paramètres!$A$1:$I$89,3,0)*0.475*44/12</f>
        <v>5.5318747835565444E-20</v>
      </c>
      <c r="BS167" s="22">
        <f t="shared" si="169"/>
        <v>0.28195170661284225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2.2612312022829431E-14</v>
      </c>
      <c r="CA167" s="13">
        <f t="shared" si="170"/>
        <v>4.0387900716432995E-13</v>
      </c>
      <c r="CB167" s="20">
        <f t="shared" si="171"/>
        <v>7.4280571425096929E-13</v>
      </c>
      <c r="CC167" s="59">
        <f t="shared" si="119"/>
        <v>293.33333333333405</v>
      </c>
      <c r="CD167" s="59">
        <f ca="1">AVERAGE(OFFSET($CC$3,0,0,'Données projet'!$E$12+1,1))-AVERAGE(OFFSET($H$3,0,0,'Données projet'!$E$12+1,1))</f>
        <v>241.67556898455945</v>
      </c>
      <c r="CE167" s="59">
        <f t="shared" si="148"/>
        <v>237.71070965292648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0.44455399026724751</v>
      </c>
      <c r="CL167" s="21">
        <f>EXP(-LN(2)/25)*CL166+(1-EXP(-LN(2)/25))/(LN(2)/25)*Calculateur!CG167*Calculateur!CI167*VLOOKUP('Données projet'!$B$12,Paramètres!$A$1:$I$89,3,0)*0.475*44/12</f>
        <v>0.17228565846562308</v>
      </c>
      <c r="CM167" s="21">
        <f>EXP(-LN(2)/2)*CM166+(1-EXP(-LN(2)/2))/(LN(2)/2)*CG167*CJ167*VLOOKUP('Données projet'!$B$12,Paramètres!$A$1:$I$89,3,0)*0.475*44/12</f>
        <v>4.5379482169389835E-20</v>
      </c>
      <c r="CN167" s="22">
        <f t="shared" si="172"/>
        <v>0.61683964873287056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-2.2612312022829427E-13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405.40026823646758</v>
      </c>
      <c r="T168" s="59">
        <f t="shared" si="142"/>
        <v>393.0787141050053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1.1947912335055939</v>
      </c>
      <c r="AA168" s="21">
        <f>EXP(-LN(2)/25)*AA167+(1-EXP(-LN(2)/25))/(LN(2)/25)*Calculateur!V168*Calculateur!X168*VLOOKUP('Données projet'!$B$9,Paramètres!$A$1:$I$89,3,0)*0.475*44/12</f>
        <v>0.48976309410112118</v>
      </c>
      <c r="AB168" s="21">
        <f>EXP(-LN(2)/2)*AB167+(1-EXP(-LN(2)/2))/(LN(2)/2)*V168*Y168*VLOOKUP('Données projet'!$B$9,Paramètres!$A$1:$I$89,3,0)*0.475*44/12</f>
        <v>5.6682604321131046E-20</v>
      </c>
      <c r="AC168" s="22">
        <f t="shared" si="163"/>
        <v>1.684554327606715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4.9658410716801891E-14</v>
      </c>
      <c r="AK168" s="13">
        <f t="shared" si="164"/>
        <v>8.0934058173791862E-13</v>
      </c>
      <c r="AL168" s="20">
        <f t="shared" si="165"/>
        <v>1.4960899118586383E-12</v>
      </c>
      <c r="AM168" s="59">
        <f t="shared" si="113"/>
        <v>293.33333333333479</v>
      </c>
      <c r="AN168" s="59">
        <f ca="1">AVERAGE(OFFSET($AM$3,0,0,'Données projet'!$E$10+1,1))-AVERAGE(OFFSET($H$3,0,0,'Données projet'!$E$10+1,1))</f>
        <v>304.32767345253382</v>
      </c>
      <c r="AO168" s="59">
        <f t="shared" si="144"/>
        <v>427.16091343339173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0.54478796286385955</v>
      </c>
      <c r="AV168" s="21">
        <f>EXP(-LN(2)/25)*AV167+(1-EXP(-LN(2)/25))/(LN(2)/25)*Calculateur!AQ168*Calculateur!AS168*VLOOKUP('Données projet'!$B$10,Paramètres!$A$1:$I$89,3,0)*0.475*44/12</f>
        <v>0.42909170557865406</v>
      </c>
      <c r="AW168" s="21">
        <f>EXP(-LN(2)/2)*AW167+(1-EXP(-LN(2)/2))/(LN(2)/2)*AQ168*AT168*VLOOKUP('Données projet'!$B$10,Paramètres!$A$1:$I$89,3,0)*0.475*44/12</f>
        <v>5.401585806790335E-20</v>
      </c>
      <c r="AX168" s="21">
        <f t="shared" si="166"/>
        <v>0.97387966844251361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-4.9658410716801891E-14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268.31928207836495</v>
      </c>
      <c r="BJ168" s="59">
        <f t="shared" si="146"/>
        <v>277.61304526670204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0.14198607979789213</v>
      </c>
      <c r="BQ168" s="21">
        <f>EXP(-LN(2)/25)*BQ167+(1-EXP(-LN(2)/25))/(LN(2)/25)*Calculateur!BL168*Calculateur!BN168*VLOOKUP('Données projet'!$B$11,Paramètres!$A$1:$I$89,3,0)*0.475*44/12</f>
        <v>0.13337596786299999</v>
      </c>
      <c r="BR168" s="21">
        <f>EXP(-LN(2)/2)*BR167+(1-EXP(-LN(2)/2))/(LN(2)/2)*BL168*BO168*VLOOKUP('Données projet'!$B$11,Paramètres!$A$1:$I$89,3,0)*0.475*44/12</f>
        <v>3.9116261721276974E-20</v>
      </c>
      <c r="BS168" s="22">
        <f t="shared" si="169"/>
        <v>0.27536204766089212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2.2612312022829431E-14</v>
      </c>
      <c r="CA168" s="13">
        <f t="shared" si="170"/>
        <v>4.0387900716432995E-13</v>
      </c>
      <c r="CB168" s="20">
        <f t="shared" si="171"/>
        <v>7.4280571425096929E-13</v>
      </c>
      <c r="CC168" s="59">
        <f t="shared" si="119"/>
        <v>293.33333333333405</v>
      </c>
      <c r="CD168" s="59">
        <f ca="1">AVERAGE(OFFSET($CC$3,0,0,'Données projet'!$E$12+1,1))-AVERAGE(OFFSET($H$3,0,0,'Données projet'!$E$12+1,1))</f>
        <v>241.67556898455945</v>
      </c>
      <c r="CE168" s="59">
        <f t="shared" si="148"/>
        <v>237.71070965292648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0.43583655766926688</v>
      </c>
      <c r="CL168" s="21">
        <f>EXP(-LN(2)/25)*CL167+(1-EXP(-LN(2)/25))/(LN(2)/25)*Calculateur!CG168*Calculateur!CI168*VLOOKUP('Données projet'!$B$12,Paramètres!$A$1:$I$89,3,0)*0.475*44/12</f>
        <v>0.16757449807477159</v>
      </c>
      <c r="CM168" s="21">
        <f>EXP(-LN(2)/2)*CM167+(1-EXP(-LN(2)/2))/(LN(2)/2)*CG168*CJ168*VLOOKUP('Données projet'!$B$12,Paramètres!$A$1:$I$89,3,0)*0.475*44/12</f>
        <v>3.2088139568709573E-20</v>
      </c>
      <c r="CN168" s="22">
        <f t="shared" si="172"/>
        <v>0.60341105574403842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-2.2612312022829427E-13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405.40026823646758</v>
      </c>
      <c r="T169" s="59">
        <f t="shared" si="142"/>
        <v>393.0787141050053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1.1713621061672435</v>
      </c>
      <c r="AA169" s="21">
        <f>EXP(-LN(2)/25)*AA168+(1-EXP(-LN(2)/25))/(LN(2)/25)*Calculateur!V169*Calculateur!X169*VLOOKUP('Données projet'!$B$9,Paramètres!$A$1:$I$89,3,0)*0.475*44/12</f>
        <v>0.47637049653740426</v>
      </c>
      <c r="AB169" s="21">
        <f>EXP(-LN(2)/2)*AB168+(1-EXP(-LN(2)/2))/(LN(2)/2)*V169*Y169*VLOOKUP('Données projet'!$B$9,Paramètres!$A$1:$I$89,3,0)*0.475*44/12</f>
        <v>4.0080653890785665E-20</v>
      </c>
      <c r="AC169" s="22">
        <f t="shared" si="163"/>
        <v>1.6477326027046477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4.9658410716801891E-14</v>
      </c>
      <c r="AK169" s="13">
        <f t="shared" si="164"/>
        <v>8.0934058173791862E-13</v>
      </c>
      <c r="AL169" s="20">
        <f t="shared" si="165"/>
        <v>1.4960899118586383E-12</v>
      </c>
      <c r="AM169" s="59">
        <f t="shared" si="113"/>
        <v>293.33333333333479</v>
      </c>
      <c r="AN169" s="59">
        <f ca="1">AVERAGE(OFFSET($AM$3,0,0,'Données projet'!$E$10+1,1))-AVERAGE(OFFSET($H$3,0,0,'Données projet'!$E$10+1,1))</f>
        <v>304.32767345253382</v>
      </c>
      <c r="AO169" s="59">
        <f t="shared" si="144"/>
        <v>427.16091343339173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0.53410500319994592</v>
      </c>
      <c r="AV169" s="21">
        <f>EXP(-LN(2)/25)*AV168+(1-EXP(-LN(2)/25))/(LN(2)/25)*Calculateur!AQ169*Calculateur!AS169*VLOOKUP('Données projet'!$B$10,Paramètres!$A$1:$I$89,3,0)*0.475*44/12</f>
        <v>0.41735817032465367</v>
      </c>
      <c r="AW169" s="21">
        <f>EXP(-LN(2)/2)*AW168+(1-EXP(-LN(2)/2))/(LN(2)/2)*AQ169*AT169*VLOOKUP('Données projet'!$B$10,Paramètres!$A$1:$I$89,3,0)*0.475*44/12</f>
        <v>3.8194979531424547E-20</v>
      </c>
      <c r="AX169" s="21">
        <f t="shared" si="166"/>
        <v>0.95146317352459953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-4.9658410716801891E-14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268.31928207836495</v>
      </c>
      <c r="BJ169" s="59">
        <f t="shared" si="146"/>
        <v>277.61304526670204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0.13920181937601281</v>
      </c>
      <c r="BQ169" s="21">
        <f>EXP(-LN(2)/25)*BQ168+(1-EXP(-LN(2)/25))/(LN(2)/25)*Calculateur!BL169*Calculateur!BN169*VLOOKUP('Données projet'!$B$11,Paramètres!$A$1:$I$89,3,0)*0.475*44/12</f>
        <v>0.12972879500784895</v>
      </c>
      <c r="BR169" s="21">
        <f>EXP(-LN(2)/2)*BR168+(1-EXP(-LN(2)/2))/(LN(2)/2)*BL169*BO169*VLOOKUP('Données projet'!$B$11,Paramètres!$A$1:$I$89,3,0)*0.475*44/12</f>
        <v>2.7659373917782722E-20</v>
      </c>
      <c r="BS169" s="22">
        <f t="shared" si="169"/>
        <v>0.26893061438386179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2.2612312022829431E-14</v>
      </c>
      <c r="CA169" s="13">
        <f t="shared" si="170"/>
        <v>4.0387900716432995E-13</v>
      </c>
      <c r="CB169" s="20">
        <f t="shared" si="171"/>
        <v>7.4280571425096929E-13</v>
      </c>
      <c r="CC169" s="59">
        <f t="shared" si="119"/>
        <v>293.33333333333405</v>
      </c>
      <c r="CD169" s="59">
        <f ca="1">AVERAGE(OFFSET($CC$3,0,0,'Données projet'!$E$12+1,1))-AVERAGE(OFFSET($H$3,0,0,'Données projet'!$E$12+1,1))</f>
        <v>241.67556898455945</v>
      </c>
      <c r="CE169" s="59">
        <f t="shared" si="148"/>
        <v>237.71070965292648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0.4272900686074238</v>
      </c>
      <c r="CL169" s="21">
        <f>EXP(-LN(2)/25)*CL168+(1-EXP(-LN(2)/25))/(LN(2)/25)*Calculateur!CG169*Calculateur!CI169*VLOOKUP('Données projet'!$B$12,Paramètres!$A$1:$I$89,3,0)*0.475*44/12</f>
        <v>0.16299216461255711</v>
      </c>
      <c r="CM169" s="21">
        <f>EXP(-LN(2)/2)*CM168+(1-EXP(-LN(2)/2))/(LN(2)/2)*CG169*CJ169*VLOOKUP('Données projet'!$B$12,Paramètres!$A$1:$I$89,3,0)*0.475*44/12</f>
        <v>2.2689741084694917E-20</v>
      </c>
      <c r="CN169" s="22">
        <f t="shared" si="172"/>
        <v>0.59028223321998086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-2.2612312022829427E-13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405.40026823646758</v>
      </c>
      <c r="T170" s="59">
        <f t="shared" si="142"/>
        <v>393.0787141050053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1.1483924097256415</v>
      </c>
      <c r="AA170" s="21">
        <f>EXP(-LN(2)/25)*AA169+(1-EXP(-LN(2)/25))/(LN(2)/25)*Calculateur!V170*Calculateur!X170*VLOOKUP('Données projet'!$B$9,Paramètres!$A$1:$I$89,3,0)*0.475*44/12</f>
        <v>0.46334412025835331</v>
      </c>
      <c r="AB170" s="21">
        <f>EXP(-LN(2)/2)*AB169+(1-EXP(-LN(2)/2))/(LN(2)/2)*V170*Y170*VLOOKUP('Données projet'!$B$9,Paramètres!$A$1:$I$89,3,0)*0.475*44/12</f>
        <v>2.8341302160565523E-20</v>
      </c>
      <c r="AC170" s="22">
        <f t="shared" si="163"/>
        <v>1.6117365299839947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4.9658410716801891E-14</v>
      </c>
      <c r="AK170" s="13">
        <f t="shared" si="164"/>
        <v>8.0934058173791862E-13</v>
      </c>
      <c r="AL170" s="20">
        <f t="shared" si="165"/>
        <v>1.4960899118586383E-12</v>
      </c>
      <c r="AM170" s="59">
        <f t="shared" si="113"/>
        <v>293.33333333333479</v>
      </c>
      <c r="AN170" s="59">
        <f ca="1">AVERAGE(OFFSET($AM$3,0,0,'Données projet'!$E$10+1,1))-AVERAGE(OFFSET($H$3,0,0,'Données projet'!$E$10+1,1))</f>
        <v>304.32767345253382</v>
      </c>
      <c r="AO170" s="59">
        <f t="shared" si="144"/>
        <v>427.16091343339173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0.52363152985907968</v>
      </c>
      <c r="AV170" s="21">
        <f>EXP(-LN(2)/25)*AV169+(1-EXP(-LN(2)/25))/(LN(2)/25)*Calculateur!AQ170*Calculateur!AS170*VLOOKUP('Données projet'!$B$10,Paramètres!$A$1:$I$89,3,0)*0.475*44/12</f>
        <v>0.40594548920921369</v>
      </c>
      <c r="AW170" s="21">
        <f>EXP(-LN(2)/2)*AW169+(1-EXP(-LN(2)/2))/(LN(2)/2)*AQ170*AT170*VLOOKUP('Données projet'!$B$10,Paramètres!$A$1:$I$89,3,0)*0.475*44/12</f>
        <v>2.7007929033951681E-20</v>
      </c>
      <c r="AX170" s="21">
        <f t="shared" si="166"/>
        <v>0.92957701906829338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-4.9658410716801891E-14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268.31928207836495</v>
      </c>
      <c r="BJ170" s="59">
        <f t="shared" si="146"/>
        <v>277.61304526670204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0.13647215660277537</v>
      </c>
      <c r="BQ170" s="21">
        <f>EXP(-LN(2)/25)*BQ169+(1-EXP(-LN(2)/25))/(LN(2)/25)*Calculateur!BL170*Calculateur!BN170*VLOOKUP('Données projet'!$B$11,Paramètres!$A$1:$I$89,3,0)*0.475*44/12</f>
        <v>0.12618135428621849</v>
      </c>
      <c r="BR170" s="21">
        <f>EXP(-LN(2)/2)*BR169+(1-EXP(-LN(2)/2))/(LN(2)/2)*BL170*BO170*VLOOKUP('Données projet'!$B$11,Paramètres!$A$1:$I$89,3,0)*0.475*44/12</f>
        <v>1.9558130860638487E-20</v>
      </c>
      <c r="BS170" s="22">
        <f t="shared" si="169"/>
        <v>0.26265351088899386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2.2612312022829431E-14</v>
      </c>
      <c r="CA170" s="13">
        <f t="shared" si="170"/>
        <v>4.0387900716432995E-13</v>
      </c>
      <c r="CB170" s="20">
        <f t="shared" si="171"/>
        <v>7.4280571425096929E-13</v>
      </c>
      <c r="CC170" s="59">
        <f t="shared" si="119"/>
        <v>293.33333333333405</v>
      </c>
      <c r="CD170" s="59">
        <f ca="1">AVERAGE(OFFSET($CC$3,0,0,'Données projet'!$E$12+1,1))-AVERAGE(OFFSET($H$3,0,0,'Données projet'!$E$12+1,1))</f>
        <v>241.67556898455945</v>
      </c>
      <c r="CE170" s="59">
        <f t="shared" si="148"/>
        <v>237.71070965292648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0.41891117098323988</v>
      </c>
      <c r="CL170" s="21">
        <f>EXP(-LN(2)/25)*CL169+(1-EXP(-LN(2)/25))/(LN(2)/25)*Calculateur!CG170*Calculateur!CI170*VLOOKUP('Données projet'!$B$12,Paramètres!$A$1:$I$89,3,0)*0.475*44/12</f>
        <v>0.15853513529984131</v>
      </c>
      <c r="CM170" s="21">
        <f>EXP(-LN(2)/2)*CM169+(1-EXP(-LN(2)/2))/(LN(2)/2)*CG170*CJ170*VLOOKUP('Données projet'!$B$12,Paramètres!$A$1:$I$89,3,0)*0.475*44/12</f>
        <v>1.6044069784354786E-20</v>
      </c>
      <c r="CN170" s="22">
        <f t="shared" si="172"/>
        <v>0.57744630628308125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-2.2612312022829427E-13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405.40026823646758</v>
      </c>
      <c r="T171" s="59">
        <f t="shared" si="142"/>
        <v>393.0787141050053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1.125873135021128</v>
      </c>
      <c r="AA171" s="21">
        <f>EXP(-LN(2)/25)*AA170+(1-EXP(-LN(2)/25))/(LN(2)/25)*Calculateur!V171*Calculateur!X171*VLOOKUP('Données projet'!$B$9,Paramètres!$A$1:$I$89,3,0)*0.475*44/12</f>
        <v>0.45067395092368034</v>
      </c>
      <c r="AB171" s="21">
        <f>EXP(-LN(2)/2)*AB170+(1-EXP(-LN(2)/2))/(LN(2)/2)*V171*Y171*VLOOKUP('Données projet'!$B$9,Paramètres!$A$1:$I$89,3,0)*0.475*44/12</f>
        <v>2.0040326945392833E-20</v>
      </c>
      <c r="AC171" s="22">
        <f t="shared" si="163"/>
        <v>1.5765470859448083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4.9658410716801891E-14</v>
      </c>
      <c r="AK171" s="13">
        <f t="shared" si="164"/>
        <v>8.0934058173791862E-13</v>
      </c>
      <c r="AL171" s="20">
        <f t="shared" si="165"/>
        <v>1.4960899118586383E-12</v>
      </c>
      <c r="AM171" s="59">
        <f t="shared" si="113"/>
        <v>293.33333333333479</v>
      </c>
      <c r="AN171" s="59">
        <f ca="1">AVERAGE(OFFSET($AM$3,0,0,'Données projet'!$E$10+1,1))-AVERAGE(OFFSET($H$3,0,0,'Données projet'!$E$10+1,1))</f>
        <v>304.32767345253382</v>
      </c>
      <c r="AO171" s="59">
        <f t="shared" si="144"/>
        <v>427.16091343339173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0.51336343494223979</v>
      </c>
      <c r="AV171" s="21">
        <f>EXP(-LN(2)/25)*AV170+(1-EXP(-LN(2)/25))/(LN(2)/25)*Calculateur!AQ171*Calculateur!AS171*VLOOKUP('Données projet'!$B$10,Paramètres!$A$1:$I$89,3,0)*0.475*44/12</f>
        <v>0.39484488845904225</v>
      </c>
      <c r="AW171" s="21">
        <f>EXP(-LN(2)/2)*AW170+(1-EXP(-LN(2)/2))/(LN(2)/2)*AQ171*AT171*VLOOKUP('Données projet'!$B$10,Paramètres!$A$1:$I$89,3,0)*0.475*44/12</f>
        <v>1.9097489765712277E-20</v>
      </c>
      <c r="AX171" s="21">
        <f t="shared" si="166"/>
        <v>0.9082083234012821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-4.9658410716801891E-14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268.31928207836495</v>
      </c>
      <c r="BJ171" s="59">
        <f t="shared" si="146"/>
        <v>277.61304526670204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0.13379602085159123</v>
      </c>
      <c r="BQ171" s="21">
        <f>EXP(-LN(2)/25)*BQ170+(1-EXP(-LN(2)/25))/(LN(2)/25)*Calculateur!BL171*Calculateur!BN171*VLOOKUP('Données projet'!$B$11,Paramètres!$A$1:$I$89,3,0)*0.475*44/12</f>
        <v>0.12273091851767282</v>
      </c>
      <c r="BR171" s="21">
        <f>EXP(-LN(2)/2)*BR170+(1-EXP(-LN(2)/2))/(LN(2)/2)*BL171*BO171*VLOOKUP('Données projet'!$B$11,Paramètres!$A$1:$I$89,3,0)*0.475*44/12</f>
        <v>1.3829686958891361E-20</v>
      </c>
      <c r="BS171" s="22">
        <f t="shared" si="169"/>
        <v>0.25652693936926407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2.2612312022829431E-14</v>
      </c>
      <c r="CA171" s="13">
        <f t="shared" si="170"/>
        <v>4.0387900716432995E-13</v>
      </c>
      <c r="CB171" s="20">
        <f t="shared" si="171"/>
        <v>7.4280571425096929E-13</v>
      </c>
      <c r="CC171" s="59">
        <f t="shared" si="119"/>
        <v>293.33333333333405</v>
      </c>
      <c r="CD171" s="59">
        <f ca="1">AVERAGE(OFFSET($CC$3,0,0,'Données projet'!$E$12+1,1))-AVERAGE(OFFSET($H$3,0,0,'Données projet'!$E$12+1,1))</f>
        <v>241.67556898455945</v>
      </c>
      <c r="CE171" s="59">
        <f t="shared" si="148"/>
        <v>237.71070965292648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0.41069657843084328</v>
      </c>
      <c r="CL171" s="21">
        <f>EXP(-LN(2)/25)*CL170+(1-EXP(-LN(2)/25))/(LN(2)/25)*Calculateur!CG171*Calculateur!CI171*VLOOKUP('Données projet'!$B$12,Paramètres!$A$1:$I$89,3,0)*0.475*44/12</f>
        <v>0.15419998368806673</v>
      </c>
      <c r="CM171" s="21">
        <f>EXP(-LN(2)/2)*CM170+(1-EXP(-LN(2)/2))/(LN(2)/2)*CG171*CJ171*VLOOKUP('Données projet'!$B$12,Paramètres!$A$1:$I$89,3,0)*0.475*44/12</f>
        <v>1.1344870542347459E-20</v>
      </c>
      <c r="CN171" s="22">
        <f t="shared" si="172"/>
        <v>0.56489656211891004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-2.2612312022829427E-13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405.40026823646758</v>
      </c>
      <c r="T172" s="59">
        <f t="shared" si="142"/>
        <v>393.0787141050053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1.1037954495581686</v>
      </c>
      <c r="AA172" s="21">
        <f>EXP(-LN(2)/25)*AA171+(1-EXP(-LN(2)/25))/(LN(2)/25)*Calculateur!V172*Calculateur!X172*VLOOKUP('Données projet'!$B$9,Paramètres!$A$1:$I$89,3,0)*0.475*44/12</f>
        <v>0.43835024803575928</v>
      </c>
      <c r="AB172" s="21">
        <f>EXP(-LN(2)/2)*AB171+(1-EXP(-LN(2)/2))/(LN(2)/2)*V172*Y172*VLOOKUP('Données projet'!$B$9,Paramètres!$A$1:$I$89,3,0)*0.475*44/12</f>
        <v>1.4170651080282761E-20</v>
      </c>
      <c r="AC172" s="22">
        <f t="shared" si="163"/>
        <v>1.5421456975939278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4.9658410716801891E-14</v>
      </c>
      <c r="AK172" s="13">
        <f t="shared" si="164"/>
        <v>8.0934058173791862E-13</v>
      </c>
      <c r="AL172" s="20">
        <f t="shared" si="165"/>
        <v>1.4960899118586383E-12</v>
      </c>
      <c r="AM172" s="59">
        <f t="shared" si="113"/>
        <v>293.33333333333479</v>
      </c>
      <c r="AN172" s="59">
        <f ca="1">AVERAGE(OFFSET($AM$3,0,0,'Données projet'!$E$10+1,1))-AVERAGE(OFFSET($H$3,0,0,'Données projet'!$E$10+1,1))</f>
        <v>304.32767345253382</v>
      </c>
      <c r="AO172" s="59">
        <f t="shared" si="144"/>
        <v>427.16091343339173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0.50329669110379971</v>
      </c>
      <c r="AV172" s="21">
        <f>EXP(-LN(2)/25)*AV171+(1-EXP(-LN(2)/25))/(LN(2)/25)*Calculateur!AQ172*Calculateur!AS172*VLOOKUP('Données projet'!$B$10,Paramètres!$A$1:$I$89,3,0)*0.475*44/12</f>
        <v>0.38404783422013949</v>
      </c>
      <c r="AW172" s="21">
        <f>EXP(-LN(2)/2)*AW171+(1-EXP(-LN(2)/2))/(LN(2)/2)*AQ172*AT172*VLOOKUP('Données projet'!$B$10,Paramètres!$A$1:$I$89,3,0)*0.475*44/12</f>
        <v>1.3503964516975842E-20</v>
      </c>
      <c r="AX172" s="21">
        <f t="shared" si="166"/>
        <v>0.88734452532393915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-4.9658410716801891E-14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268.31928207836495</v>
      </c>
      <c r="BJ172" s="59">
        <f t="shared" si="146"/>
        <v>277.61304526670204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0.13117236249020617</v>
      </c>
      <c r="BQ172" s="21">
        <f>EXP(-LN(2)/25)*BQ171+(1-EXP(-LN(2)/25))/(LN(2)/25)*Calculateur!BL172*Calculateur!BN172*VLOOKUP('Données projet'!$B$11,Paramètres!$A$1:$I$89,3,0)*0.475*44/12</f>
        <v>0.11937483509666855</v>
      </c>
      <c r="BR172" s="21">
        <f>EXP(-LN(2)/2)*BR171+(1-EXP(-LN(2)/2))/(LN(2)/2)*BL172*BO172*VLOOKUP('Données projet'!$B$11,Paramètres!$A$1:$I$89,3,0)*0.475*44/12</f>
        <v>9.7790654303192436E-21</v>
      </c>
      <c r="BS172" s="22">
        <f t="shared" si="169"/>
        <v>0.25054719758687471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2.2612312022829431E-14</v>
      </c>
      <c r="CA172" s="13">
        <f t="shared" si="170"/>
        <v>4.0387900716432995E-13</v>
      </c>
      <c r="CB172" s="20">
        <f t="shared" si="171"/>
        <v>7.4280571425096929E-13</v>
      </c>
      <c r="CC172" s="59">
        <f t="shared" si="119"/>
        <v>293.33333333333405</v>
      </c>
      <c r="CD172" s="59">
        <f ca="1">AVERAGE(OFFSET($CC$3,0,0,'Données projet'!$E$12+1,1))-AVERAGE(OFFSET($H$3,0,0,'Données projet'!$E$12+1,1))</f>
        <v>241.67556898455945</v>
      </c>
      <c r="CE172" s="59">
        <f t="shared" si="148"/>
        <v>237.71070965292648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0.40264306902799246</v>
      </c>
      <c r="CL172" s="21">
        <f>EXP(-LN(2)/25)*CL171+(1-EXP(-LN(2)/25))/(LN(2)/25)*Calculateur!CG172*Calculateur!CI172*VLOOKUP('Données projet'!$B$12,Paramètres!$A$1:$I$89,3,0)*0.475*44/12</f>
        <v>0.14998337702509182</v>
      </c>
      <c r="CM172" s="21">
        <f>EXP(-LN(2)/2)*CM171+(1-EXP(-LN(2)/2))/(LN(2)/2)*CG172*CJ172*VLOOKUP('Données projet'!$B$12,Paramètres!$A$1:$I$89,3,0)*0.475*44/12</f>
        <v>8.0220348921773931E-21</v>
      </c>
      <c r="CN172" s="22">
        <f t="shared" si="172"/>
        <v>0.55262644605308431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-2.2612312022829427E-13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405.40026823646758</v>
      </c>
      <c r="T173" s="59">
        <f t="shared" si="142"/>
        <v>393.0787141050053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1.0821506940410792</v>
      </c>
      <c r="AA173" s="21">
        <f>EXP(-LN(2)/25)*AA172+(1-EXP(-LN(2)/25))/(LN(2)/25)*Calculateur!V173*Calculateur!X173*VLOOKUP('Données projet'!$B$9,Paramètres!$A$1:$I$89,3,0)*0.475*44/12</f>
        <v>0.42636353745138378</v>
      </c>
      <c r="AB173" s="21">
        <f>EXP(-LN(2)/2)*AB172+(1-EXP(-LN(2)/2))/(LN(2)/2)*V173*Y173*VLOOKUP('Données projet'!$B$9,Paramètres!$A$1:$I$89,3,0)*0.475*44/12</f>
        <v>1.0020163472696416E-20</v>
      </c>
      <c r="AC173" s="22">
        <f t="shared" si="163"/>
        <v>1.5085142314924629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4.9658410716801891E-14</v>
      </c>
      <c r="AK173" s="13">
        <f t="shared" si="164"/>
        <v>8.0934058173791862E-13</v>
      </c>
      <c r="AL173" s="20">
        <f t="shared" si="165"/>
        <v>1.4960899118586383E-12</v>
      </c>
      <c r="AM173" s="59">
        <f t="shared" si="113"/>
        <v>293.33333333333479</v>
      </c>
      <c r="AN173" s="59">
        <f ca="1">AVERAGE(OFFSET($AM$3,0,0,'Données projet'!$E$10+1,1))-AVERAGE(OFFSET($H$3,0,0,'Données projet'!$E$10+1,1))</f>
        <v>304.32767345253382</v>
      </c>
      <c r="AO173" s="59">
        <f t="shared" si="144"/>
        <v>427.16091343339173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0.49342734997192395</v>
      </c>
      <c r="AV173" s="21">
        <f>EXP(-LN(2)/25)*AV172+(1-EXP(-LN(2)/25))/(LN(2)/25)*Calculateur!AQ173*Calculateur!AS173*VLOOKUP('Données projet'!$B$10,Paramètres!$A$1:$I$89,3,0)*0.475*44/12</f>
        <v>0.37354602599719194</v>
      </c>
      <c r="AW173" s="21">
        <f>EXP(-LN(2)/2)*AW172+(1-EXP(-LN(2)/2))/(LN(2)/2)*AQ173*AT173*VLOOKUP('Données projet'!$B$10,Paramètres!$A$1:$I$89,3,0)*0.475*44/12</f>
        <v>9.5487448828561398E-21</v>
      </c>
      <c r="AX173" s="21">
        <f t="shared" si="166"/>
        <v>0.86697337596911583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-4.9658410716801891E-14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268.31928207836495</v>
      </c>
      <c r="BJ173" s="59">
        <f t="shared" si="146"/>
        <v>277.61304526670204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0.12860015246901429</v>
      </c>
      <c r="BQ173" s="21">
        <f>EXP(-LN(2)/25)*BQ172+(1-EXP(-LN(2)/25))/(LN(2)/25)*Calculateur!BL173*Calculateur!BN173*VLOOKUP('Données projet'!$B$11,Paramètres!$A$1:$I$89,3,0)*0.475*44/12</f>
        <v>0.1161105239533004</v>
      </c>
      <c r="BR173" s="21">
        <f>EXP(-LN(2)/2)*BR172+(1-EXP(-LN(2)/2))/(LN(2)/2)*BL173*BO173*VLOOKUP('Données projet'!$B$11,Paramètres!$A$1:$I$89,3,0)*0.475*44/12</f>
        <v>6.9148434794456805E-21</v>
      </c>
      <c r="BS173" s="22">
        <f t="shared" si="169"/>
        <v>0.2447106764223147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2.2612312022829431E-14</v>
      </c>
      <c r="CA173" s="13">
        <f t="shared" si="170"/>
        <v>4.0387900716432995E-13</v>
      </c>
      <c r="CB173" s="20">
        <f t="shared" si="171"/>
        <v>7.4280571425096929E-13</v>
      </c>
      <c r="CC173" s="59">
        <f t="shared" si="119"/>
        <v>293.33333333333405</v>
      </c>
      <c r="CD173" s="59">
        <f ca="1">AVERAGE(OFFSET($CC$3,0,0,'Données projet'!$E$12+1,1))-AVERAGE(OFFSET($H$3,0,0,'Données projet'!$E$12+1,1))</f>
        <v>241.67556898455945</v>
      </c>
      <c r="CE173" s="59">
        <f t="shared" si="148"/>
        <v>237.71070965292648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0.39474748403237581</v>
      </c>
      <c r="CL173" s="21">
        <f>EXP(-LN(2)/25)*CL172+(1-EXP(-LN(2)/25))/(LN(2)/25)*Calculateur!CG173*Calculateur!CI173*VLOOKUP('Données projet'!$B$12,Paramètres!$A$1:$I$89,3,0)*0.475*44/12</f>
        <v>0.14588207369305767</v>
      </c>
      <c r="CM173" s="21">
        <f>EXP(-LN(2)/2)*CM172+(1-EXP(-LN(2)/2))/(LN(2)/2)*CG173*CJ173*VLOOKUP('Données projet'!$B$12,Paramètres!$A$1:$I$89,3,0)*0.475*44/12</f>
        <v>5.6724352711737293E-21</v>
      </c>
      <c r="CN173" s="22">
        <f t="shared" si="172"/>
        <v>0.54062955772543342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-2.2612312022829427E-13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405.40026823646758</v>
      </c>
      <c r="T174" s="59">
        <f t="shared" si="142"/>
        <v>393.0787141050053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1.0609303789776827</v>
      </c>
      <c r="AA174" s="21">
        <f>EXP(-LN(2)/25)*AA173+(1-EXP(-LN(2)/25))/(LN(2)/25)*Calculateur!V174*Calculateur!X174*VLOOKUP('Données projet'!$B$9,Paramètres!$A$1:$I$89,3,0)*0.475*44/12</f>
        <v>0.41470460409829174</v>
      </c>
      <c r="AB174" s="21">
        <f>EXP(-LN(2)/2)*AB173+(1-EXP(-LN(2)/2))/(LN(2)/2)*V174*Y174*VLOOKUP('Données projet'!$B$9,Paramètres!$A$1:$I$89,3,0)*0.475*44/12</f>
        <v>7.0853255401413807E-21</v>
      </c>
      <c r="AC174" s="22">
        <f t="shared" si="163"/>
        <v>1.4756349830759745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4.9658410716801891E-14</v>
      </c>
      <c r="AK174" s="13">
        <f t="shared" si="164"/>
        <v>8.0934058173791862E-13</v>
      </c>
      <c r="AL174" s="20">
        <f t="shared" si="165"/>
        <v>1.4960899118586383E-12</v>
      </c>
      <c r="AM174" s="59">
        <f t="shared" si="113"/>
        <v>293.33333333333479</v>
      </c>
      <c r="AN174" s="59">
        <f ca="1">AVERAGE(OFFSET($AM$3,0,0,'Données projet'!$E$10+1,1))-AVERAGE(OFFSET($H$3,0,0,'Données projet'!$E$10+1,1))</f>
        <v>304.32767345253382</v>
      </c>
      <c r="AO174" s="59">
        <f t="shared" si="144"/>
        <v>427.16091343339173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0.48375154059994058</v>
      </c>
      <c r="AV174" s="21">
        <f>EXP(-LN(2)/25)*AV173+(1-EXP(-LN(2)/25))/(LN(2)/25)*Calculateur!AQ174*Calculateur!AS174*VLOOKUP('Données projet'!$B$10,Paramètres!$A$1:$I$89,3,0)*0.475*44/12</f>
        <v>0.36333139027236699</v>
      </c>
      <c r="AW174" s="21">
        <f>EXP(-LN(2)/2)*AW173+(1-EXP(-LN(2)/2))/(LN(2)/2)*AQ174*AT174*VLOOKUP('Données projet'!$B$10,Paramètres!$A$1:$I$89,3,0)*0.475*44/12</f>
        <v>6.7519822584879225E-21</v>
      </c>
      <c r="AX174" s="21">
        <f t="shared" si="166"/>
        <v>0.84708293087230757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-4.9658410716801891E-14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268.31928207836495</v>
      </c>
      <c r="BJ174" s="59">
        <f t="shared" si="146"/>
        <v>277.61304526670204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0.12607838191744478</v>
      </c>
      <c r="BQ174" s="21">
        <f>EXP(-LN(2)/25)*BQ173+(1-EXP(-LN(2)/25))/(LN(2)/25)*Calculateur!BL174*Calculateur!BN174*VLOOKUP('Données projet'!$B$11,Paramètres!$A$1:$I$89,3,0)*0.475*44/12</f>
        <v>0.11293547556981032</v>
      </c>
      <c r="BR174" s="21">
        <f>EXP(-LN(2)/2)*BR173+(1-EXP(-LN(2)/2))/(LN(2)/2)*BL174*BO174*VLOOKUP('Données projet'!$B$11,Paramètres!$A$1:$I$89,3,0)*0.475*44/12</f>
        <v>4.8895327151596218E-21</v>
      </c>
      <c r="BS174" s="22">
        <f t="shared" si="169"/>
        <v>0.23901385748725509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2.2612312022829431E-14</v>
      </c>
      <c r="CA174" s="13">
        <f t="shared" si="170"/>
        <v>4.0387900716432995E-13</v>
      </c>
      <c r="CB174" s="20">
        <f t="shared" si="171"/>
        <v>7.4280571425096929E-13</v>
      </c>
      <c r="CC174" s="59">
        <f t="shared" si="119"/>
        <v>293.33333333333405</v>
      </c>
      <c r="CD174" s="59">
        <f ca="1">AVERAGE(OFFSET($CC$3,0,0,'Données projet'!$E$12+1,1))-AVERAGE(OFFSET($H$3,0,0,'Données projet'!$E$12+1,1))</f>
        <v>241.67556898455945</v>
      </c>
      <c r="CE174" s="59">
        <f t="shared" si="148"/>
        <v>237.71070965292648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0.38700672664269192</v>
      </c>
      <c r="CL174" s="21">
        <f>EXP(-LN(2)/25)*CL173+(1-EXP(-LN(2)/25))/(LN(2)/25)*Calculateur!CG174*Calculateur!CI174*VLOOKUP('Données projet'!$B$12,Paramètres!$A$1:$I$89,3,0)*0.475*44/12</f>
        <v>0.14189292071631618</v>
      </c>
      <c r="CM174" s="21">
        <f>EXP(-LN(2)/2)*CM173+(1-EXP(-LN(2)/2))/(LN(2)/2)*CG174*CJ174*VLOOKUP('Données projet'!$B$12,Paramètres!$A$1:$I$89,3,0)*0.475*44/12</f>
        <v>4.0110174460886966E-21</v>
      </c>
      <c r="CN174" s="22">
        <f t="shared" si="172"/>
        <v>0.52889964735900807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-2.2612312022829427E-13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405.40026823646758</v>
      </c>
      <c r="T175" s="59">
        <f t="shared" si="142"/>
        <v>393.0787141050053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1.0401261813495655</v>
      </c>
      <c r="AA175" s="21">
        <f>EXP(-LN(2)/25)*AA174+(1-EXP(-LN(2)/25))/(LN(2)/25)*Calculateur!V175*Calculateur!X175*VLOOKUP('Données projet'!$B$9,Paramètres!$A$1:$I$89,3,0)*0.475*44/12</f>
        <v>0.40336448489085663</v>
      </c>
      <c r="AB175" s="21">
        <f>EXP(-LN(2)/2)*AB174+(1-EXP(-LN(2)/2))/(LN(2)/2)*V175*Y175*VLOOKUP('Données projet'!$B$9,Paramètres!$A$1:$I$89,3,0)*0.475*44/12</f>
        <v>5.0100817363482081E-21</v>
      </c>
      <c r="AC175" s="22">
        <f t="shared" si="163"/>
        <v>1.4434906662404221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4.9658410716801891E-14</v>
      </c>
      <c r="AK175" s="13">
        <f t="shared" si="164"/>
        <v>8.0934058173791862E-13</v>
      </c>
      <c r="AL175" s="20">
        <f t="shared" si="165"/>
        <v>1.4960899118586383E-12</v>
      </c>
      <c r="AM175" s="59">
        <f t="shared" si="113"/>
        <v>293.33333333333479</v>
      </c>
      <c r="AN175" s="59">
        <f ca="1">AVERAGE(OFFSET($AM$3,0,0,'Données projet'!$E$10+1,1))-AVERAGE(OFFSET($H$3,0,0,'Données projet'!$E$10+1,1))</f>
        <v>304.32767345253382</v>
      </c>
      <c r="AO175" s="59">
        <f t="shared" si="144"/>
        <v>427.16091343339173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0.47426546794808083</v>
      </c>
      <c r="AV175" s="21">
        <f>EXP(-LN(2)/25)*AV174+(1-EXP(-LN(2)/25))/(LN(2)/25)*Calculateur!AQ175*Calculateur!AS175*VLOOKUP('Données projet'!$B$10,Paramètres!$A$1:$I$89,3,0)*0.475*44/12</f>
        <v>0.3533960742986017</v>
      </c>
      <c r="AW175" s="21">
        <f>EXP(-LN(2)/2)*AW174+(1-EXP(-LN(2)/2))/(LN(2)/2)*AQ175*AT175*VLOOKUP('Données projet'!$B$10,Paramètres!$A$1:$I$89,3,0)*0.475*44/12</f>
        <v>4.7743724414280707E-21</v>
      </c>
      <c r="AX175" s="21">
        <f t="shared" si="166"/>
        <v>0.82766154224668254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-4.9658410716801891E-14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268.31928207836495</v>
      </c>
      <c r="BJ175" s="59">
        <f t="shared" si="146"/>
        <v>277.61304526670204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0.12360606174826338</v>
      </c>
      <c r="BQ175" s="21">
        <f>EXP(-LN(2)/25)*BQ174+(1-EXP(-LN(2)/25))/(LN(2)/25)*Calculateur!BL175*Calculateur!BN175*VLOOKUP('Données projet'!$B$11,Paramètres!$A$1:$I$89,3,0)*0.475*44/12</f>
        <v>0.10984724905133531</v>
      </c>
      <c r="BR175" s="21">
        <f>EXP(-LN(2)/2)*BR174+(1-EXP(-LN(2)/2))/(LN(2)/2)*BL175*BO175*VLOOKUP('Données projet'!$B$11,Paramètres!$A$1:$I$89,3,0)*0.475*44/12</f>
        <v>3.4574217397228402E-21</v>
      </c>
      <c r="BS175" s="22">
        <f t="shared" si="169"/>
        <v>0.23345331079959869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2.2612312022829431E-14</v>
      </c>
      <c r="CA175" s="13">
        <f t="shared" si="170"/>
        <v>4.0387900716432995E-13</v>
      </c>
      <c r="CB175" s="20">
        <f t="shared" si="171"/>
        <v>7.4280571425096929E-13</v>
      </c>
      <c r="CC175" s="59">
        <f t="shared" si="119"/>
        <v>293.33333333333405</v>
      </c>
      <c r="CD175" s="59">
        <f ca="1">AVERAGE(OFFSET($CC$3,0,0,'Données projet'!$E$12+1,1))-AVERAGE(OFFSET($H$3,0,0,'Données projet'!$E$12+1,1))</f>
        <v>241.67556898455945</v>
      </c>
      <c r="CE175" s="59">
        <f t="shared" si="148"/>
        <v>237.71070965292648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0.37941776078402389</v>
      </c>
      <c r="CL175" s="21">
        <f>EXP(-LN(2)/25)*CL174+(1-EXP(-LN(2)/25))/(LN(2)/25)*Calculateur!CG175*Calculateur!CI175*VLOOKUP('Données projet'!$B$12,Paramètres!$A$1:$I$89,3,0)*0.475*44/12</f>
        <v>0.1380128513375041</v>
      </c>
      <c r="CM175" s="21">
        <f>EXP(-LN(2)/2)*CM174+(1-EXP(-LN(2)/2))/(LN(2)/2)*CG175*CJ175*VLOOKUP('Données projet'!$B$12,Paramètres!$A$1:$I$89,3,0)*0.475*44/12</f>
        <v>2.8362176355868647E-21</v>
      </c>
      <c r="CN175" s="22">
        <f t="shared" si="172"/>
        <v>0.51743061212152797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-2.2612312022829427E-13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405.40026823646758</v>
      </c>
      <c r="T176" s="59">
        <f t="shared" si="142"/>
        <v>393.0787141050053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1.019729941347628</v>
      </c>
      <c r="AA176" s="21">
        <f>EXP(-LN(2)/25)*AA175+(1-EXP(-LN(2)/25))/(LN(2)/25)*Calculateur!V176*Calculateur!X176*VLOOKUP('Données projet'!$B$9,Paramètres!$A$1:$I$89,3,0)*0.475*44/12</f>
        <v>0.39233446183949983</v>
      </c>
      <c r="AB176" s="21">
        <f>EXP(-LN(2)/2)*AB175+(1-EXP(-LN(2)/2))/(LN(2)/2)*V176*Y176*VLOOKUP('Données projet'!$B$9,Paramètres!$A$1:$I$89,3,0)*0.475*44/12</f>
        <v>3.5426627700706904E-21</v>
      </c>
      <c r="AC176" s="22">
        <f t="shared" si="163"/>
        <v>1.4120644031871277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4.9658410716801891E-14</v>
      </c>
      <c r="AK176" s="13">
        <f t="shared" si="164"/>
        <v>8.0934058173791862E-13</v>
      </c>
      <c r="AL176" s="20">
        <f t="shared" si="165"/>
        <v>1.4960899118586383E-12</v>
      </c>
      <c r="AM176" s="59">
        <f t="shared" si="113"/>
        <v>293.33333333333479</v>
      </c>
      <c r="AN176" s="59">
        <f ca="1">AVERAGE(OFFSET($AM$3,0,0,'Données projet'!$E$10+1,1))-AVERAGE(OFFSET($H$3,0,0,'Données projet'!$E$10+1,1))</f>
        <v>304.32767345253382</v>
      </c>
      <c r="AO176" s="59">
        <f t="shared" si="144"/>
        <v>427.16091343339173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0.46496541139499104</v>
      </c>
      <c r="AV176" s="21">
        <f>EXP(-LN(2)/25)*AV175+(1-EXP(-LN(2)/25))/(LN(2)/25)*Calculateur!AQ176*Calculateur!AS176*VLOOKUP('Données projet'!$B$10,Paramètres!$A$1:$I$89,3,0)*0.475*44/12</f>
        <v>0.34373244006261461</v>
      </c>
      <c r="AW176" s="21">
        <f>EXP(-LN(2)/2)*AW175+(1-EXP(-LN(2)/2))/(LN(2)/2)*AQ176*AT176*VLOOKUP('Données projet'!$B$10,Paramètres!$A$1:$I$89,3,0)*0.475*44/12</f>
        <v>3.3759911292439616E-21</v>
      </c>
      <c r="AX176" s="21">
        <f t="shared" si="166"/>
        <v>0.80869785145760564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-4.9658410716801891E-14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268.31928207836495</v>
      </c>
      <c r="BJ176" s="59">
        <f t="shared" si="146"/>
        <v>277.61304526670204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0.12118222226963324</v>
      </c>
      <c r="BQ176" s="21">
        <f>EXP(-LN(2)/25)*BQ175+(1-EXP(-LN(2)/25))/(LN(2)/25)*Calculateur!BL176*Calculateur!BN176*VLOOKUP('Données projet'!$B$11,Paramètres!$A$1:$I$89,3,0)*0.475*44/12</f>
        <v>0.10684347024941078</v>
      </c>
      <c r="BR176" s="21">
        <f>EXP(-LN(2)/2)*BR175+(1-EXP(-LN(2)/2))/(LN(2)/2)*BL176*BO176*VLOOKUP('Données projet'!$B$11,Paramètres!$A$1:$I$89,3,0)*0.475*44/12</f>
        <v>2.4447663575798109E-21</v>
      </c>
      <c r="BS176" s="22">
        <f t="shared" si="169"/>
        <v>0.22802569251904403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2.2612312022829431E-14</v>
      </c>
      <c r="CA176" s="13">
        <f t="shared" si="170"/>
        <v>4.0387900716432995E-13</v>
      </c>
      <c r="CB176" s="20">
        <f t="shared" si="171"/>
        <v>7.4280571425096929E-13</v>
      </c>
      <c r="CC176" s="59">
        <f t="shared" si="119"/>
        <v>293.33333333333405</v>
      </c>
      <c r="CD176" s="59">
        <f ca="1">AVERAGE(OFFSET($CC$3,0,0,'Données projet'!$E$12+1,1))-AVERAGE(OFFSET($H$3,0,0,'Données projet'!$E$12+1,1))</f>
        <v>241.67556898455945</v>
      </c>
      <c r="CE176" s="59">
        <f t="shared" si="148"/>
        <v>237.71070965292648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0.37197760991703221</v>
      </c>
      <c r="CL176" s="21">
        <f>EXP(-LN(2)/25)*CL175+(1-EXP(-LN(2)/25))/(LN(2)/25)*Calculateur!CG176*Calculateur!CI176*VLOOKUP('Données projet'!$B$12,Paramètres!$A$1:$I$89,3,0)*0.475*44/12</f>
        <v>0.13423888265989964</v>
      </c>
      <c r="CM176" s="21">
        <f>EXP(-LN(2)/2)*CM175+(1-EXP(-LN(2)/2))/(LN(2)/2)*CG176*CJ176*VLOOKUP('Données projet'!$B$12,Paramètres!$A$1:$I$89,3,0)*0.475*44/12</f>
        <v>2.0055087230443483E-21</v>
      </c>
      <c r="CN176" s="22">
        <f t="shared" si="172"/>
        <v>0.50621649257693191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-2.2612312022829427E-13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405.40026823646758</v>
      </c>
      <c r="T177" s="59">
        <f t="shared" si="142"/>
        <v>393.0787141050053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0.99973365917165036</v>
      </c>
      <c r="AA177" s="21">
        <f>EXP(-LN(2)/25)*AA176+(1-EXP(-LN(2)/25))/(LN(2)/25)*Calculateur!V177*Calculateur!X177*VLOOKUP('Données projet'!$B$9,Paramètres!$A$1:$I$89,3,0)*0.475*44/12</f>
        <v>0.38160605534852604</v>
      </c>
      <c r="AB177" s="21">
        <f>EXP(-LN(2)/2)*AB176+(1-EXP(-LN(2)/2))/(LN(2)/2)*V177*Y177*VLOOKUP('Données projet'!$B$9,Paramètres!$A$1:$I$89,3,0)*0.475*44/12</f>
        <v>2.5050408681741041E-21</v>
      </c>
      <c r="AC177" s="22">
        <f t="shared" si="163"/>
        <v>1.3813397145201765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4.9658410716801891E-14</v>
      </c>
      <c r="AK177" s="13">
        <f t="shared" si="164"/>
        <v>8.0934058173791862E-13</v>
      </c>
      <c r="AL177" s="20">
        <f t="shared" si="165"/>
        <v>1.4960899118586383E-12</v>
      </c>
      <c r="AM177" s="59">
        <f t="shared" si="113"/>
        <v>293.33333333333479</v>
      </c>
      <c r="AN177" s="59">
        <f ca="1">AVERAGE(OFFSET($AM$3,0,0,'Données projet'!$E$10+1,1))-AVERAGE(OFFSET($H$3,0,0,'Données projet'!$E$10+1,1))</f>
        <v>304.32767345253382</v>
      </c>
      <c r="AO177" s="59">
        <f t="shared" si="144"/>
        <v>427.16091343339173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0.45584772327843293</v>
      </c>
      <c r="AV177" s="21">
        <f>EXP(-LN(2)/25)*AV176+(1-EXP(-LN(2)/25))/(LN(2)/25)*Calculateur!AQ177*Calculateur!AS177*VLOOKUP('Données projet'!$B$10,Paramètres!$A$1:$I$89,3,0)*0.475*44/12</f>
        <v>0.33433305841299898</v>
      </c>
      <c r="AW177" s="21">
        <f>EXP(-LN(2)/2)*AW176+(1-EXP(-LN(2)/2))/(LN(2)/2)*AQ177*AT177*VLOOKUP('Données projet'!$B$10,Paramètres!$A$1:$I$89,3,0)*0.475*44/12</f>
        <v>2.3871862207140357E-21</v>
      </c>
      <c r="AX177" s="21">
        <f t="shared" si="166"/>
        <v>0.79018078169143191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-4.9658410716801891E-14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268.31928207836495</v>
      </c>
      <c r="BJ177" s="59">
        <f t="shared" si="146"/>
        <v>277.61304526670204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0.11880591280478293</v>
      </c>
      <c r="BQ177" s="21">
        <f>EXP(-LN(2)/25)*BQ176+(1-EXP(-LN(2)/25))/(LN(2)/25)*Calculateur!BL177*Calculateur!BN177*VLOOKUP('Données projet'!$B$11,Paramètres!$A$1:$I$89,3,0)*0.475*44/12</f>
        <v>0.10392182993678674</v>
      </c>
      <c r="BR177" s="21">
        <f>EXP(-LN(2)/2)*BR176+(1-EXP(-LN(2)/2))/(LN(2)/2)*BL177*BO177*VLOOKUP('Données projet'!$B$11,Paramètres!$A$1:$I$89,3,0)*0.475*44/12</f>
        <v>1.7287108698614201E-21</v>
      </c>
      <c r="BS177" s="22">
        <f t="shared" si="169"/>
        <v>0.22272774274156967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2.2612312022829431E-14</v>
      </c>
      <c r="CA177" s="13">
        <f t="shared" si="170"/>
        <v>4.0387900716432995E-13</v>
      </c>
      <c r="CB177" s="20">
        <f t="shared" si="171"/>
        <v>7.4280571425096929E-13</v>
      </c>
      <c r="CC177" s="59">
        <f t="shared" si="119"/>
        <v>293.33333333333405</v>
      </c>
      <c r="CD177" s="59">
        <f ca="1">AVERAGE(OFFSET($CC$3,0,0,'Données projet'!$E$12+1,1))-AVERAGE(OFFSET($H$3,0,0,'Données projet'!$E$12+1,1))</f>
        <v>241.67556898455945</v>
      </c>
      <c r="CE177" s="59">
        <f t="shared" si="148"/>
        <v>237.71070965292648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0.36468335587049833</v>
      </c>
      <c r="CL177" s="21">
        <f>EXP(-LN(2)/25)*CL176+(1-EXP(-LN(2)/25))/(LN(2)/25)*Calculateur!CG177*Calculateur!CI177*VLOOKUP('Données projet'!$B$12,Paramètres!$A$1:$I$89,3,0)*0.475*44/12</f>
        <v>0.13056811335424864</v>
      </c>
      <c r="CM177" s="21">
        <f>EXP(-LN(2)/2)*CM176+(1-EXP(-LN(2)/2))/(LN(2)/2)*CG177*CJ177*VLOOKUP('Données projet'!$B$12,Paramètres!$A$1:$I$89,3,0)*0.475*44/12</f>
        <v>1.4181088177934323E-21</v>
      </c>
      <c r="CN177" s="22">
        <f t="shared" si="172"/>
        <v>0.49525146922474694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-2.2612312022829427E-13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405.40026823646758</v>
      </c>
      <c r="T178" s="59">
        <f t="shared" si="142"/>
        <v>393.0787141050053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0.98012949189261589</v>
      </c>
      <c r="AA178" s="21">
        <f>EXP(-LN(2)/25)*AA177+(1-EXP(-LN(2)/25))/(LN(2)/25)*Calculateur!V178*Calculateur!X178*VLOOKUP('Données projet'!$B$9,Paramètres!$A$1:$I$89,3,0)*0.475*44/12</f>
        <v>0.37117101769723032</v>
      </c>
      <c r="AB178" s="21">
        <f>EXP(-LN(2)/2)*AB177+(1-EXP(-LN(2)/2))/(LN(2)/2)*V178*Y178*VLOOKUP('Données projet'!$B$9,Paramètres!$A$1:$I$89,3,0)*0.475*44/12</f>
        <v>1.7713313850353452E-21</v>
      </c>
      <c r="AC178" s="22">
        <f t="shared" si="163"/>
        <v>1.3513005095898463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4.9658410716801891E-14</v>
      </c>
      <c r="AK178" s="13">
        <f t="shared" si="164"/>
        <v>8.0934058173791862E-13</v>
      </c>
      <c r="AL178" s="20">
        <f t="shared" si="165"/>
        <v>1.4960899118586383E-12</v>
      </c>
      <c r="AM178" s="59">
        <f t="shared" si="113"/>
        <v>293.33333333333479</v>
      </c>
      <c r="AN178" s="59">
        <f ca="1">AVERAGE(OFFSET($AM$3,0,0,'Données projet'!$E$10+1,1))-AVERAGE(OFFSET($H$3,0,0,'Données projet'!$E$10+1,1))</f>
        <v>304.32767345253382</v>
      </c>
      <c r="AO178" s="59">
        <f t="shared" si="144"/>
        <v>427.16091343339173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0.44690882746459992</v>
      </c>
      <c r="AV178" s="21">
        <f>EXP(-LN(2)/25)*AV177+(1-EXP(-LN(2)/25))/(LN(2)/25)*Calculateur!AQ178*Calculateur!AS178*VLOOKUP('Données projet'!$B$10,Paramètres!$A$1:$I$89,3,0)*0.475*44/12</f>
        <v>0.32519070334888411</v>
      </c>
      <c r="AW178" s="21">
        <f>EXP(-LN(2)/2)*AW177+(1-EXP(-LN(2)/2))/(LN(2)/2)*AQ178*AT178*VLOOKUP('Données projet'!$B$10,Paramètres!$A$1:$I$89,3,0)*0.475*44/12</f>
        <v>1.6879955646219812E-21</v>
      </c>
      <c r="AX178" s="21">
        <f t="shared" si="166"/>
        <v>0.77209953081348404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-4.9658410716801891E-14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268.31928207836495</v>
      </c>
      <c r="BJ178" s="59">
        <f t="shared" si="146"/>
        <v>277.61304526670204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0.11647620131913268</v>
      </c>
      <c r="BQ178" s="21">
        <f>EXP(-LN(2)/25)*BQ177+(1-EXP(-LN(2)/25))/(LN(2)/25)*Calculateur!BL178*Calculateur!BN178*VLOOKUP('Données projet'!$B$11,Paramètres!$A$1:$I$89,3,0)*0.475*44/12</f>
        <v>0.10108008203215378</v>
      </c>
      <c r="BR178" s="21">
        <f>EXP(-LN(2)/2)*BR177+(1-EXP(-LN(2)/2))/(LN(2)/2)*BL178*BO178*VLOOKUP('Données projet'!$B$11,Paramètres!$A$1:$I$89,3,0)*0.475*44/12</f>
        <v>1.2223831787899054E-21</v>
      </c>
      <c r="BS178" s="22">
        <f t="shared" si="169"/>
        <v>0.21755628335128646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2.2612312022829431E-14</v>
      </c>
      <c r="CA178" s="13">
        <f t="shared" si="170"/>
        <v>4.0387900716432995E-13</v>
      </c>
      <c r="CB178" s="20">
        <f t="shared" si="171"/>
        <v>7.4280571425096929E-13</v>
      </c>
      <c r="CC178" s="59">
        <f t="shared" si="119"/>
        <v>293.33333333333405</v>
      </c>
      <c r="CD178" s="59">
        <f ca="1">AVERAGE(OFFSET($CC$3,0,0,'Données projet'!$E$12+1,1))-AVERAGE(OFFSET($H$3,0,0,'Données projet'!$E$12+1,1))</f>
        <v>241.67556898455945</v>
      </c>
      <c r="CE178" s="59">
        <f t="shared" si="148"/>
        <v>237.71070965292648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0.35753213769676134</v>
      </c>
      <c r="CL178" s="21">
        <f>EXP(-LN(2)/25)*CL177+(1-EXP(-LN(2)/25))/(LN(2)/25)*Calculateur!CG178*Calculateur!CI178*VLOOKUP('Données projet'!$B$12,Paramètres!$A$1:$I$89,3,0)*0.475*44/12</f>
        <v>0.12699772142829804</v>
      </c>
      <c r="CM178" s="21">
        <f>EXP(-LN(2)/2)*CM177+(1-EXP(-LN(2)/2))/(LN(2)/2)*CG178*CJ178*VLOOKUP('Données projet'!$B$12,Paramètres!$A$1:$I$89,3,0)*0.475*44/12</f>
        <v>1.0027543615221741E-21</v>
      </c>
      <c r="CN178" s="22">
        <f t="shared" si="172"/>
        <v>0.48452985912505941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-2.2612312022829427E-13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405.40026823646758</v>
      </c>
      <c r="T179" s="59">
        <f t="shared" si="142"/>
        <v>393.0787141050053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0.9609097503765619</v>
      </c>
      <c r="AA179" s="21">
        <f>EXP(-LN(2)/25)*AA178+(1-EXP(-LN(2)/25))/(LN(2)/25)*Calculateur!V179*Calculateur!X179*VLOOKUP('Données projet'!$B$9,Paramètres!$A$1:$I$89,3,0)*0.475*44/12</f>
        <v>0.36102132669926407</v>
      </c>
      <c r="AB179" s="21">
        <f>EXP(-LN(2)/2)*AB178+(1-EXP(-LN(2)/2))/(LN(2)/2)*V179*Y179*VLOOKUP('Données projet'!$B$9,Paramètres!$A$1:$I$89,3,0)*0.475*44/12</f>
        <v>1.252520434087052E-21</v>
      </c>
      <c r="AC179" s="22">
        <f t="shared" si="163"/>
        <v>1.3219310770758259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4.9658410716801891E-14</v>
      </c>
      <c r="AK179" s="13">
        <f t="shared" si="164"/>
        <v>8.0934058173791862E-13</v>
      </c>
      <c r="AL179" s="20">
        <f t="shared" si="165"/>
        <v>1.4960899118586383E-12</v>
      </c>
      <c r="AM179" s="59">
        <f t="shared" si="113"/>
        <v>293.33333333333479</v>
      </c>
      <c r="AN179" s="59">
        <f ca="1">AVERAGE(OFFSET($AM$3,0,0,'Données projet'!$E$10+1,1))-AVERAGE(OFFSET($H$3,0,0,'Données projet'!$E$10+1,1))</f>
        <v>304.32767345253382</v>
      </c>
      <c r="AO179" s="59">
        <f t="shared" si="144"/>
        <v>427.16091343339173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0.43814521794548811</v>
      </c>
      <c r="AV179" s="21">
        <f>EXP(-LN(2)/25)*AV178+(1-EXP(-LN(2)/25))/(LN(2)/25)*Calculateur!AQ179*Calculateur!AS179*VLOOKUP('Données projet'!$B$10,Paramètres!$A$1:$I$89,3,0)*0.475*44/12</f>
        <v>0.31629834646477301</v>
      </c>
      <c r="AW179" s="21">
        <f>EXP(-LN(2)/2)*AW178+(1-EXP(-LN(2)/2))/(LN(2)/2)*AQ179*AT179*VLOOKUP('Données projet'!$B$10,Paramètres!$A$1:$I$89,3,0)*0.475*44/12</f>
        <v>1.193593110357018E-21</v>
      </c>
      <c r="AX179" s="21">
        <f t="shared" si="166"/>
        <v>0.75444356441026117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-4.9658410716801891E-14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268.31928207836495</v>
      </c>
      <c r="BJ179" s="59">
        <f t="shared" si="146"/>
        <v>277.61304526670204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0.11419217405473234</v>
      </c>
      <c r="BQ179" s="21">
        <f>EXP(-LN(2)/25)*BQ178+(1-EXP(-LN(2)/25))/(LN(2)/25)*Calculateur!BL179*Calculateur!BN179*VLOOKUP('Données projet'!$B$11,Paramètres!$A$1:$I$89,3,0)*0.475*44/12</f>
        <v>9.8316041873414042E-2</v>
      </c>
      <c r="BR179" s="21">
        <f>EXP(-LN(2)/2)*BR178+(1-EXP(-LN(2)/2))/(LN(2)/2)*BL179*BO179*VLOOKUP('Données projet'!$B$11,Paramètres!$A$1:$I$89,3,0)*0.475*44/12</f>
        <v>8.6435543493071006E-22</v>
      </c>
      <c r="BS179" s="22">
        <f t="shared" si="169"/>
        <v>0.21250821592814639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2.2612312022829431E-14</v>
      </c>
      <c r="CA179" s="13">
        <f t="shared" si="170"/>
        <v>4.0387900716432995E-13</v>
      </c>
      <c r="CB179" s="20">
        <f t="shared" si="171"/>
        <v>7.4280571425096929E-13</v>
      </c>
      <c r="CC179" s="59">
        <f t="shared" si="119"/>
        <v>293.33333333333405</v>
      </c>
      <c r="CD179" s="59">
        <f ca="1">AVERAGE(OFFSET($CC$3,0,0,'Données projet'!$E$12+1,1))-AVERAGE(OFFSET($H$3,0,0,'Données projet'!$E$12+1,1))</f>
        <v>241.67556898455945</v>
      </c>
      <c r="CE179" s="59">
        <f t="shared" si="148"/>
        <v>237.71070965292648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0.35052115054959893</v>
      </c>
      <c r="CL179" s="21">
        <f>EXP(-LN(2)/25)*CL178+(1-EXP(-LN(2)/25))/(LN(2)/25)*Calculateur!CG179*Calculateur!CI179*VLOOKUP('Données projet'!$B$12,Paramètres!$A$1:$I$89,3,0)*0.475*44/12</f>
        <v>0.12352496205732132</v>
      </c>
      <c r="CM179" s="21">
        <f>EXP(-LN(2)/2)*CM178+(1-EXP(-LN(2)/2))/(LN(2)/2)*CG179*CJ179*VLOOKUP('Données projet'!$B$12,Paramètres!$A$1:$I$89,3,0)*0.475*44/12</f>
        <v>7.0905440889671616E-22</v>
      </c>
      <c r="CN179" s="22">
        <f t="shared" si="172"/>
        <v>0.47404611260692026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-2.2612312022829427E-13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405.40026823646758</v>
      </c>
      <c r="T180" s="59">
        <f t="shared" si="142"/>
        <v>393.0787141050053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0.94206689626875295</v>
      </c>
      <c r="AA180" s="21">
        <f>EXP(-LN(2)/25)*AA179+(1-EXP(-LN(2)/25))/(LN(2)/25)*Calculateur!V180*Calculateur!X180*VLOOKUP('Données projet'!$B$9,Paramètres!$A$1:$I$89,3,0)*0.475*44/12</f>
        <v>0.35114917953538627</v>
      </c>
      <c r="AB180" s="21">
        <f>EXP(-LN(2)/2)*AB179+(1-EXP(-LN(2)/2))/(LN(2)/2)*V180*Y180*VLOOKUP('Données projet'!$B$9,Paramètres!$A$1:$I$89,3,0)*0.475*44/12</f>
        <v>8.8566569251767259E-22</v>
      </c>
      <c r="AC180" s="22">
        <f t="shared" si="163"/>
        <v>1.2932160758041391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4.9658410716801891E-14</v>
      </c>
      <c r="AK180" s="13">
        <f t="shared" si="164"/>
        <v>8.0934058173791862E-13</v>
      </c>
      <c r="AL180" s="20">
        <f t="shared" si="165"/>
        <v>1.4960899118586383E-12</v>
      </c>
      <c r="AM180" s="59">
        <f t="shared" si="113"/>
        <v>293.33333333333479</v>
      </c>
      <c r="AN180" s="59">
        <f ca="1">AVERAGE(OFFSET($AM$3,0,0,'Données projet'!$E$10+1,1))-AVERAGE(OFFSET($H$3,0,0,'Données projet'!$E$10+1,1))</f>
        <v>304.32767345253382</v>
      </c>
      <c r="AO180" s="59">
        <f t="shared" si="144"/>
        <v>427.16091343339173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0.42955345746377205</v>
      </c>
      <c r="AV180" s="21">
        <f>EXP(-LN(2)/25)*AV179+(1-EXP(-LN(2)/25))/(LN(2)/25)*Calculateur!AQ180*Calculateur!AS180*VLOOKUP('Données projet'!$B$10,Paramètres!$A$1:$I$89,3,0)*0.475*44/12</f>
        <v>0.30764915154728667</v>
      </c>
      <c r="AW180" s="21">
        <f>EXP(-LN(2)/2)*AW179+(1-EXP(-LN(2)/2))/(LN(2)/2)*AQ180*AT180*VLOOKUP('Données projet'!$B$10,Paramètres!$A$1:$I$89,3,0)*0.475*44/12</f>
        <v>8.4399778231099069E-22</v>
      </c>
      <c r="AX180" s="21">
        <f t="shared" si="166"/>
        <v>0.73720260901105872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-4.9658410716801891E-14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268.31928207836495</v>
      </c>
      <c r="BJ180" s="59">
        <f t="shared" si="146"/>
        <v>277.61304526670204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0.11195293517186782</v>
      </c>
      <c r="BQ180" s="21">
        <f>EXP(-LN(2)/25)*BQ179+(1-EXP(-LN(2)/25))/(LN(2)/25)*Calculateur!BL180*Calculateur!BN180*VLOOKUP('Données projet'!$B$11,Paramètres!$A$1:$I$89,3,0)*0.475*44/12</f>
        <v>9.5627584538169594E-2</v>
      </c>
      <c r="BR180" s="21">
        <f>EXP(-LN(2)/2)*BR179+(1-EXP(-LN(2)/2))/(LN(2)/2)*BL180*BO180*VLOOKUP('Données projet'!$B$11,Paramètres!$A$1:$I$89,3,0)*0.475*44/12</f>
        <v>6.1119158939495272E-22</v>
      </c>
      <c r="BS180" s="22">
        <f t="shared" si="169"/>
        <v>0.20758051971003741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2.2612312022829431E-14</v>
      </c>
      <c r="CA180" s="13">
        <f t="shared" si="170"/>
        <v>4.0387900716432995E-13</v>
      </c>
      <c r="CB180" s="20">
        <f t="shared" si="171"/>
        <v>7.4280571425096929E-13</v>
      </c>
      <c r="CC180" s="59">
        <f t="shared" si="119"/>
        <v>293.33333333333405</v>
      </c>
      <c r="CD180" s="59">
        <f ca="1">AVERAGE(OFFSET($CC$3,0,0,'Données projet'!$E$12+1,1))-AVERAGE(OFFSET($H$3,0,0,'Données projet'!$E$12+1,1))</f>
        <v>241.67556898455945</v>
      </c>
      <c r="CE180" s="59">
        <f t="shared" si="148"/>
        <v>237.71070965292648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0.34364764458411245</v>
      </c>
      <c r="CL180" s="21">
        <f>EXP(-LN(2)/25)*CL179+(1-EXP(-LN(2)/25))/(LN(2)/25)*Calculateur!CG180*Calculateur!CI180*VLOOKUP('Données projet'!$B$12,Paramètres!$A$1:$I$89,3,0)*0.475*44/12</f>
        <v>0.12014716547396843</v>
      </c>
      <c r="CM180" s="21">
        <f>EXP(-LN(2)/2)*CM179+(1-EXP(-LN(2)/2))/(LN(2)/2)*CG180*CJ180*VLOOKUP('Données projet'!$B$12,Paramètres!$A$1:$I$89,3,0)*0.475*44/12</f>
        <v>5.0137718076108707E-22</v>
      </c>
      <c r="CN180" s="22">
        <f t="shared" si="172"/>
        <v>0.46379481005808088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-2.2612312022829427E-13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405.40026823646758</v>
      </c>
      <c r="T181" s="59">
        <f t="shared" si="142"/>
        <v>393.0787141050053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0.92359353903699204</v>
      </c>
      <c r="AA181" s="21">
        <f>EXP(-LN(2)/25)*AA180+(1-EXP(-LN(2)/25))/(LN(2)/25)*Calculateur!V181*Calculateur!X181*VLOOKUP('Données projet'!$B$9,Paramètres!$A$1:$I$89,3,0)*0.475*44/12</f>
        <v>0.34154698675485834</v>
      </c>
      <c r="AB181" s="21">
        <f>EXP(-LN(2)/2)*AB180+(1-EXP(-LN(2)/2))/(LN(2)/2)*V181*Y181*VLOOKUP('Données projet'!$B$9,Paramètres!$A$1:$I$89,3,0)*0.475*44/12</f>
        <v>6.2626021704352602E-22</v>
      </c>
      <c r="AC181" s="22">
        <f t="shared" si="163"/>
        <v>1.2651405257918504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4.9658410716801891E-14</v>
      </c>
      <c r="AK181" s="13">
        <f t="shared" si="164"/>
        <v>8.0934058173791862E-13</v>
      </c>
      <c r="AL181" s="20">
        <f t="shared" si="165"/>
        <v>1.4960899118586383E-12</v>
      </c>
      <c r="AM181" s="59">
        <f t="shared" si="113"/>
        <v>293.33333333333479</v>
      </c>
      <c r="AN181" s="59">
        <f ca="1">AVERAGE(OFFSET($AM$3,0,0,'Données projet'!$E$10+1,1))-AVERAGE(OFFSET($H$3,0,0,'Données projet'!$E$10+1,1))</f>
        <v>304.32767345253382</v>
      </c>
      <c r="AO181" s="59">
        <f t="shared" si="144"/>
        <v>427.16091343339173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0.42113017616464599</v>
      </c>
      <c r="AV181" s="21">
        <f>EXP(-LN(2)/25)*AV180+(1-EXP(-LN(2)/25))/(LN(2)/25)*Calculateur!AQ181*Calculateur!AS181*VLOOKUP('Données projet'!$B$10,Paramètres!$A$1:$I$89,3,0)*0.475*44/12</f>
        <v>0.29923646931966036</v>
      </c>
      <c r="AW181" s="21">
        <f>EXP(-LN(2)/2)*AW180+(1-EXP(-LN(2)/2))/(LN(2)/2)*AQ181*AT181*VLOOKUP('Données projet'!$B$10,Paramètres!$A$1:$I$89,3,0)*0.475*44/12</f>
        <v>5.9679655517850911E-22</v>
      </c>
      <c r="AX181" s="21">
        <f t="shared" si="166"/>
        <v>0.72036664548430629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-4.9658410716801891E-14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268.31928207836495</v>
      </c>
      <c r="BJ181" s="59">
        <f t="shared" si="146"/>
        <v>277.61304526670204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0.1097576063976954</v>
      </c>
      <c r="BQ181" s="21">
        <f>EXP(-LN(2)/25)*BQ180+(1-EXP(-LN(2)/25))/(LN(2)/25)*Calculateur!BL181*Calculateur!BN181*VLOOKUP('Données projet'!$B$11,Paramètres!$A$1:$I$89,3,0)*0.475*44/12</f>
        <v>9.3012643210137233E-2</v>
      </c>
      <c r="BR181" s="21">
        <f>EXP(-LN(2)/2)*BR180+(1-EXP(-LN(2)/2))/(LN(2)/2)*BL181*BO181*VLOOKUP('Données projet'!$B$11,Paramètres!$A$1:$I$89,3,0)*0.475*44/12</f>
        <v>4.3217771746535503E-22</v>
      </c>
      <c r="BS181" s="22">
        <f t="shared" si="169"/>
        <v>0.20277024960783263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2.2612312022829431E-14</v>
      </c>
      <c r="CA181" s="13">
        <f t="shared" si="170"/>
        <v>4.0387900716432995E-13</v>
      </c>
      <c r="CB181" s="20">
        <f t="shared" si="171"/>
        <v>7.4280571425096929E-13</v>
      </c>
      <c r="CC181" s="59">
        <f t="shared" si="119"/>
        <v>293.33333333333405</v>
      </c>
      <c r="CD181" s="59">
        <f ca="1">AVERAGE(OFFSET($CC$3,0,0,'Données projet'!$E$12+1,1))-AVERAGE(OFFSET($H$3,0,0,'Données projet'!$E$12+1,1))</f>
        <v>241.67556898455945</v>
      </c>
      <c r="CE181" s="59">
        <f t="shared" si="148"/>
        <v>237.71070965292648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0.3369089238781845</v>
      </c>
      <c r="CL181" s="21">
        <f>EXP(-LN(2)/25)*CL180+(1-EXP(-LN(2)/25))/(LN(2)/25)*Calculateur!CG181*Calculateur!CI181*VLOOKUP('Données projet'!$B$12,Paramètres!$A$1:$I$89,3,0)*0.475*44/12</f>
        <v>0.11686173491581793</v>
      </c>
      <c r="CM181" s="21">
        <f>EXP(-LN(2)/2)*CM180+(1-EXP(-LN(2)/2))/(LN(2)/2)*CG181*CJ181*VLOOKUP('Données projet'!$B$12,Paramètres!$A$1:$I$89,3,0)*0.475*44/12</f>
        <v>3.5452720444835808E-22</v>
      </c>
      <c r="CN181" s="22">
        <f t="shared" si="172"/>
        <v>0.45377065879400241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-2.2612312022829427E-13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405.40026823646758</v>
      </c>
      <c r="T182" s="59">
        <f t="shared" si="142"/>
        <v>393.0787141050053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0.90548243307291054</v>
      </c>
      <c r="AA182" s="21">
        <f>EXP(-LN(2)/25)*AA181+(1-EXP(-LN(2)/25))/(LN(2)/25)*Calculateur!V182*Calculateur!X182*VLOOKUP('Données projet'!$B$9,Paramètres!$A$1:$I$89,3,0)*0.475*44/12</f>
        <v>0.33220736644087134</v>
      </c>
      <c r="AB182" s="21">
        <f>EXP(-LN(2)/2)*AB181+(1-EXP(-LN(2)/2))/(LN(2)/2)*V182*Y182*VLOOKUP('Données projet'!$B$9,Paramètres!$A$1:$I$89,3,0)*0.475*44/12</f>
        <v>4.428328462588363E-22</v>
      </c>
      <c r="AC182" s="22">
        <f t="shared" si="163"/>
        <v>1.2376897995137819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4.9658410716801891E-14</v>
      </c>
      <c r="AK182" s="13">
        <f t="shared" si="164"/>
        <v>8.0934058173791862E-13</v>
      </c>
      <c r="AL182" s="20">
        <f t="shared" si="165"/>
        <v>1.4960899118586383E-12</v>
      </c>
      <c r="AM182" s="59">
        <f t="shared" si="113"/>
        <v>293.33333333333479</v>
      </c>
      <c r="AN182" s="59">
        <f ca="1">AVERAGE(OFFSET($AM$3,0,0,'Données projet'!$E$10+1,1))-AVERAGE(OFFSET($H$3,0,0,'Données projet'!$E$10+1,1))</f>
        <v>304.32767345253382</v>
      </c>
      <c r="AO182" s="59">
        <f t="shared" si="144"/>
        <v>427.16091343339173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0.4128720702741015</v>
      </c>
      <c r="AV182" s="21">
        <f>EXP(-LN(2)/25)*AV181+(1-EXP(-LN(2)/25))/(LN(2)/25)*Calculateur!AQ182*Calculateur!AS182*VLOOKUP('Données projet'!$B$10,Paramètres!$A$1:$I$89,3,0)*0.475*44/12</f>
        <v>0.29105383232995224</v>
      </c>
      <c r="AW182" s="21">
        <f>EXP(-LN(2)/2)*AW181+(1-EXP(-LN(2)/2))/(LN(2)/2)*AQ182*AT182*VLOOKUP('Données projet'!$B$10,Paramètres!$A$1:$I$89,3,0)*0.475*44/12</f>
        <v>4.2199889115549539E-22</v>
      </c>
      <c r="AX182" s="21">
        <f t="shared" si="166"/>
        <v>0.70392590260405374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-4.9658410716801891E-14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268.31928207836495</v>
      </c>
      <c r="BJ182" s="59">
        <f t="shared" si="146"/>
        <v>277.61304526670204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0.10760532668176617</v>
      </c>
      <c r="BQ182" s="21">
        <f>EXP(-LN(2)/25)*BQ181+(1-EXP(-LN(2)/25))/(LN(2)/25)*Calculateur!BL182*Calculateur!BN182*VLOOKUP('Données projet'!$B$11,Paramètres!$A$1:$I$89,3,0)*0.475*44/12</f>
        <v>9.0469207590233705E-2</v>
      </c>
      <c r="BR182" s="21">
        <f>EXP(-LN(2)/2)*BR181+(1-EXP(-LN(2)/2))/(LN(2)/2)*BL182*BO182*VLOOKUP('Données projet'!$B$11,Paramètres!$A$1:$I$89,3,0)*0.475*44/12</f>
        <v>3.0559579469747636E-22</v>
      </c>
      <c r="BS182" s="22">
        <f t="shared" si="169"/>
        <v>0.19807453427199989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2.2612312022829431E-14</v>
      </c>
      <c r="CA182" s="13">
        <f t="shared" si="170"/>
        <v>4.0387900716432995E-13</v>
      </c>
      <c r="CB182" s="20">
        <f t="shared" si="171"/>
        <v>7.4280571425096929E-13</v>
      </c>
      <c r="CC182" s="59">
        <f t="shared" si="119"/>
        <v>293.33333333333405</v>
      </c>
      <c r="CD182" s="59">
        <f ca="1">AVERAGE(OFFSET($CC$3,0,0,'Données projet'!$E$12+1,1))-AVERAGE(OFFSET($H$3,0,0,'Données projet'!$E$12+1,1))</f>
        <v>241.67556898455945</v>
      </c>
      <c r="CE182" s="59">
        <f t="shared" si="148"/>
        <v>237.71070965292648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0.33030234537508602</v>
      </c>
      <c r="CL182" s="21">
        <f>EXP(-LN(2)/25)*CL181+(1-EXP(-LN(2)/25))/(LN(2)/25)*Calculateur!CG182*Calculateur!CI182*VLOOKUP('Données projet'!$B$12,Paramètres!$A$1:$I$89,3,0)*0.475*44/12</f>
        <v>0.11366614462905333</v>
      </c>
      <c r="CM182" s="21">
        <f>EXP(-LN(2)/2)*CM181+(1-EXP(-LN(2)/2))/(LN(2)/2)*CG182*CJ182*VLOOKUP('Données projet'!$B$12,Paramètres!$A$1:$I$89,3,0)*0.475*44/12</f>
        <v>2.5068859038054354E-22</v>
      </c>
      <c r="CN182" s="22">
        <f t="shared" si="172"/>
        <v>0.44396849000413935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-2.2612312022829427E-13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405.40026823646758</v>
      </c>
      <c r="T183" s="59">
        <f t="shared" si="142"/>
        <v>393.0787141050053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0.88772647485010081</v>
      </c>
      <c r="AA183" s="21">
        <f>EXP(-LN(2)/25)*AA182+(1-EXP(-LN(2)/25))/(LN(2)/25)*Calculateur!V183*Calculateur!X183*VLOOKUP('Données projet'!$B$9,Paramètres!$A$1:$I$89,3,0)*0.475*44/12</f>
        <v>0.32312313853551961</v>
      </c>
      <c r="AB183" s="21">
        <f>EXP(-LN(2)/2)*AB182+(1-EXP(-LN(2)/2))/(LN(2)/2)*V183*Y183*VLOOKUP('Données projet'!$B$9,Paramètres!$A$1:$I$89,3,0)*0.475*44/12</f>
        <v>3.1313010852176301E-22</v>
      </c>
      <c r="AC183" s="22">
        <f t="shared" si="163"/>
        <v>1.2108496133856204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4.9658410716801891E-14</v>
      </c>
      <c r="AK183" s="13">
        <f t="shared" si="164"/>
        <v>8.0934058173791862E-13</v>
      </c>
      <c r="AL183" s="20">
        <f t="shared" si="165"/>
        <v>1.4960899118586383E-12</v>
      </c>
      <c r="AM183" s="59">
        <f t="shared" si="113"/>
        <v>293.33333333333479</v>
      </c>
      <c r="AN183" s="59">
        <f ca="1">AVERAGE(OFFSET($AM$3,0,0,'Données projet'!$E$10+1,1))-AVERAGE(OFFSET($H$3,0,0,'Données projet'!$E$10+1,1))</f>
        <v>304.32767345253382</v>
      </c>
      <c r="AO183" s="59">
        <f t="shared" si="144"/>
        <v>427.16091343339173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0.40477590080312337</v>
      </c>
      <c r="AV183" s="21">
        <f>EXP(-LN(2)/25)*AV182+(1-EXP(-LN(2)/25))/(LN(2)/25)*Calculateur!AQ183*Calculateur!AS183*VLOOKUP('Données projet'!$B$10,Paramètres!$A$1:$I$89,3,0)*0.475*44/12</f>
        <v>0.28309494997903389</v>
      </c>
      <c r="AW183" s="21">
        <f>EXP(-LN(2)/2)*AW182+(1-EXP(-LN(2)/2))/(LN(2)/2)*AQ183*AT183*VLOOKUP('Données projet'!$B$10,Paramètres!$A$1:$I$89,3,0)*0.475*44/12</f>
        <v>2.983982775892546E-22</v>
      </c>
      <c r="AX183" s="21">
        <f t="shared" si="166"/>
        <v>0.68787085078215726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-4.9658410716801891E-14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268.31928207836495</v>
      </c>
      <c r="BJ183" s="59">
        <f t="shared" si="146"/>
        <v>277.61304526670204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0.10549525185830531</v>
      </c>
      <c r="BQ183" s="21">
        <f>EXP(-LN(2)/25)*BQ182+(1-EXP(-LN(2)/25))/(LN(2)/25)*Calculateur!BL183*Calculateur!BN183*VLOOKUP('Données projet'!$B$11,Paramètres!$A$1:$I$89,3,0)*0.475*44/12</f>
        <v>8.7995322351109906E-2</v>
      </c>
      <c r="BR183" s="21">
        <f>EXP(-LN(2)/2)*BR182+(1-EXP(-LN(2)/2))/(LN(2)/2)*BL183*BO183*VLOOKUP('Données projet'!$B$11,Paramètres!$A$1:$I$89,3,0)*0.475*44/12</f>
        <v>2.1608885873267752E-22</v>
      </c>
      <c r="BS183" s="22">
        <f t="shared" si="169"/>
        <v>0.19349057420941523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2.2612312022829431E-14</v>
      </c>
      <c r="CA183" s="13">
        <f t="shared" si="170"/>
        <v>4.0387900716432995E-13</v>
      </c>
      <c r="CB183" s="20">
        <f t="shared" si="171"/>
        <v>7.4280571425096929E-13</v>
      </c>
      <c r="CC183" s="59">
        <f t="shared" si="119"/>
        <v>293.33333333333405</v>
      </c>
      <c r="CD183" s="59">
        <f ca="1">AVERAGE(OFFSET($CC$3,0,0,'Données projet'!$E$12+1,1))-AVERAGE(OFFSET($H$3,0,0,'Données projet'!$E$12+1,1))</f>
        <v>241.67556898455945</v>
      </c>
      <c r="CE183" s="59">
        <f t="shared" si="148"/>
        <v>237.71070965292648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0.32382531784681828</v>
      </c>
      <c r="CL183" s="21">
        <f>EXP(-LN(2)/25)*CL182+(1-EXP(-LN(2)/25))/(LN(2)/25)*Calculateur!CG183*Calculateur!CI183*VLOOKUP('Données projet'!$B$12,Paramètres!$A$1:$I$89,3,0)*0.475*44/12</f>
        <v>0.11055793792672911</v>
      </c>
      <c r="CM183" s="21">
        <f>EXP(-LN(2)/2)*CM182+(1-EXP(-LN(2)/2))/(LN(2)/2)*CG183*CJ183*VLOOKUP('Données projet'!$B$12,Paramètres!$A$1:$I$89,3,0)*0.475*44/12</f>
        <v>1.7726360222417904E-22</v>
      </c>
      <c r="CN183" s="22">
        <f t="shared" si="172"/>
        <v>0.43438325577354742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-2.2612312022829427E-13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405.40026823646758</v>
      </c>
      <c r="T184" s="59">
        <f t="shared" si="142"/>
        <v>393.0787141050053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0.8703187001379753</v>
      </c>
      <c r="AA184" s="21">
        <f>EXP(-LN(2)/25)*AA183+(1-EXP(-LN(2)/25))/(LN(2)/25)*Calculateur!V184*Calculateur!X184*VLOOKUP('Données projet'!$B$9,Paramètres!$A$1:$I$89,3,0)*0.475*44/12</f>
        <v>0.31428731931995846</v>
      </c>
      <c r="AB184" s="21">
        <f>EXP(-LN(2)/2)*AB183+(1-EXP(-LN(2)/2))/(LN(2)/2)*V184*Y184*VLOOKUP('Données projet'!$B$9,Paramètres!$A$1:$I$89,3,0)*0.475*44/12</f>
        <v>2.2141642312941815E-22</v>
      </c>
      <c r="AC184" s="22">
        <f t="shared" si="163"/>
        <v>1.1846060194579338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4.9658410716801891E-14</v>
      </c>
      <c r="AK184" s="13">
        <f t="shared" si="164"/>
        <v>8.0934058173791862E-13</v>
      </c>
      <c r="AL184" s="20">
        <f t="shared" si="165"/>
        <v>1.4960899118586383E-12</v>
      </c>
      <c r="AM184" s="59">
        <f t="shared" si="113"/>
        <v>293.33333333333479</v>
      </c>
      <c r="AN184" s="59">
        <f ca="1">AVERAGE(OFFSET($AM$3,0,0,'Données projet'!$E$10+1,1))-AVERAGE(OFFSET($H$3,0,0,'Données projet'!$E$10+1,1))</f>
        <v>304.32767345253382</v>
      </c>
      <c r="AO184" s="59">
        <f t="shared" si="144"/>
        <v>427.16091343339173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0.39683849227729534</v>
      </c>
      <c r="AV184" s="21">
        <f>EXP(-LN(2)/25)*AV183+(1-EXP(-LN(2)/25))/(LN(2)/25)*Calculateur!AQ184*Calculateur!AS184*VLOOKUP('Données projet'!$B$10,Paramètres!$A$1:$I$89,3,0)*0.475*44/12</f>
        <v>0.27535370368454082</v>
      </c>
      <c r="AW184" s="21">
        <f>EXP(-LN(2)/2)*AW183+(1-EXP(-LN(2)/2))/(LN(2)/2)*AQ184*AT184*VLOOKUP('Données projet'!$B$10,Paramètres!$A$1:$I$89,3,0)*0.475*44/12</f>
        <v>2.1099944557774774E-22</v>
      </c>
      <c r="AX184" s="21">
        <f t="shared" si="166"/>
        <v>0.67219219596183621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-4.9658410716801891E-14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268.31928207836495</v>
      </c>
      <c r="BJ184" s="59">
        <f t="shared" si="146"/>
        <v>277.61304526670204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0.10342655431511397</v>
      </c>
      <c r="BQ184" s="21">
        <f>EXP(-LN(2)/25)*BQ183+(1-EXP(-LN(2)/25))/(LN(2)/25)*Calculateur!BL184*Calculateur!BN184*VLOOKUP('Données projet'!$B$11,Paramètres!$A$1:$I$89,3,0)*0.475*44/12</f>
        <v>8.5589085633945919E-2</v>
      </c>
      <c r="BR184" s="21">
        <f>EXP(-LN(2)/2)*BR183+(1-EXP(-LN(2)/2))/(LN(2)/2)*BL184*BO184*VLOOKUP('Données projet'!$B$11,Paramètres!$A$1:$I$89,3,0)*0.475*44/12</f>
        <v>1.5279789734873818E-22</v>
      </c>
      <c r="BS184" s="22">
        <f t="shared" si="169"/>
        <v>0.1890156399490599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2.2612312022829431E-14</v>
      </c>
      <c r="CA184" s="13">
        <f t="shared" si="170"/>
        <v>4.0387900716432995E-13</v>
      </c>
      <c r="CB184" s="20">
        <f t="shared" si="171"/>
        <v>7.4280571425096929E-13</v>
      </c>
      <c r="CC184" s="59">
        <f t="shared" si="119"/>
        <v>293.33333333333405</v>
      </c>
      <c r="CD184" s="59">
        <f ca="1">AVERAGE(OFFSET($CC$3,0,0,'Données projet'!$E$12+1,1))-AVERAGE(OFFSET($H$3,0,0,'Données projet'!$E$12+1,1))</f>
        <v>241.67556898455945</v>
      </c>
      <c r="CE184" s="59">
        <f t="shared" si="148"/>
        <v>237.71070965292648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0.3174753008777832</v>
      </c>
      <c r="CL184" s="21">
        <f>EXP(-LN(2)/25)*CL183+(1-EXP(-LN(2)/25))/(LN(2)/25)*Calculateur!CG184*Calculateur!CI184*VLOOKUP('Données projet'!$B$12,Paramètres!$A$1:$I$89,3,0)*0.475*44/12</f>
        <v>0.10753472530013343</v>
      </c>
      <c r="CM184" s="21">
        <f>EXP(-LN(2)/2)*CM183+(1-EXP(-LN(2)/2))/(LN(2)/2)*CG184*CJ184*VLOOKUP('Données projet'!$B$12,Paramètres!$A$1:$I$89,3,0)*0.475*44/12</f>
        <v>1.2534429519027177E-22</v>
      </c>
      <c r="CN184" s="22">
        <f t="shared" si="172"/>
        <v>0.42501002617791661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-2.2612312022829427E-13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405.40026823646758</v>
      </c>
      <c r="T185" s="59">
        <f t="shared" si="142"/>
        <v>393.0787141050053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0.85325228127026043</v>
      </c>
      <c r="AA185" s="21">
        <f>EXP(-LN(2)/25)*AA184+(1-EXP(-LN(2)/25))/(LN(2)/25)*Calculateur!V185*Calculateur!X185*VLOOKUP('Données projet'!$B$9,Paramètres!$A$1:$I$89,3,0)*0.475*44/12</f>
        <v>0.30569311604550237</v>
      </c>
      <c r="AB185" s="21">
        <f>EXP(-LN(2)/2)*AB184+(1-EXP(-LN(2)/2))/(LN(2)/2)*V185*Y185*VLOOKUP('Données projet'!$B$9,Paramètres!$A$1:$I$89,3,0)*0.475*44/12</f>
        <v>1.565650542608815E-22</v>
      </c>
      <c r="AC185" s="22">
        <f t="shared" si="163"/>
        <v>1.1589453973157628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4.9658410716801891E-14</v>
      </c>
      <c r="AK185" s="13">
        <f t="shared" si="164"/>
        <v>8.0934058173791862E-13</v>
      </c>
      <c r="AL185" s="20">
        <f t="shared" si="165"/>
        <v>1.4960899118586383E-12</v>
      </c>
      <c r="AM185" s="59">
        <f t="shared" si="113"/>
        <v>293.33333333333479</v>
      </c>
      <c r="AN185" s="59">
        <f ca="1">AVERAGE(OFFSET($AM$3,0,0,'Données projet'!$E$10+1,1))-AVERAGE(OFFSET($H$3,0,0,'Données projet'!$E$10+1,1))</f>
        <v>304.32767345253382</v>
      </c>
      <c r="AO185" s="59">
        <f t="shared" si="144"/>
        <v>427.16091343339173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0.38905673149131764</v>
      </c>
      <c r="AV185" s="21">
        <f>EXP(-LN(2)/25)*AV184+(1-EXP(-LN(2)/25))/(LN(2)/25)*Calculateur!AQ185*Calculateur!AS185*VLOOKUP('Données projet'!$B$10,Paramètres!$A$1:$I$89,3,0)*0.475*44/12</f>
        <v>0.26782414217706513</v>
      </c>
      <c r="AW185" s="21">
        <f>EXP(-LN(2)/2)*AW184+(1-EXP(-LN(2)/2))/(LN(2)/2)*AQ185*AT185*VLOOKUP('Données projet'!$B$10,Paramètres!$A$1:$I$89,3,0)*0.475*44/12</f>
        <v>1.4919913879462733E-22</v>
      </c>
      <c r="AX185" s="21">
        <f t="shared" si="166"/>
        <v>0.65688087366838277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-4.9658410716801891E-14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268.31928207836495</v>
      </c>
      <c r="BJ185" s="59">
        <f t="shared" si="146"/>
        <v>277.61304526670204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0.10139842266896369</v>
      </c>
      <c r="BQ185" s="21">
        <f>EXP(-LN(2)/25)*BQ184+(1-EXP(-LN(2)/25))/(LN(2)/25)*Calculateur!BL185*Calculateur!BN185*VLOOKUP('Données projet'!$B$11,Paramètres!$A$1:$I$89,3,0)*0.475*44/12</f>
        <v>8.3248647586351268E-2</v>
      </c>
      <c r="BR185" s="21">
        <f>EXP(-LN(2)/2)*BR184+(1-EXP(-LN(2)/2))/(LN(2)/2)*BL185*BO185*VLOOKUP('Données projet'!$B$11,Paramètres!$A$1:$I$89,3,0)*0.475*44/12</f>
        <v>1.0804442936633876E-22</v>
      </c>
      <c r="BS185" s="22">
        <f t="shared" si="169"/>
        <v>0.18464707025531496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2.2612312022829431E-14</v>
      </c>
      <c r="CA185" s="13">
        <f t="shared" si="170"/>
        <v>4.0387900716432995E-13</v>
      </c>
      <c r="CB185" s="20">
        <f t="shared" si="171"/>
        <v>7.4280571425096929E-13</v>
      </c>
      <c r="CC185" s="59">
        <f t="shared" si="119"/>
        <v>293.33333333333405</v>
      </c>
      <c r="CD185" s="59">
        <f ca="1">AVERAGE(OFFSET($CC$3,0,0,'Données projet'!$E$12+1,1))-AVERAGE(OFFSET($H$3,0,0,'Données projet'!$E$12+1,1))</f>
        <v>241.67556898455945</v>
      </c>
      <c r="CE185" s="59">
        <f t="shared" si="148"/>
        <v>237.71070965292648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0.31124980386838297</v>
      </c>
      <c r="CL185" s="21">
        <f>EXP(-LN(2)/25)*CL184+(1-EXP(-LN(2)/25))/(LN(2)/25)*Calculateur!CG185*Calculateur!CI185*VLOOKUP('Données projet'!$B$12,Paramètres!$A$1:$I$89,3,0)*0.475*44/12</f>
        <v>0.10459418258179586</v>
      </c>
      <c r="CM185" s="21">
        <f>EXP(-LN(2)/2)*CM184+(1-EXP(-LN(2)/2))/(LN(2)/2)*CG185*CJ185*VLOOKUP('Données projet'!$B$12,Paramètres!$A$1:$I$89,3,0)*0.475*44/12</f>
        <v>8.8631801112089521E-23</v>
      </c>
      <c r="CN185" s="22">
        <f t="shared" si="172"/>
        <v>0.41584398645017884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-2.2612312022829427E-13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405.40026823646758</v>
      </c>
      <c r="T186" s="59">
        <f t="shared" si="142"/>
        <v>393.0787141050053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0.83652052446705372</v>
      </c>
      <c r="AA186" s="21">
        <f>EXP(-LN(2)/25)*AA185+(1-EXP(-LN(2)/25))/(LN(2)/25)*Calculateur!V186*Calculateur!X186*VLOOKUP('Données projet'!$B$9,Paramètres!$A$1:$I$89,3,0)*0.475*44/12</f>
        <v>0.29733392171153578</v>
      </c>
      <c r="AB186" s="21">
        <f>EXP(-LN(2)/2)*AB185+(1-EXP(-LN(2)/2))/(LN(2)/2)*V186*Y186*VLOOKUP('Données projet'!$B$9,Paramètres!$A$1:$I$89,3,0)*0.475*44/12</f>
        <v>1.1070821156470907E-22</v>
      </c>
      <c r="AC186" s="22">
        <f t="shared" si="163"/>
        <v>1.1338544461785895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4.9658410716801891E-14</v>
      </c>
      <c r="AK186" s="13">
        <f t="shared" si="164"/>
        <v>8.0934058173791862E-13</v>
      </c>
      <c r="AL186" s="20">
        <f t="shared" si="165"/>
        <v>1.4960899118586383E-12</v>
      </c>
      <c r="AM186" s="59">
        <f t="shared" si="113"/>
        <v>293.33333333333479</v>
      </c>
      <c r="AN186" s="59">
        <f ca="1">AVERAGE(OFFSET($AM$3,0,0,'Données projet'!$E$10+1,1))-AVERAGE(OFFSET($H$3,0,0,'Données projet'!$E$10+1,1))</f>
        <v>304.32767345253382</v>
      </c>
      <c r="AO186" s="59">
        <f t="shared" si="144"/>
        <v>427.16091343339173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0.38142756628794755</v>
      </c>
      <c r="AV186" s="21">
        <f>EXP(-LN(2)/25)*AV185+(1-EXP(-LN(2)/25))/(LN(2)/25)*Calculateur!AQ186*Calculateur!AS186*VLOOKUP('Données projet'!$B$10,Paramètres!$A$1:$I$89,3,0)*0.475*44/12</f>
        <v>0.26050047692497375</v>
      </c>
      <c r="AW186" s="21">
        <f>EXP(-LN(2)/2)*AW185+(1-EXP(-LN(2)/2))/(LN(2)/2)*AQ186*AT186*VLOOKUP('Données projet'!$B$10,Paramètres!$A$1:$I$89,3,0)*0.475*44/12</f>
        <v>1.0549972278887388E-22</v>
      </c>
      <c r="AX186" s="21">
        <f t="shared" si="166"/>
        <v>0.6419280432129213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-4.9658410716801891E-14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268.31928207836495</v>
      </c>
      <c r="BJ186" s="59">
        <f t="shared" si="146"/>
        <v>277.61304526670204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9.9410061447356271E-2</v>
      </c>
      <c r="BQ186" s="21">
        <f>EXP(-LN(2)/25)*BQ185+(1-EXP(-LN(2)/25))/(LN(2)/25)*Calculateur!BL186*Calculateur!BN186*VLOOKUP('Données projet'!$B$11,Paramètres!$A$1:$I$89,3,0)*0.475*44/12</f>
        <v>8.0972208940246385E-2</v>
      </c>
      <c r="BR186" s="21">
        <f>EXP(-LN(2)/2)*BR185+(1-EXP(-LN(2)/2))/(LN(2)/2)*BL186*BO186*VLOOKUP('Données projet'!$B$11,Paramètres!$A$1:$I$89,3,0)*0.475*44/12</f>
        <v>7.639894867436909E-23</v>
      </c>
      <c r="BS186" s="22">
        <f t="shared" si="169"/>
        <v>0.18038227038760266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2.2612312022829431E-14</v>
      </c>
      <c r="CA186" s="13">
        <f t="shared" si="170"/>
        <v>4.0387900716432995E-13</v>
      </c>
      <c r="CB186" s="20">
        <f t="shared" si="171"/>
        <v>7.4280571425096929E-13</v>
      </c>
      <c r="CC186" s="59">
        <f t="shared" si="119"/>
        <v>293.33333333333405</v>
      </c>
      <c r="CD186" s="59">
        <f ca="1">AVERAGE(OFFSET($CC$3,0,0,'Données projet'!$E$12+1,1))-AVERAGE(OFFSET($H$3,0,0,'Données projet'!$E$12+1,1))</f>
        <v>241.67556898455945</v>
      </c>
      <c r="CE186" s="59">
        <f t="shared" si="148"/>
        <v>237.71070965292648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0.30514638505815883</v>
      </c>
      <c r="CL186" s="21">
        <f>EXP(-LN(2)/25)*CL185+(1-EXP(-LN(2)/25))/(LN(2)/25)*Calculateur!CG186*Calculateur!CI186*VLOOKUP('Données projet'!$B$12,Paramètres!$A$1:$I$89,3,0)*0.475*44/12</f>
        <v>0.10173404915872764</v>
      </c>
      <c r="CM186" s="21">
        <f>EXP(-LN(2)/2)*CM185+(1-EXP(-LN(2)/2))/(LN(2)/2)*CG186*CJ186*VLOOKUP('Données projet'!$B$12,Paramètres!$A$1:$I$89,3,0)*0.475*44/12</f>
        <v>6.2672147595135884E-23</v>
      </c>
      <c r="CN186" s="22">
        <f t="shared" si="172"/>
        <v>0.40688043421688647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-2.2612312022829427E-13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405.40026823646758</v>
      </c>
      <c r="T187" s="59">
        <f t="shared" si="142"/>
        <v>393.0787141050053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0.82011686720939392</v>
      </c>
      <c r="AA187" s="21">
        <f>EXP(-LN(2)/25)*AA186+(1-EXP(-LN(2)/25))/(LN(2)/25)*Calculateur!V187*Calculateur!X187*VLOOKUP('Données projet'!$B$9,Paramètres!$A$1:$I$89,3,0)*0.475*44/12</f>
        <v>0.28920330998622246</v>
      </c>
      <c r="AB187" s="21">
        <f>EXP(-LN(2)/2)*AB186+(1-EXP(-LN(2)/2))/(LN(2)/2)*V187*Y187*VLOOKUP('Données projet'!$B$9,Paramètres!$A$1:$I$89,3,0)*0.475*44/12</f>
        <v>7.8282527130440752E-23</v>
      </c>
      <c r="AC187" s="22">
        <f t="shared" si="163"/>
        <v>1.1093201771956163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4.9658410716801891E-14</v>
      </c>
      <c r="AK187" s="13">
        <f t="shared" si="164"/>
        <v>8.0934058173791862E-13</v>
      </c>
      <c r="AL187" s="20">
        <f t="shared" si="165"/>
        <v>1.4960899118586383E-12</v>
      </c>
      <c r="AM187" s="59">
        <f t="shared" si="113"/>
        <v>293.33333333333479</v>
      </c>
      <c r="AN187" s="59">
        <f ca="1">AVERAGE(OFFSET($AM$3,0,0,'Données projet'!$E$10+1,1))-AVERAGE(OFFSET($H$3,0,0,'Données projet'!$E$10+1,1))</f>
        <v>304.32767345253382</v>
      </c>
      <c r="AO187" s="59">
        <f t="shared" si="144"/>
        <v>427.16091343339173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0.37394800436088427</v>
      </c>
      <c r="AV187" s="21">
        <f>EXP(-LN(2)/25)*AV186+(1-EXP(-LN(2)/25))/(LN(2)/25)*Calculateur!AQ187*Calculateur!AS187*VLOOKUP('Données projet'!$B$10,Paramètres!$A$1:$I$89,3,0)*0.475*44/12</f>
        <v>0.25337707768433565</v>
      </c>
      <c r="AW187" s="21">
        <f>EXP(-LN(2)/2)*AW186+(1-EXP(-LN(2)/2))/(LN(2)/2)*AQ187*AT187*VLOOKUP('Données projet'!$B$10,Paramètres!$A$1:$I$89,3,0)*0.475*44/12</f>
        <v>7.4599569397313674E-23</v>
      </c>
      <c r="AX187" s="21">
        <f t="shared" si="166"/>
        <v>0.62732508204521986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-4.9658410716801891E-14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268.31928207836495</v>
      </c>
      <c r="BJ187" s="59">
        <f t="shared" si="146"/>
        <v>277.61304526670204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9.7460690776523973E-2</v>
      </c>
      <c r="BQ187" s="21">
        <f>EXP(-LN(2)/25)*BQ186+(1-EXP(-LN(2)/25))/(LN(2)/25)*Calculateur!BL187*Calculateur!BN187*VLOOKUP('Données projet'!$B$11,Paramètres!$A$1:$I$89,3,0)*0.475*44/12</f>
        <v>7.8758019628631937E-2</v>
      </c>
      <c r="BR187" s="21">
        <f>EXP(-LN(2)/2)*BR186+(1-EXP(-LN(2)/2))/(LN(2)/2)*BL187*BO187*VLOOKUP('Données projet'!$B$11,Paramètres!$A$1:$I$89,3,0)*0.475*44/12</f>
        <v>5.4022214683169379E-23</v>
      </c>
      <c r="BS187" s="22">
        <f t="shared" si="169"/>
        <v>0.17621871040515591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2.2612312022829431E-14</v>
      </c>
      <c r="CA187" s="13">
        <f t="shared" si="170"/>
        <v>4.0387900716432995E-13</v>
      </c>
      <c r="CB187" s="20">
        <f t="shared" si="171"/>
        <v>7.4280571425096929E-13</v>
      </c>
      <c r="CC187" s="59">
        <f t="shared" si="119"/>
        <v>293.33333333333405</v>
      </c>
      <c r="CD187" s="59">
        <f ca="1">AVERAGE(OFFSET($CC$3,0,0,'Données projet'!$E$12+1,1))-AVERAGE(OFFSET($H$3,0,0,'Données projet'!$E$12+1,1))</f>
        <v>241.67556898455945</v>
      </c>
      <c r="CE187" s="59">
        <f t="shared" si="148"/>
        <v>237.71070965292648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0.29916265056808533</v>
      </c>
      <c r="CL187" s="21">
        <f>EXP(-LN(2)/25)*CL186+(1-EXP(-LN(2)/25))/(LN(2)/25)*Calculateur!CG187*Calculateur!CI187*VLOOKUP('Données projet'!$B$12,Paramètres!$A$1:$I$89,3,0)*0.475*44/12</f>
        <v>9.8952126234521098E-2</v>
      </c>
      <c r="CM187" s="21">
        <f>EXP(-LN(2)/2)*CM186+(1-EXP(-LN(2)/2))/(LN(2)/2)*CG187*CJ187*VLOOKUP('Données projet'!$B$12,Paramètres!$A$1:$I$89,3,0)*0.475*44/12</f>
        <v>4.431590055604476E-23</v>
      </c>
      <c r="CN187" s="22">
        <f t="shared" si="172"/>
        <v>0.39811477680260643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-2.2612312022829427E-13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405.40026823646758</v>
      </c>
      <c r="T188" s="59">
        <f t="shared" si="142"/>
        <v>393.0787141050053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0.80403487566531384</v>
      </c>
      <c r="AA188" s="21">
        <f>EXP(-LN(2)/25)*AA187+(1-EXP(-LN(2)/25))/(LN(2)/25)*Calculateur!V188*Calculateur!X188*VLOOKUP('Données projet'!$B$9,Paramètres!$A$1:$I$89,3,0)*0.475*44/12</f>
        <v>0.28129503026610814</v>
      </c>
      <c r="AB188" s="21">
        <f>EXP(-LN(2)/2)*AB187+(1-EXP(-LN(2)/2))/(LN(2)/2)*V188*Y188*VLOOKUP('Données projet'!$B$9,Paramètres!$A$1:$I$89,3,0)*0.475*44/12</f>
        <v>5.5354105782354537E-23</v>
      </c>
      <c r="AC188" s="22">
        <f t="shared" si="163"/>
        <v>1.0853299059314221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4.9658410716801891E-14</v>
      </c>
      <c r="AK188" s="13">
        <f t="shared" si="164"/>
        <v>8.0934058173791862E-13</v>
      </c>
      <c r="AL188" s="20">
        <f t="shared" si="165"/>
        <v>1.4960899118586383E-12</v>
      </c>
      <c r="AM188" s="59">
        <f t="shared" si="113"/>
        <v>293.33333333333479</v>
      </c>
      <c r="AN188" s="59">
        <f ca="1">AVERAGE(OFFSET($AM$3,0,0,'Données projet'!$E$10+1,1))-AVERAGE(OFFSET($H$3,0,0,'Données projet'!$E$10+1,1))</f>
        <v>304.32767345253382</v>
      </c>
      <c r="AO188" s="59">
        <f t="shared" si="144"/>
        <v>427.16091343339173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0.3666151120811284</v>
      </c>
      <c r="AV188" s="21">
        <f>EXP(-LN(2)/25)*AV187+(1-EXP(-LN(2)/25))/(LN(2)/25)*Calculateur!AQ188*Calculateur!AS188*VLOOKUP('Données projet'!$B$10,Paramètres!$A$1:$I$89,3,0)*0.475*44/12</f>
        <v>0.24644846817053609</v>
      </c>
      <c r="AW188" s="21">
        <f>EXP(-LN(2)/2)*AW187+(1-EXP(-LN(2)/2))/(LN(2)/2)*AQ188*AT188*VLOOKUP('Données projet'!$B$10,Paramètres!$A$1:$I$89,3,0)*0.475*44/12</f>
        <v>5.2749861394436953E-23</v>
      </c>
      <c r="AX188" s="21">
        <f t="shared" si="166"/>
        <v>0.61306358025166452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-4.9658410716801891E-14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268.31928207836495</v>
      </c>
      <c r="BJ188" s="59">
        <f t="shared" si="146"/>
        <v>277.61304526670204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9.5549546075547984E-2</v>
      </c>
      <c r="BQ188" s="21">
        <f>EXP(-LN(2)/25)*BQ187+(1-EXP(-LN(2)/25))/(LN(2)/25)*Calculateur!BL188*Calculateur!BN188*VLOOKUP('Données projet'!$B$11,Paramètres!$A$1:$I$89,3,0)*0.475*44/12</f>
        <v>7.6604377440182753E-2</v>
      </c>
      <c r="BR188" s="21">
        <f>EXP(-LN(2)/2)*BR187+(1-EXP(-LN(2)/2))/(LN(2)/2)*BL188*BO188*VLOOKUP('Données projet'!$B$11,Paramètres!$A$1:$I$89,3,0)*0.475*44/12</f>
        <v>3.8199474337184545E-23</v>
      </c>
      <c r="BS188" s="22">
        <f t="shared" si="169"/>
        <v>0.17215392351573072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2.2612312022829431E-14</v>
      </c>
      <c r="CA188" s="13">
        <f t="shared" si="170"/>
        <v>4.0387900716432995E-13</v>
      </c>
      <c r="CB188" s="20">
        <f t="shared" si="171"/>
        <v>7.4280571425096929E-13</v>
      </c>
      <c r="CC188" s="59">
        <f t="shared" si="119"/>
        <v>293.33333333333405</v>
      </c>
      <c r="CD188" s="59">
        <f ca="1">AVERAGE(OFFSET($CC$3,0,0,'Données projet'!$E$12+1,1))-AVERAGE(OFFSET($H$3,0,0,'Données projet'!$E$12+1,1))</f>
        <v>241.67556898455945</v>
      </c>
      <c r="CE188" s="59">
        <f t="shared" si="148"/>
        <v>237.71070965292648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0.29329625346164451</v>
      </c>
      <c r="CL188" s="21">
        <f>EXP(-LN(2)/25)*CL187+(1-EXP(-LN(2)/25))/(LN(2)/25)*Calculateur!CG188*Calculateur!CI188*VLOOKUP('Données projet'!$B$12,Paramètres!$A$1:$I$89,3,0)*0.475*44/12</f>
        <v>9.6246275138971965E-2</v>
      </c>
      <c r="CM188" s="21">
        <f>EXP(-LN(2)/2)*CM187+(1-EXP(-LN(2)/2))/(LN(2)/2)*CG188*CJ188*VLOOKUP('Données projet'!$B$12,Paramètres!$A$1:$I$89,3,0)*0.475*44/12</f>
        <v>3.1336073797567942E-23</v>
      </c>
      <c r="CN188" s="22">
        <f t="shared" si="172"/>
        <v>0.38954252860061644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-2.2612312022829427E-13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405.40026823646758</v>
      </c>
      <c r="T189" s="59">
        <f t="shared" si="142"/>
        <v>393.0787141050053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0.78826824216636693</v>
      </c>
      <c r="AA189" s="21">
        <f>EXP(-LN(2)/25)*AA188+(1-EXP(-LN(2)/25))/(LN(2)/25)*Calculateur!V189*Calculateur!X189*VLOOKUP('Données projet'!$B$9,Paramètres!$A$1:$I$89,3,0)*0.475*44/12</f>
        <v>0.27360300287081868</v>
      </c>
      <c r="AB189" s="21">
        <f>EXP(-LN(2)/2)*AB188+(1-EXP(-LN(2)/2))/(LN(2)/2)*V189*Y189*VLOOKUP('Données projet'!$B$9,Paramètres!$A$1:$I$89,3,0)*0.475*44/12</f>
        <v>3.9141263565220376E-23</v>
      </c>
      <c r="AC189" s="22">
        <f t="shared" si="163"/>
        <v>1.0618712450371857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4.9658410716801891E-14</v>
      </c>
      <c r="AK189" s="13">
        <f t="shared" si="164"/>
        <v>8.0934058173791862E-13</v>
      </c>
      <c r="AL189" s="20">
        <f t="shared" si="165"/>
        <v>1.4960899118586383E-12</v>
      </c>
      <c r="AM189" s="59">
        <f t="shared" si="113"/>
        <v>293.33333333333479</v>
      </c>
      <c r="AN189" s="59">
        <f ca="1">AVERAGE(OFFSET($AM$3,0,0,'Données projet'!$E$10+1,1))-AVERAGE(OFFSET($H$3,0,0,'Données projet'!$E$10+1,1))</f>
        <v>304.32767345253382</v>
      </c>
      <c r="AO189" s="59">
        <f t="shared" si="144"/>
        <v>427.16091343339173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0.35942601334635588</v>
      </c>
      <c r="AV189" s="21">
        <f>EXP(-LN(2)/25)*AV188+(1-EXP(-LN(2)/25))/(LN(2)/25)*Calculateur!AQ189*Calculateur!AS189*VLOOKUP('Données projet'!$B$10,Paramètres!$A$1:$I$89,3,0)*0.475*44/12</f>
        <v>0.23970932184825111</v>
      </c>
      <c r="AW189" s="21">
        <f>EXP(-LN(2)/2)*AW188+(1-EXP(-LN(2)/2))/(LN(2)/2)*AQ189*AT189*VLOOKUP('Données projet'!$B$10,Paramètres!$A$1:$I$89,3,0)*0.475*44/12</f>
        <v>3.7299784698656843E-23</v>
      </c>
      <c r="AX189" s="21">
        <f t="shared" si="166"/>
        <v>0.59913533519460693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-4.9658410716801891E-14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268.31928207836495</v>
      </c>
      <c r="BJ189" s="59">
        <f t="shared" si="146"/>
        <v>277.61304526670204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9.3675877756474971E-2</v>
      </c>
      <c r="BQ189" s="21">
        <f>EXP(-LN(2)/25)*BQ188+(1-EXP(-LN(2)/25))/(LN(2)/25)*Calculateur!BL189*Calculateur!BN189*VLOOKUP('Données projet'!$B$11,Paramètres!$A$1:$I$89,3,0)*0.475*44/12</f>
        <v>7.4509626710631827E-2</v>
      </c>
      <c r="BR189" s="21">
        <f>EXP(-LN(2)/2)*BR188+(1-EXP(-LN(2)/2))/(LN(2)/2)*BL189*BO189*VLOOKUP('Données projet'!$B$11,Paramètres!$A$1:$I$89,3,0)*0.475*44/12</f>
        <v>2.7011107341584689E-23</v>
      </c>
      <c r="BS189" s="22">
        <f t="shared" si="169"/>
        <v>0.16818550446710678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2.2612312022829431E-14</v>
      </c>
      <c r="CA189" s="13">
        <f t="shared" si="170"/>
        <v>4.0387900716432995E-13</v>
      </c>
      <c r="CB189" s="20">
        <f t="shared" si="171"/>
        <v>7.4280571425096929E-13</v>
      </c>
      <c r="CC189" s="59">
        <f t="shared" si="119"/>
        <v>293.33333333333405</v>
      </c>
      <c r="CD189" s="59">
        <f ca="1">AVERAGE(OFFSET($CC$3,0,0,'Données projet'!$E$12+1,1))-AVERAGE(OFFSET($H$3,0,0,'Données projet'!$E$12+1,1))</f>
        <v>241.67556898455945</v>
      </c>
      <c r="CE189" s="59">
        <f t="shared" si="148"/>
        <v>237.71070965292648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0.28754489282431206</v>
      </c>
      <c r="CL189" s="21">
        <f>EXP(-LN(2)/25)*CL188+(1-EXP(-LN(2)/25))/(LN(2)/25)*Calculateur!CG189*Calculateur!CI189*VLOOKUP('Données projet'!$B$12,Paramètres!$A$1:$I$89,3,0)*0.475*44/12</f>
        <v>9.3614415683925145E-2</v>
      </c>
      <c r="CM189" s="21">
        <f>EXP(-LN(2)/2)*CM188+(1-EXP(-LN(2)/2))/(LN(2)/2)*CG189*CJ189*VLOOKUP('Données projet'!$B$12,Paramètres!$A$1:$I$89,3,0)*0.475*44/12</f>
        <v>2.215795027802238E-23</v>
      </c>
      <c r="CN189" s="22">
        <f t="shared" si="172"/>
        <v>0.3811593085082372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-2.2612312022829427E-13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405.40026823646758</v>
      </c>
      <c r="T190" s="59">
        <f t="shared" si="142"/>
        <v>393.0787141050053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0.77281078273363757</v>
      </c>
      <c r="AA190" s="21">
        <f>EXP(-LN(2)/25)*AA189+(1-EXP(-LN(2)/25))/(LN(2)/25)*Calculateur!V190*Calculateur!X190*VLOOKUP('Données projet'!$B$9,Paramètres!$A$1:$I$89,3,0)*0.475*44/12</f>
        <v>0.26612131436915953</v>
      </c>
      <c r="AB190" s="21">
        <f>EXP(-LN(2)/2)*AB189+(1-EXP(-LN(2)/2))/(LN(2)/2)*V190*Y190*VLOOKUP('Données projet'!$B$9,Paramètres!$A$1:$I$89,3,0)*0.475*44/12</f>
        <v>2.7677052891177268E-23</v>
      </c>
      <c r="AC190" s="22">
        <f t="shared" si="163"/>
        <v>1.0389320971027971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4.9658410716801891E-14</v>
      </c>
      <c r="AK190" s="13">
        <f t="shared" si="164"/>
        <v>8.0934058173791862E-13</v>
      </c>
      <c r="AL190" s="20">
        <f t="shared" si="165"/>
        <v>1.4960899118586383E-12</v>
      </c>
      <c r="AM190" s="59">
        <f t="shared" si="113"/>
        <v>293.33333333333479</v>
      </c>
      <c r="AN190" s="59">
        <f ca="1">AVERAGE(OFFSET($AM$3,0,0,'Données projet'!$E$10+1,1))-AVERAGE(OFFSET($H$3,0,0,'Données projet'!$E$10+1,1))</f>
        <v>304.32767345253382</v>
      </c>
      <c r="AO190" s="59">
        <f t="shared" si="144"/>
        <v>427.16091343339173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0.352377888452855</v>
      </c>
      <c r="AV190" s="21">
        <f>EXP(-LN(2)/25)*AV189+(1-EXP(-LN(2)/25))/(LN(2)/25)*Calculateur!AQ190*Calculateur!AS190*VLOOKUP('Données projet'!$B$10,Paramètres!$A$1:$I$89,3,0)*0.475*44/12</f>
        <v>0.23315445783654531</v>
      </c>
      <c r="AW190" s="21">
        <f>EXP(-LN(2)/2)*AW189+(1-EXP(-LN(2)/2))/(LN(2)/2)*AQ190*AT190*VLOOKUP('Données projet'!$B$10,Paramètres!$A$1:$I$89,3,0)*0.475*44/12</f>
        <v>2.637493069721848E-23</v>
      </c>
      <c r="AX190" s="21">
        <f t="shared" si="166"/>
        <v>0.58553234628940032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-4.9658410716801891E-14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268.31928207836495</v>
      </c>
      <c r="BJ190" s="59">
        <f t="shared" si="146"/>
        <v>277.61304526670204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9.1838950930314148E-2</v>
      </c>
      <c r="BQ190" s="21">
        <f>EXP(-LN(2)/25)*BQ189+(1-EXP(-LN(2)/25))/(LN(2)/25)*Calculateur!BL190*Calculateur!BN190*VLOOKUP('Données projet'!$B$11,Paramètres!$A$1:$I$89,3,0)*0.475*44/12</f>
        <v>7.2472157049938618E-2</v>
      </c>
      <c r="BR190" s="21">
        <f>EXP(-LN(2)/2)*BR189+(1-EXP(-LN(2)/2))/(LN(2)/2)*BL190*BO190*VLOOKUP('Données projet'!$B$11,Paramètres!$A$1:$I$89,3,0)*0.475*44/12</f>
        <v>1.9099737168592273E-23</v>
      </c>
      <c r="BS190" s="22">
        <f t="shared" si="169"/>
        <v>0.16431110798025278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2.2612312022829431E-14</v>
      </c>
      <c r="CA190" s="13">
        <f t="shared" si="170"/>
        <v>4.0387900716432995E-13</v>
      </c>
      <c r="CB190" s="20">
        <f t="shared" si="171"/>
        <v>7.4280571425096929E-13</v>
      </c>
      <c r="CC190" s="59">
        <f t="shared" si="119"/>
        <v>293.33333333333405</v>
      </c>
      <c r="CD190" s="59">
        <f ca="1">AVERAGE(OFFSET($CC$3,0,0,'Données projet'!$E$12+1,1))-AVERAGE(OFFSET($H$3,0,0,'Données projet'!$E$12+1,1))</f>
        <v>241.67556898455945</v>
      </c>
      <c r="CE190" s="59">
        <f t="shared" si="148"/>
        <v>237.71070965292648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0.28190631286109408</v>
      </c>
      <c r="CL190" s="21">
        <f>EXP(-LN(2)/25)*CL189+(1-EXP(-LN(2)/25))/(LN(2)/25)*Calculateur!CG190*Calculateur!CI190*VLOOKUP('Données projet'!$B$12,Paramètres!$A$1:$I$89,3,0)*0.475*44/12</f>
        <v>9.1054524564080044E-2</v>
      </c>
      <c r="CM190" s="21">
        <f>EXP(-LN(2)/2)*CM189+(1-EXP(-LN(2)/2))/(LN(2)/2)*CG190*CJ190*VLOOKUP('Données projet'!$B$12,Paramètres!$A$1:$I$89,3,0)*0.475*44/12</f>
        <v>1.5668036898783971E-23</v>
      </c>
      <c r="CN190" s="22">
        <f t="shared" si="172"/>
        <v>0.37296083742517411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-2.2612312022829427E-13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405.40026823646758</v>
      </c>
      <c r="T191" s="59">
        <f t="shared" si="142"/>
        <v>393.0787141050053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0.75765643465226462</v>
      </c>
      <c r="AA191" s="21">
        <f>EXP(-LN(2)/25)*AA190+(1-EXP(-LN(2)/25))/(LN(2)/25)*Calculateur!V191*Calculateur!X191*VLOOKUP('Données projet'!$B$9,Paramètres!$A$1:$I$89,3,0)*0.475*44/12</f>
        <v>0.25884421303302318</v>
      </c>
      <c r="AB191" s="21">
        <f>EXP(-LN(2)/2)*AB190+(1-EXP(-LN(2)/2))/(LN(2)/2)*V191*Y191*VLOOKUP('Données projet'!$B$9,Paramètres!$A$1:$I$89,3,0)*0.475*44/12</f>
        <v>1.9570631782610188E-23</v>
      </c>
      <c r="AC191" s="22">
        <f t="shared" si="163"/>
        <v>1.0165006476852878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4.9658410716801891E-14</v>
      </c>
      <c r="AK191" s="13">
        <f t="shared" si="164"/>
        <v>8.0934058173791862E-13</v>
      </c>
      <c r="AL191" s="20">
        <f t="shared" si="165"/>
        <v>1.4960899118586383E-12</v>
      </c>
      <c r="AM191" s="59">
        <f t="shared" si="113"/>
        <v>293.33333333333479</v>
      </c>
      <c r="AN191" s="59">
        <f ca="1">AVERAGE(OFFSET($AM$3,0,0,'Données projet'!$E$10+1,1))-AVERAGE(OFFSET($H$3,0,0,'Données projet'!$E$10+1,1))</f>
        <v>304.32767345253382</v>
      </c>
      <c r="AO191" s="59">
        <f t="shared" si="144"/>
        <v>427.16091343339173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0.34546797298958398</v>
      </c>
      <c r="AV191" s="21">
        <f>EXP(-LN(2)/25)*AV190+(1-EXP(-LN(2)/25))/(LN(2)/25)*Calculateur!AQ191*Calculateur!AS191*VLOOKUP('Données projet'!$B$10,Paramètres!$A$1:$I$89,3,0)*0.475*44/12</f>
        <v>0.22677883692594492</v>
      </c>
      <c r="AW191" s="21">
        <f>EXP(-LN(2)/2)*AW190+(1-EXP(-LN(2)/2))/(LN(2)/2)*AQ191*AT191*VLOOKUP('Données projet'!$B$10,Paramètres!$A$1:$I$89,3,0)*0.475*44/12</f>
        <v>1.8649892349328424E-23</v>
      </c>
      <c r="AX191" s="21">
        <f t="shared" si="166"/>
        <v>0.5722468099155289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-4.9658410716801891E-14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268.31928207836495</v>
      </c>
      <c r="BJ191" s="59">
        <f t="shared" si="146"/>
        <v>277.61304526670204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9.0038045118799606E-2</v>
      </c>
      <c r="BQ191" s="21">
        <f>EXP(-LN(2)/25)*BQ190+(1-EXP(-LN(2)/25))/(LN(2)/25)*Calculateur!BL191*Calculateur!BN191*VLOOKUP('Données projet'!$B$11,Paramètres!$A$1:$I$89,3,0)*0.475*44/12</f>
        <v>7.0490402104262939E-2</v>
      </c>
      <c r="BR191" s="21">
        <f>EXP(-LN(2)/2)*BR190+(1-EXP(-LN(2)/2))/(LN(2)/2)*BL191*BO191*VLOOKUP('Données projet'!$B$11,Paramètres!$A$1:$I$89,3,0)*0.475*44/12</f>
        <v>1.3505553670792345E-23</v>
      </c>
      <c r="BS191" s="22">
        <f t="shared" si="169"/>
        <v>0.16052844722306253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2.2612312022829431E-14</v>
      </c>
      <c r="CA191" s="13">
        <f t="shared" si="170"/>
        <v>4.0387900716432995E-13</v>
      </c>
      <c r="CB191" s="20">
        <f t="shared" si="171"/>
        <v>7.4280571425096929E-13</v>
      </c>
      <c r="CC191" s="59">
        <f t="shared" si="119"/>
        <v>293.33333333333405</v>
      </c>
      <c r="CD191" s="59">
        <f ca="1">AVERAGE(OFFSET($CC$3,0,0,'Données projet'!$E$12+1,1))-AVERAGE(OFFSET($H$3,0,0,'Données projet'!$E$12+1,1))</f>
        <v>241.67556898455945</v>
      </c>
      <c r="CE191" s="59">
        <f t="shared" si="148"/>
        <v>237.71070965292648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0.27637830201176061</v>
      </c>
      <c r="CL191" s="21">
        <f>EXP(-LN(2)/25)*CL190+(1-EXP(-LN(2)/25))/(LN(2)/25)*Calculateur!CG191*Calculateur!CI191*VLOOKUP('Données projet'!$B$12,Paramètres!$A$1:$I$89,3,0)*0.475*44/12</f>
        <v>8.8564633801525933E-2</v>
      </c>
      <c r="CM191" s="21">
        <f>EXP(-LN(2)/2)*CM190+(1-EXP(-LN(2)/2))/(LN(2)/2)*CG191*CJ191*VLOOKUP('Données projet'!$B$12,Paramètres!$A$1:$I$89,3,0)*0.475*44/12</f>
        <v>1.107897513901119E-23</v>
      </c>
      <c r="CN191" s="22">
        <f t="shared" si="172"/>
        <v>0.36494293581328652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-2.2612312022829427E-13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405.40026823646758</v>
      </c>
      <c r="T192" s="59">
        <f t="shared" si="142"/>
        <v>393.0787141050053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0.74279925409352776</v>
      </c>
      <c r="AA192" s="21">
        <f>EXP(-LN(2)/25)*AA191+(1-EXP(-LN(2)/25))/(LN(2)/25)*Calculateur!V192*Calculateur!X192*VLOOKUP('Données projet'!$B$9,Paramètres!$A$1:$I$89,3,0)*0.475*44/12</f>
        <v>0.25176610441560959</v>
      </c>
      <c r="AB192" s="21">
        <f>EXP(-LN(2)/2)*AB191+(1-EXP(-LN(2)/2))/(LN(2)/2)*V192*Y192*VLOOKUP('Données projet'!$B$9,Paramètres!$A$1:$I$89,3,0)*0.475*44/12</f>
        <v>1.3838526445588634E-23</v>
      </c>
      <c r="AC192" s="22">
        <f t="shared" si="163"/>
        <v>0.99456535850913741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4.9658410716801891E-14</v>
      </c>
      <c r="AK192" s="13">
        <f t="shared" si="164"/>
        <v>8.0934058173791862E-13</v>
      </c>
      <c r="AL192" s="20">
        <f t="shared" si="165"/>
        <v>1.4960899118586383E-12</v>
      </c>
      <c r="AM192" s="59">
        <f t="shared" si="113"/>
        <v>293.33333333333479</v>
      </c>
      <c r="AN192" s="59">
        <f ca="1">AVERAGE(OFFSET($AM$3,0,0,'Données projet'!$E$10+1,1))-AVERAGE(OFFSET($H$3,0,0,'Données projet'!$E$10+1,1))</f>
        <v>304.32767345253382</v>
      </c>
      <c r="AO192" s="59">
        <f t="shared" si="144"/>
        <v>427.16091343339173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0.33869355675391544</v>
      </c>
      <c r="AV192" s="21">
        <f>EXP(-LN(2)/25)*AV191+(1-EXP(-LN(2)/25))/(LN(2)/25)*Calculateur!AQ192*Calculateur!AS192*VLOOKUP('Données projet'!$B$10,Paramètres!$A$1:$I$89,3,0)*0.475*44/12</f>
        <v>0.22057755770442422</v>
      </c>
      <c r="AW192" s="21">
        <f>EXP(-LN(2)/2)*AW191+(1-EXP(-LN(2)/2))/(LN(2)/2)*AQ192*AT192*VLOOKUP('Données projet'!$B$10,Paramètres!$A$1:$I$89,3,0)*0.475*44/12</f>
        <v>1.3187465348609241E-23</v>
      </c>
      <c r="AX192" s="21">
        <f t="shared" si="166"/>
        <v>0.55927111445833966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-4.9658410716801891E-14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268.31928207836495</v>
      </c>
      <c r="BJ192" s="59">
        <f t="shared" si="146"/>
        <v>277.61304526670204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8.827245397180479E-2</v>
      </c>
      <c r="BQ192" s="21">
        <f>EXP(-LN(2)/25)*BQ191+(1-EXP(-LN(2)/25))/(LN(2)/25)*Calculateur!BL192*Calculateur!BN192*VLOOKUP('Données projet'!$B$11,Paramètres!$A$1:$I$89,3,0)*0.475*44/12</f>
        <v>6.8562838351792735E-2</v>
      </c>
      <c r="BR192" s="21">
        <f>EXP(-LN(2)/2)*BR191+(1-EXP(-LN(2)/2))/(LN(2)/2)*BL192*BO192*VLOOKUP('Données projet'!$B$11,Paramètres!$A$1:$I$89,3,0)*0.475*44/12</f>
        <v>9.5498685842961363E-24</v>
      </c>
      <c r="BS192" s="22">
        <f t="shared" si="169"/>
        <v>0.15683529232359752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2.2612312022829431E-14</v>
      </c>
      <c r="CA192" s="13">
        <f t="shared" si="170"/>
        <v>4.0387900716432995E-13</v>
      </c>
      <c r="CB192" s="20">
        <f t="shared" si="171"/>
        <v>7.4280571425096929E-13</v>
      </c>
      <c r="CC192" s="59">
        <f t="shared" si="119"/>
        <v>293.33333333333405</v>
      </c>
      <c r="CD192" s="59">
        <f ca="1">AVERAGE(OFFSET($CC$3,0,0,'Données projet'!$E$12+1,1))-AVERAGE(OFFSET($H$3,0,0,'Données projet'!$E$12+1,1))</f>
        <v>241.67556898455945</v>
      </c>
      <c r="CE192" s="59">
        <f t="shared" si="148"/>
        <v>237.71070965292648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0.27095869208342888</v>
      </c>
      <c r="CL192" s="21">
        <f>EXP(-LN(2)/25)*CL191+(1-EXP(-LN(2)/25))/(LN(2)/25)*Calculateur!CG192*Calculateur!CI192*VLOOKUP('Données projet'!$B$12,Paramètres!$A$1:$I$89,3,0)*0.475*44/12</f>
        <v>8.6142829232811538E-2</v>
      </c>
      <c r="CM192" s="21">
        <f>EXP(-LN(2)/2)*CM191+(1-EXP(-LN(2)/2))/(LN(2)/2)*CG192*CJ192*VLOOKUP('Données projet'!$B$12,Paramètres!$A$1:$I$89,3,0)*0.475*44/12</f>
        <v>7.8340184493919855E-24</v>
      </c>
      <c r="CN192" s="22">
        <f t="shared" si="172"/>
        <v>0.3571015213162404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-2.2612312022829427E-13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405.40026823646758</v>
      </c>
      <c r="T193" s="59">
        <f t="shared" si="142"/>
        <v>393.0787141050053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0.72823341378356243</v>
      </c>
      <c r="AA193" s="21">
        <f>EXP(-LN(2)/25)*AA192+(1-EXP(-LN(2)/25))/(LN(2)/25)*Calculateur!V193*Calculateur!X193*VLOOKUP('Données projet'!$B$9,Paramètres!$A$1:$I$89,3,0)*0.475*44/12</f>
        <v>0.24488154705056073</v>
      </c>
      <c r="AB193" s="21">
        <f>EXP(-LN(2)/2)*AB192+(1-EXP(-LN(2)/2))/(LN(2)/2)*V193*Y193*VLOOKUP('Données projet'!$B$9,Paramètres!$A$1:$I$89,3,0)*0.475*44/12</f>
        <v>9.785315891305094E-24</v>
      </c>
      <c r="AC193" s="22">
        <f t="shared" si="163"/>
        <v>0.97311496083412319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4.9658410716801891E-14</v>
      </c>
      <c r="AK193" s="13">
        <f t="shared" si="164"/>
        <v>8.0934058173791862E-13</v>
      </c>
      <c r="AL193" s="20">
        <f t="shared" si="165"/>
        <v>1.4960899118586383E-12</v>
      </c>
      <c r="AM193" s="59">
        <f t="shared" si="113"/>
        <v>293.33333333333479</v>
      </c>
      <c r="AN193" s="59">
        <f ca="1">AVERAGE(OFFSET($AM$3,0,0,'Données projet'!$E$10+1,1))-AVERAGE(OFFSET($H$3,0,0,'Données projet'!$E$10+1,1))</f>
        <v>304.32767345253382</v>
      </c>
      <c r="AO193" s="59">
        <f t="shared" si="144"/>
        <v>427.16091343339173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0.33205198268864244</v>
      </c>
      <c r="AV193" s="21">
        <f>EXP(-LN(2)/25)*AV192+(1-EXP(-LN(2)/25))/(LN(2)/25)*Calculateur!AQ193*Calculateur!AS193*VLOOKUP('Données projet'!$B$10,Paramètres!$A$1:$I$89,3,0)*0.475*44/12</f>
        <v>0.21454585278932711</v>
      </c>
      <c r="AW193" s="21">
        <f>EXP(-LN(2)/2)*AW192+(1-EXP(-LN(2)/2))/(LN(2)/2)*AQ193*AT193*VLOOKUP('Données projet'!$B$10,Paramètres!$A$1:$I$89,3,0)*0.475*44/12</f>
        <v>9.3249461746642137E-24</v>
      </c>
      <c r="AX193" s="21">
        <f t="shared" si="166"/>
        <v>0.54659783547796958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-4.9658410716801891E-14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268.31928207836495</v>
      </c>
      <c r="BJ193" s="59">
        <f t="shared" si="146"/>
        <v>277.61304526670204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8.6541484990298276E-2</v>
      </c>
      <c r="BQ193" s="21">
        <f>EXP(-LN(2)/25)*BQ192+(1-EXP(-LN(2)/25))/(LN(2)/25)*Calculateur!BL193*Calculateur!BN193*VLOOKUP('Données projet'!$B$11,Paramètres!$A$1:$I$89,3,0)*0.475*44/12</f>
        <v>6.6687983931499994E-2</v>
      </c>
      <c r="BR193" s="21">
        <f>EXP(-LN(2)/2)*BR192+(1-EXP(-LN(2)/2))/(LN(2)/2)*BL193*BO193*VLOOKUP('Données projet'!$B$11,Paramètres!$A$1:$I$89,3,0)*0.475*44/12</f>
        <v>6.7527768353961724E-24</v>
      </c>
      <c r="BS193" s="22">
        <f t="shared" si="169"/>
        <v>0.15322946892179828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2.2612312022829431E-14</v>
      </c>
      <c r="CA193" s="13">
        <f t="shared" si="170"/>
        <v>4.0387900716432995E-13</v>
      </c>
      <c r="CB193" s="20">
        <f t="shared" si="171"/>
        <v>7.4280571425096929E-13</v>
      </c>
      <c r="CC193" s="59">
        <f t="shared" si="119"/>
        <v>293.33333333333405</v>
      </c>
      <c r="CD193" s="59">
        <f ca="1">AVERAGE(OFFSET($CC$3,0,0,'Données projet'!$E$12+1,1))-AVERAGE(OFFSET($H$3,0,0,'Données projet'!$E$12+1,1))</f>
        <v>241.67556898455945</v>
      </c>
      <c r="CE193" s="59">
        <f t="shared" si="148"/>
        <v>237.71070965292648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0.2656453574001561</v>
      </c>
      <c r="CL193" s="21">
        <f>EXP(-LN(2)/25)*CL192+(1-EXP(-LN(2)/25))/(LN(2)/25)*Calculateur!CG193*Calculateur!CI193*VLOOKUP('Données projet'!$B$12,Paramètres!$A$1:$I$89,3,0)*0.475*44/12</f>
        <v>8.3787249037385797E-2</v>
      </c>
      <c r="CM193" s="21">
        <f>EXP(-LN(2)/2)*CM192+(1-EXP(-LN(2)/2))/(LN(2)/2)*CG193*CJ193*VLOOKUP('Données projet'!$B$12,Paramètres!$A$1:$I$89,3,0)*0.475*44/12</f>
        <v>5.539487569505595E-24</v>
      </c>
      <c r="CN193" s="22">
        <f t="shared" si="172"/>
        <v>0.34943260643754193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-2.2612312022829427E-13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405.40026823646758</v>
      </c>
      <c r="T194" s="59">
        <f t="shared" si="142"/>
        <v>393.0787141050053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0.71395320071779023</v>
      </c>
      <c r="AA194" s="21">
        <f>EXP(-LN(2)/25)*AA193+(1-EXP(-LN(2)/25))/(LN(2)/25)*Calculateur!V194*Calculateur!X194*VLOOKUP('Données projet'!$B$9,Paramètres!$A$1:$I$89,3,0)*0.475*44/12</f>
        <v>0.23818524826870227</v>
      </c>
      <c r="AB194" s="21">
        <f>EXP(-LN(2)/2)*AB193+(1-EXP(-LN(2)/2))/(LN(2)/2)*V194*Y194*VLOOKUP('Données projet'!$B$9,Paramètres!$A$1:$I$89,3,0)*0.475*44/12</f>
        <v>6.9192632227943171E-24</v>
      </c>
      <c r="AC194" s="22">
        <f t="shared" si="163"/>
        <v>0.95213844898649247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4.9658410716801891E-14</v>
      </c>
      <c r="AK194" s="13">
        <f t="shared" si="164"/>
        <v>8.0934058173791862E-13</v>
      </c>
      <c r="AL194" s="20">
        <f t="shared" si="165"/>
        <v>1.4960899118586383E-12</v>
      </c>
      <c r="AM194" s="59">
        <f t="shared" si="113"/>
        <v>293.33333333333479</v>
      </c>
      <c r="AN194" s="59">
        <f ca="1">AVERAGE(OFFSET($AM$3,0,0,'Données projet'!$E$10+1,1))-AVERAGE(OFFSET($H$3,0,0,'Données projet'!$E$10+1,1))</f>
        <v>304.32767345253382</v>
      </c>
      <c r="AO194" s="59">
        <f t="shared" si="144"/>
        <v>427.16091343339173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0.32554064583982928</v>
      </c>
      <c r="AV194" s="21">
        <f>EXP(-LN(2)/25)*AV193+(1-EXP(-LN(2)/25))/(LN(2)/25)*Calculateur!AQ194*Calculateur!AS194*VLOOKUP('Données projet'!$B$10,Paramètres!$A$1:$I$89,3,0)*0.475*44/12</f>
        <v>0.20867908516232692</v>
      </c>
      <c r="AW194" s="21">
        <f>EXP(-LN(2)/2)*AW193+(1-EXP(-LN(2)/2))/(LN(2)/2)*AQ194*AT194*VLOOKUP('Données projet'!$B$10,Paramètres!$A$1:$I$89,3,0)*0.475*44/12</f>
        <v>6.5937326743046221E-24</v>
      </c>
      <c r="AX194" s="21">
        <f t="shared" si="166"/>
        <v>0.53421973100215614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-4.9658410716801891E-14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268.31928207836495</v>
      </c>
      <c r="BJ194" s="59">
        <f t="shared" si="146"/>
        <v>277.61304526670204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8.4844459254732274E-2</v>
      </c>
      <c r="BQ194" s="21">
        <f>EXP(-LN(2)/25)*BQ193+(1-EXP(-LN(2)/25))/(LN(2)/25)*Calculateur!BL194*Calculateur!BN194*VLOOKUP('Données projet'!$B$11,Paramètres!$A$1:$I$89,3,0)*0.475*44/12</f>
        <v>6.4864397503924476E-2</v>
      </c>
      <c r="BR194" s="21">
        <f>EXP(-LN(2)/2)*BR193+(1-EXP(-LN(2)/2))/(LN(2)/2)*BL194*BO194*VLOOKUP('Données projet'!$B$11,Paramètres!$A$1:$I$89,3,0)*0.475*44/12</f>
        <v>4.7749342921480681E-24</v>
      </c>
      <c r="BS194" s="22">
        <f t="shared" si="169"/>
        <v>0.14970885675865675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2.2612312022829431E-14</v>
      </c>
      <c r="CA194" s="13">
        <f t="shared" si="170"/>
        <v>4.0387900716432995E-13</v>
      </c>
      <c r="CB194" s="20">
        <f t="shared" si="171"/>
        <v>7.4280571425096929E-13</v>
      </c>
      <c r="CC194" s="59">
        <f t="shared" si="119"/>
        <v>293.33333333333405</v>
      </c>
      <c r="CD194" s="59">
        <f ca="1">AVERAGE(OFFSET($CC$3,0,0,'Données projet'!$E$12+1,1))-AVERAGE(OFFSET($H$3,0,0,'Données projet'!$E$12+1,1))</f>
        <v>241.67556898455945</v>
      </c>
      <c r="CE194" s="59">
        <f t="shared" si="148"/>
        <v>237.71070965292648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0.26043621396920813</v>
      </c>
      <c r="CL194" s="21">
        <f>EXP(-LN(2)/25)*CL193+(1-EXP(-LN(2)/25))/(LN(2)/25)*Calculateur!CG194*Calculateur!CI194*VLOOKUP('Données projet'!$B$12,Paramètres!$A$1:$I$89,3,0)*0.475*44/12</f>
        <v>8.1496082306278556E-2</v>
      </c>
      <c r="CM194" s="21">
        <f>EXP(-LN(2)/2)*CM193+(1-EXP(-LN(2)/2))/(LN(2)/2)*CG194*CJ194*VLOOKUP('Données projet'!$B$12,Paramètres!$A$1:$I$89,3,0)*0.475*44/12</f>
        <v>3.9170092246959927E-24</v>
      </c>
      <c r="CN194" s="22">
        <f t="shared" si="172"/>
        <v>0.34193229627548671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-2.2612312022829427E-13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405.40026823646758</v>
      </c>
      <c r="T195" s="59">
        <f t="shared" si="142"/>
        <v>393.0787141050053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0.69995301392016784</v>
      </c>
      <c r="AA195" s="21">
        <f>EXP(-LN(2)/25)*AA194+(1-EXP(-LN(2)/25))/(LN(2)/25)*Calculateur!V195*Calculateur!X195*VLOOKUP('Données projet'!$B$9,Paramètres!$A$1:$I$89,3,0)*0.475*44/12</f>
        <v>0.23167206012917679</v>
      </c>
      <c r="AB195" s="21">
        <f>EXP(-LN(2)/2)*AB194+(1-EXP(-LN(2)/2))/(LN(2)/2)*V195*Y195*VLOOKUP('Données projet'!$B$9,Paramètres!$A$1:$I$89,3,0)*0.475*44/12</f>
        <v>4.892657945652547E-24</v>
      </c>
      <c r="AC195" s="22">
        <f t="shared" si="163"/>
        <v>0.93162507404934458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4.9658410716801891E-14</v>
      </c>
      <c r="AK195" s="13">
        <f t="shared" si="164"/>
        <v>8.0934058173791862E-13</v>
      </c>
      <c r="AL195" s="20">
        <f t="shared" si="165"/>
        <v>1.4960899118586383E-12</v>
      </c>
      <c r="AM195" s="59">
        <f t="shared" si="113"/>
        <v>293.33333333333479</v>
      </c>
      <c r="AN195" s="59">
        <f ca="1">AVERAGE(OFFSET($AM$3,0,0,'Données projet'!$E$10+1,1))-AVERAGE(OFFSET($H$3,0,0,'Données projet'!$E$10+1,1))</f>
        <v>304.32767345253382</v>
      </c>
      <c r="AO195" s="59">
        <f t="shared" si="144"/>
        <v>427.16091343339173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0.31915699233509798</v>
      </c>
      <c r="AV195" s="21">
        <f>EXP(-LN(2)/25)*AV194+(1-EXP(-LN(2)/25))/(LN(2)/25)*Calculateur!AQ195*Calculateur!AS195*VLOOKUP('Données projet'!$B$10,Paramètres!$A$1:$I$89,3,0)*0.475*44/12</f>
        <v>0.20297274460460693</v>
      </c>
      <c r="AW195" s="21">
        <f>EXP(-LN(2)/2)*AW194+(1-EXP(-LN(2)/2))/(LN(2)/2)*AQ195*AT195*VLOOKUP('Données projet'!$B$10,Paramètres!$A$1:$I$89,3,0)*0.475*44/12</f>
        <v>4.6624730873321076E-24</v>
      </c>
      <c r="AX195" s="21">
        <f t="shared" si="166"/>
        <v>0.52212973693970488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-4.9658410716801891E-14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268.31928207836495</v>
      </c>
      <c r="BJ195" s="59">
        <f t="shared" si="146"/>
        <v>277.61304526670204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8.3180711158757234E-2</v>
      </c>
      <c r="BQ195" s="21">
        <f>EXP(-LN(2)/25)*BQ194+(1-EXP(-LN(2)/25))/(LN(2)/25)*Calculateur!BL195*Calculateur!BN195*VLOOKUP('Données projet'!$B$11,Paramètres!$A$1:$I$89,3,0)*0.475*44/12</f>
        <v>6.3090677143109244E-2</v>
      </c>
      <c r="BR195" s="21">
        <f>EXP(-LN(2)/2)*BR194+(1-EXP(-LN(2)/2))/(LN(2)/2)*BL195*BO195*VLOOKUP('Données projet'!$B$11,Paramètres!$A$1:$I$89,3,0)*0.475*44/12</f>
        <v>3.3763884176980862E-24</v>
      </c>
      <c r="BS195" s="22">
        <f t="shared" si="169"/>
        <v>0.14627138830186648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2.2612312022829431E-14</v>
      </c>
      <c r="CA195" s="13">
        <f t="shared" si="170"/>
        <v>4.0387900716432995E-13</v>
      </c>
      <c r="CB195" s="20">
        <f t="shared" si="171"/>
        <v>7.4280571425096929E-13</v>
      </c>
      <c r="CC195" s="59">
        <f t="shared" si="119"/>
        <v>293.33333333333405</v>
      </c>
      <c r="CD195" s="59">
        <f ca="1">AVERAGE(OFFSET($CC$3,0,0,'Données projet'!$E$12+1,1))-AVERAGE(OFFSET($H$3,0,0,'Données projet'!$E$12+1,1))</f>
        <v>241.67556898455945</v>
      </c>
      <c r="CE195" s="59">
        <f t="shared" si="148"/>
        <v>237.71070965292648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0.2553292186636773</v>
      </c>
      <c r="CL195" s="21">
        <f>EXP(-LN(2)/25)*CL194+(1-EXP(-LN(2)/25))/(LN(2)/25)*Calculateur!CG195*Calculateur!CI195*VLOOKUP('Données projet'!$B$12,Paramètres!$A$1:$I$89,3,0)*0.475*44/12</f>
        <v>7.9267567649920656E-2</v>
      </c>
      <c r="CM195" s="21">
        <f>EXP(-LN(2)/2)*CM194+(1-EXP(-LN(2)/2))/(LN(2)/2)*CG195*CJ195*VLOOKUP('Données projet'!$B$12,Paramètres!$A$1:$I$89,3,0)*0.475*44/12</f>
        <v>2.7697437847527975E-24</v>
      </c>
      <c r="CN195" s="22">
        <f t="shared" si="172"/>
        <v>0.33459678631359796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-2.2612312022829427E-13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405.40026823646758</v>
      </c>
      <c r="T196" s="59">
        <f t="shared" si="142"/>
        <v>393.0787141050053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0.68622736224637604</v>
      </c>
      <c r="AA196" s="21">
        <f>EXP(-LN(2)/25)*AA195+(1-EXP(-LN(2)/25))/(LN(2)/25)*Calculateur!V196*Calculateur!X196*VLOOKUP('Données projet'!$B$9,Paramètres!$A$1:$I$89,3,0)*0.475*44/12</f>
        <v>0.22533697546184031</v>
      </c>
      <c r="AB196" s="21">
        <f>EXP(-LN(2)/2)*AB195+(1-EXP(-LN(2)/2))/(LN(2)/2)*V196*Y196*VLOOKUP('Données projet'!$B$9,Paramètres!$A$1:$I$89,3,0)*0.475*44/12</f>
        <v>3.4596316113971586E-24</v>
      </c>
      <c r="AC196" s="22">
        <f t="shared" si="163"/>
        <v>0.91156433770821632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4.9658410716801891E-14</v>
      </c>
      <c r="AK196" s="13">
        <f t="shared" si="164"/>
        <v>8.0934058173791862E-13</v>
      </c>
      <c r="AL196" s="20">
        <f t="shared" si="165"/>
        <v>1.4960899118586383E-12</v>
      </c>
      <c r="AM196" s="59">
        <f t="shared" ref="AM196:AM203" si="193">AL196+(AD196+AE196)*44/12</f>
        <v>293.33333333333479</v>
      </c>
      <c r="AN196" s="59">
        <f ca="1">AVERAGE(OFFSET($AM$3,0,0,'Données projet'!$E$10+1,1))-AVERAGE(OFFSET($H$3,0,0,'Données projet'!$E$10+1,1))</f>
        <v>304.32767345253382</v>
      </c>
      <c r="AO196" s="59">
        <f t="shared" si="144"/>
        <v>427.16091343339173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0.31289851838195032</v>
      </c>
      <c r="AV196" s="21">
        <f>EXP(-LN(2)/25)*AV195+(1-EXP(-LN(2)/25))/(LN(2)/25)*Calculateur!AQ196*Calculateur!AS196*VLOOKUP('Données projet'!$B$10,Paramètres!$A$1:$I$89,3,0)*0.475*44/12</f>
        <v>0.19742244422952121</v>
      </c>
      <c r="AW196" s="21">
        <f>EXP(-LN(2)/2)*AW195+(1-EXP(-LN(2)/2))/(LN(2)/2)*AQ196*AT196*VLOOKUP('Données projet'!$B$10,Paramètres!$A$1:$I$89,3,0)*0.475*44/12</f>
        <v>3.2968663371523114E-24</v>
      </c>
      <c r="AX196" s="21">
        <f t="shared" si="166"/>
        <v>0.51032096261147153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-4.9658410716801891E-14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268.31928207836495</v>
      </c>
      <c r="BJ196" s="59">
        <f t="shared" si="146"/>
        <v>277.61304526670204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8.1549588148158131E-2</v>
      </c>
      <c r="BQ196" s="21">
        <f>EXP(-LN(2)/25)*BQ195+(1-EXP(-LN(2)/25))/(LN(2)/25)*Calculateur!BL196*Calculateur!BN196*VLOOKUP('Données projet'!$B$11,Paramètres!$A$1:$I$89,3,0)*0.475*44/12</f>
        <v>6.1365459258836408E-2</v>
      </c>
      <c r="BR196" s="21">
        <f>EXP(-LN(2)/2)*BR195+(1-EXP(-LN(2)/2))/(LN(2)/2)*BL196*BO196*VLOOKUP('Données projet'!$B$11,Paramètres!$A$1:$I$89,3,0)*0.475*44/12</f>
        <v>2.3874671460740341E-24</v>
      </c>
      <c r="BS196" s="22">
        <f t="shared" si="169"/>
        <v>0.14291504740699454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2.2612312022829431E-14</v>
      </c>
      <c r="CA196" s="13">
        <f t="shared" si="170"/>
        <v>4.0387900716432995E-13</v>
      </c>
      <c r="CB196" s="20">
        <f t="shared" si="171"/>
        <v>7.4280571425096929E-13</v>
      </c>
      <c r="CC196" s="59">
        <f t="shared" ref="CC196:CC203" si="195">CB196+(BT196+BU196)*44/12</f>
        <v>293.33333333333405</v>
      </c>
      <c r="CD196" s="59">
        <f ca="1">AVERAGE(OFFSET($CC$3,0,0,'Données projet'!$E$12+1,1))-AVERAGE(OFFSET($H$3,0,0,'Données projet'!$E$12+1,1))</f>
        <v>241.67556898455945</v>
      </c>
      <c r="CE196" s="59">
        <f t="shared" si="148"/>
        <v>237.71070965292648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0.25032236842112837</v>
      </c>
      <c r="CL196" s="21">
        <f>EXP(-LN(2)/25)*CL195+(1-EXP(-LN(2)/25))/(LN(2)/25)*Calculateur!CG196*Calculateur!CI196*VLOOKUP('Données projet'!$B$12,Paramètres!$A$1:$I$89,3,0)*0.475*44/12</f>
        <v>7.7099991844033364E-2</v>
      </c>
      <c r="CM196" s="21">
        <f>EXP(-LN(2)/2)*CM195+(1-EXP(-LN(2)/2))/(LN(2)/2)*CG196*CJ196*VLOOKUP('Données projet'!$B$12,Paramètres!$A$1:$I$89,3,0)*0.475*44/12</f>
        <v>1.9585046123479964E-24</v>
      </c>
      <c r="CN196" s="22">
        <f t="shared" si="172"/>
        <v>0.32742236026516175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-2.2612312022829427E-13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405.40026823646758</v>
      </c>
      <c r="T197" s="59">
        <f t="shared" ref="T197:T203" si="204">$T$3</f>
        <v>393.0787141050053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0.67277086223008642</v>
      </c>
      <c r="AA197" s="21">
        <f>EXP(-LN(2)/25)*AA196+(1-EXP(-LN(2)/25))/(LN(2)/25)*Calculateur!V197*Calculateur!X197*VLOOKUP('Données projet'!$B$9,Paramètres!$A$1:$I$89,3,0)*0.475*44/12</f>
        <v>0.21917512401787975</v>
      </c>
      <c r="AB197" s="21">
        <f>EXP(-LN(2)/2)*AB196+(1-EXP(-LN(2)/2))/(LN(2)/2)*V197*Y197*VLOOKUP('Données projet'!$B$9,Paramètres!$A$1:$I$89,3,0)*0.475*44/12</f>
        <v>2.4463289728262735E-24</v>
      </c>
      <c r="AC197" s="22">
        <f t="shared" si="163"/>
        <v>0.89194598624796617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4.9658410716801891E-14</v>
      </c>
      <c r="AK197" s="13">
        <f t="shared" si="164"/>
        <v>8.0934058173791862E-13</v>
      </c>
      <c r="AL197" s="20">
        <f t="shared" si="165"/>
        <v>1.4960899118586383E-12</v>
      </c>
      <c r="AM197" s="59">
        <f t="shared" si="193"/>
        <v>293.33333333333479</v>
      </c>
      <c r="AN197" s="59">
        <f ca="1">AVERAGE(OFFSET($AM$3,0,0,'Données projet'!$E$10+1,1))-AVERAGE(OFFSET($H$3,0,0,'Données projet'!$E$10+1,1))</f>
        <v>304.32767345253382</v>
      </c>
      <c r="AO197" s="59">
        <f t="shared" ref="AO197:AO203" si="205">$AO$3</f>
        <v>427.16091343339173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0.30676276928573171</v>
      </c>
      <c r="AV197" s="21">
        <f>EXP(-LN(2)/25)*AV196+(1-EXP(-LN(2)/25))/(LN(2)/25)*Calculateur!AQ197*Calculateur!AS197*VLOOKUP('Données projet'!$B$10,Paramètres!$A$1:$I$89,3,0)*0.475*44/12</f>
        <v>0.19202391711006983</v>
      </c>
      <c r="AW197" s="21">
        <f>EXP(-LN(2)/2)*AW196+(1-EXP(-LN(2)/2))/(LN(2)/2)*AQ197*AT197*VLOOKUP('Données projet'!$B$10,Paramètres!$A$1:$I$89,3,0)*0.475*44/12</f>
        <v>2.3312365436660542E-24</v>
      </c>
      <c r="AX197" s="21">
        <f t="shared" si="166"/>
        <v>0.49878668639580154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-4.9658410716801891E-14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268.31928207836495</v>
      </c>
      <c r="BJ197" s="59">
        <f t="shared" ref="BJ197:BJ203" si="206">$BJ$3</f>
        <v>277.61304526670204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7.9950450464910075E-2</v>
      </c>
      <c r="BQ197" s="21">
        <f>EXP(-LN(2)/25)*BQ196+(1-EXP(-LN(2)/25))/(LN(2)/25)*Calculateur!BL197*Calculateur!BN197*VLOOKUP('Données projet'!$B$11,Paramètres!$A$1:$I$89,3,0)*0.475*44/12</f>
        <v>5.9687417548334273E-2</v>
      </c>
      <c r="BR197" s="21">
        <f>EXP(-LN(2)/2)*BR196+(1-EXP(-LN(2)/2))/(LN(2)/2)*BL197*BO197*VLOOKUP('Données projet'!$B$11,Paramètres!$A$1:$I$89,3,0)*0.475*44/12</f>
        <v>1.6881942088490431E-24</v>
      </c>
      <c r="BS197" s="22">
        <f t="shared" si="169"/>
        <v>0.13963786801324435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2.2612312022829431E-14</v>
      </c>
      <c r="CA197" s="13">
        <f t="shared" si="170"/>
        <v>4.0387900716432995E-13</v>
      </c>
      <c r="CB197" s="20">
        <f t="shared" si="171"/>
        <v>7.4280571425096929E-13</v>
      </c>
      <c r="CC197" s="59">
        <f t="shared" si="195"/>
        <v>293.33333333333405</v>
      </c>
      <c r="CD197" s="59">
        <f ca="1">AVERAGE(OFFSET($CC$3,0,0,'Données projet'!$E$12+1,1))-AVERAGE(OFFSET($H$3,0,0,'Données projet'!$E$12+1,1))</f>
        <v>241.67556898455945</v>
      </c>
      <c r="CE197" s="59">
        <f t="shared" ref="CE197:CE203" si="207">$CE$3</f>
        <v>237.71070965292648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0.24541369945795874</v>
      </c>
      <c r="CL197" s="21">
        <f>EXP(-LN(2)/25)*CL196+(1-EXP(-LN(2)/25))/(LN(2)/25)*Calculateur!CG197*Calculateur!CI197*VLOOKUP('Données projet'!$B$12,Paramètres!$A$1:$I$89,3,0)*0.475*44/12</f>
        <v>7.4991688512545909E-2</v>
      </c>
      <c r="CM197" s="21">
        <f>EXP(-LN(2)/2)*CM196+(1-EXP(-LN(2)/2))/(LN(2)/2)*CG197*CJ197*VLOOKUP('Données projet'!$B$12,Paramètres!$A$1:$I$89,3,0)*0.475*44/12</f>
        <v>1.3848718923763988E-24</v>
      </c>
      <c r="CN197" s="22">
        <f t="shared" si="172"/>
        <v>0.32040538797050466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-2.2612312022829427E-13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405.40026823646758</v>
      </c>
      <c r="T198" s="59">
        <f t="shared" si="204"/>
        <v>393.0787141050053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0.6595782359714617</v>
      </c>
      <c r="AA198" s="21">
        <f>EXP(-LN(2)/25)*AA197+(1-EXP(-LN(2)/25))/(LN(2)/25)*Calculateur!V198*Calculateur!X198*VLOOKUP('Données projet'!$B$9,Paramètres!$A$1:$I$89,3,0)*0.475*44/12</f>
        <v>0.213181768725692</v>
      </c>
      <c r="AB198" s="21">
        <f>EXP(-LN(2)/2)*AB197+(1-EXP(-LN(2)/2))/(LN(2)/2)*V198*Y198*VLOOKUP('Données projet'!$B$9,Paramètres!$A$1:$I$89,3,0)*0.475*44/12</f>
        <v>1.7298158056985793E-24</v>
      </c>
      <c r="AC198" s="22">
        <f t="shared" si="163"/>
        <v>0.87276000469715376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4.9658410716801891E-14</v>
      </c>
      <c r="AK198" s="13">
        <f t="shared" si="164"/>
        <v>8.0934058173791862E-13</v>
      </c>
      <c r="AL198" s="20">
        <f t="shared" si="165"/>
        <v>1.4960899118586383E-12</v>
      </c>
      <c r="AM198" s="59">
        <f t="shared" si="193"/>
        <v>293.33333333333479</v>
      </c>
      <c r="AN198" s="59">
        <f ca="1">AVERAGE(OFFSET($AM$3,0,0,'Données projet'!$E$10+1,1))-AVERAGE(OFFSET($H$3,0,0,'Données projet'!$E$10+1,1))</f>
        <v>304.32767345253382</v>
      </c>
      <c r="AO198" s="59">
        <f t="shared" si="205"/>
        <v>427.16091343339173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0.30074733848685253</v>
      </c>
      <c r="AV198" s="21">
        <f>EXP(-LN(2)/25)*AV197+(1-EXP(-LN(2)/25))/(LN(2)/25)*Calculateur!AQ198*Calculateur!AS198*VLOOKUP('Données projet'!$B$10,Paramètres!$A$1:$I$89,3,0)*0.475*44/12</f>
        <v>0.18677301299859606</v>
      </c>
      <c r="AW198" s="21">
        <f>EXP(-LN(2)/2)*AW197+(1-EXP(-LN(2)/2))/(LN(2)/2)*AQ198*AT198*VLOOKUP('Données projet'!$B$10,Paramètres!$A$1:$I$89,3,0)*0.475*44/12</f>
        <v>1.6484331685761561E-24</v>
      </c>
      <c r="AX198" s="21">
        <f t="shared" si="166"/>
        <v>0.48752035148544859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-4.9658410716801891E-14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268.31928207836495</v>
      </c>
      <c r="BJ198" s="59">
        <f t="shared" si="206"/>
        <v>277.61304526670204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7.8382670896252837E-2</v>
      </c>
      <c r="BQ198" s="21">
        <f>EXP(-LN(2)/25)*BQ197+(1-EXP(-LN(2)/25))/(LN(2)/25)*Calculateur!BL198*Calculateur!BN198*VLOOKUP('Données projet'!$B$11,Paramètres!$A$1:$I$89,3,0)*0.475*44/12</f>
        <v>5.8055261976650202E-2</v>
      </c>
      <c r="BR198" s="21">
        <f>EXP(-LN(2)/2)*BR197+(1-EXP(-LN(2)/2))/(LN(2)/2)*BL198*BO198*VLOOKUP('Données projet'!$B$11,Paramètres!$A$1:$I$89,3,0)*0.475*44/12</f>
        <v>1.193733573037017E-24</v>
      </c>
      <c r="BS198" s="22">
        <f t="shared" si="169"/>
        <v>0.13643793287290304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2.2612312022829431E-14</v>
      </c>
      <c r="CA198" s="13">
        <f t="shared" si="170"/>
        <v>4.0387900716432995E-13</v>
      </c>
      <c r="CB198" s="20">
        <f t="shared" si="171"/>
        <v>7.4280571425096929E-13</v>
      </c>
      <c r="CC198" s="59">
        <f t="shared" si="195"/>
        <v>293.33333333333405</v>
      </c>
      <c r="CD198" s="59">
        <f ca="1">AVERAGE(OFFSET($CC$3,0,0,'Données projet'!$E$12+1,1))-AVERAGE(OFFSET($H$3,0,0,'Données projet'!$E$12+1,1))</f>
        <v>241.67556898455945</v>
      </c>
      <c r="CE198" s="59">
        <f t="shared" si="207"/>
        <v>237.71070965292648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0.24060128649916443</v>
      </c>
      <c r="CL198" s="21">
        <f>EXP(-LN(2)/25)*CL197+(1-EXP(-LN(2)/25))/(LN(2)/25)*Calculateur!CG198*Calculateur!CI198*VLOOKUP('Données projet'!$B$12,Paramètres!$A$1:$I$89,3,0)*0.475*44/12</f>
        <v>7.2941036846528834E-2</v>
      </c>
      <c r="CM198" s="21">
        <f>EXP(-LN(2)/2)*CM197+(1-EXP(-LN(2)/2))/(LN(2)/2)*CG198*CJ198*VLOOKUP('Données projet'!$B$12,Paramètres!$A$1:$I$89,3,0)*0.475*44/12</f>
        <v>9.7925230617399819E-25</v>
      </c>
      <c r="CN198" s="22">
        <f t="shared" si="172"/>
        <v>0.31354232334569326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-2.2612312022829427E-13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405.40026823646758</v>
      </c>
      <c r="T199" s="59">
        <f t="shared" si="204"/>
        <v>393.0787141050053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0.64664430906706116</v>
      </c>
      <c r="AA199" s="21">
        <f>EXP(-LN(2)/25)*AA198+(1-EXP(-LN(2)/25))/(LN(2)/25)*Calculateur!V199*Calculateur!X199*VLOOKUP('Données projet'!$B$9,Paramètres!$A$1:$I$89,3,0)*0.475*44/12</f>
        <v>0.20735230204914598</v>
      </c>
      <c r="AB199" s="21">
        <f>EXP(-LN(2)/2)*AB198+(1-EXP(-LN(2)/2))/(LN(2)/2)*V199*Y199*VLOOKUP('Données projet'!$B$9,Paramètres!$A$1:$I$89,3,0)*0.475*44/12</f>
        <v>1.2231644864131368E-24</v>
      </c>
      <c r="AC199" s="22">
        <f t="shared" si="163"/>
        <v>0.85399661111620717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4.9658410716801891E-14</v>
      </c>
      <c r="AK199" s="13">
        <f t="shared" si="164"/>
        <v>8.0934058173791862E-13</v>
      </c>
      <c r="AL199" s="20">
        <f t="shared" si="165"/>
        <v>1.4960899118586383E-12</v>
      </c>
      <c r="AM199" s="59">
        <f t="shared" si="193"/>
        <v>293.33333333333479</v>
      </c>
      <c r="AN199" s="59">
        <f ca="1">AVERAGE(OFFSET($AM$3,0,0,'Données projet'!$E$10+1,1))-AVERAGE(OFFSET($H$3,0,0,'Données projet'!$E$10+1,1))</f>
        <v>304.32767345253382</v>
      </c>
      <c r="AO199" s="59">
        <f t="shared" si="205"/>
        <v>427.16091343339173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0.29484986661688883</v>
      </c>
      <c r="AV199" s="21">
        <f>EXP(-LN(2)/25)*AV198+(1-EXP(-LN(2)/25))/(LN(2)/25)*Calculateur!AQ199*Calculateur!AS199*VLOOKUP('Données projet'!$B$10,Paramètres!$A$1:$I$89,3,0)*0.475*44/12</f>
        <v>0.18166569513618358</v>
      </c>
      <c r="AW199" s="21">
        <f>EXP(-LN(2)/2)*AW198+(1-EXP(-LN(2)/2))/(LN(2)/2)*AQ199*AT199*VLOOKUP('Données projet'!$B$10,Paramètres!$A$1:$I$89,3,0)*0.475*44/12</f>
        <v>1.1656182718330273E-24</v>
      </c>
      <c r="AX199" s="21">
        <f t="shared" si="166"/>
        <v>0.47651556175307241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-4.9658410716801891E-14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268.31928207836495</v>
      </c>
      <c r="BJ199" s="59">
        <f t="shared" si="206"/>
        <v>277.61304526670204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7.6845634528685855E-2</v>
      </c>
      <c r="BQ199" s="21">
        <f>EXP(-LN(2)/25)*BQ198+(1-EXP(-LN(2)/25))/(LN(2)/25)*Calculateur!BL199*Calculateur!BN199*VLOOKUP('Données projet'!$B$11,Paramètres!$A$1:$I$89,3,0)*0.475*44/12</f>
        <v>5.6467737784905159E-2</v>
      </c>
      <c r="BR199" s="21">
        <f>EXP(-LN(2)/2)*BR198+(1-EXP(-LN(2)/2))/(LN(2)/2)*BL199*BO199*VLOOKUP('Données projet'!$B$11,Paramètres!$A$1:$I$89,3,0)*0.475*44/12</f>
        <v>8.4409710442452154E-25</v>
      </c>
      <c r="BS199" s="22">
        <f t="shared" si="169"/>
        <v>0.13331337231359103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2.2612312022829431E-14</v>
      </c>
      <c r="CA199" s="13">
        <f t="shared" si="170"/>
        <v>4.0387900716432995E-13</v>
      </c>
      <c r="CB199" s="20">
        <f t="shared" si="171"/>
        <v>7.4280571425096929E-13</v>
      </c>
      <c r="CC199" s="59">
        <f t="shared" si="195"/>
        <v>293.33333333333405</v>
      </c>
      <c r="CD199" s="59">
        <f ca="1">AVERAGE(OFFSET($CC$3,0,0,'Données projet'!$E$12+1,1))-AVERAGE(OFFSET($H$3,0,0,'Données projet'!$E$12+1,1))</f>
        <v>241.67556898455945</v>
      </c>
      <c r="CE199" s="59">
        <f t="shared" si="207"/>
        <v>237.71070965292648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0.23588324202320998</v>
      </c>
      <c r="CL199" s="21">
        <f>EXP(-LN(2)/25)*CL198+(1-EXP(-LN(2)/25))/(LN(2)/25)*Calculateur!CG199*Calculateur!CI199*VLOOKUP('Données projet'!$B$12,Paramètres!$A$1:$I$89,3,0)*0.475*44/12</f>
        <v>7.0946460358158089E-2</v>
      </c>
      <c r="CM199" s="21">
        <f>EXP(-LN(2)/2)*CM198+(1-EXP(-LN(2)/2))/(LN(2)/2)*CG199*CJ199*VLOOKUP('Données projet'!$B$12,Paramètres!$A$1:$I$89,3,0)*0.475*44/12</f>
        <v>6.9243594618819938E-25</v>
      </c>
      <c r="CN199" s="22">
        <f t="shared" si="172"/>
        <v>0.30682970238136809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-2.2612312022829427E-13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405.40026823646758</v>
      </c>
      <c r="T200" s="59">
        <f t="shared" si="204"/>
        <v>393.0787141050053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0.63396400858033952</v>
      </c>
      <c r="AA200" s="21">
        <f>EXP(-LN(2)/25)*AA199+(1-EXP(-LN(2)/25))/(LN(2)/25)*Calculateur!V200*Calculateur!X200*VLOOKUP('Données projet'!$B$9,Paramètres!$A$1:$I$89,3,0)*0.475*44/12</f>
        <v>0.20168224244542843</v>
      </c>
      <c r="AB200" s="21">
        <f>EXP(-LN(2)/2)*AB199+(1-EXP(-LN(2)/2))/(LN(2)/2)*V200*Y200*VLOOKUP('Données projet'!$B$9,Paramètres!$A$1:$I$89,3,0)*0.475*44/12</f>
        <v>8.6490790284928964E-25</v>
      </c>
      <c r="AC200" s="22">
        <f t="shared" si="163"/>
        <v>0.83564625102576795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4.9658410716801891E-14</v>
      </c>
      <c r="AK200" s="13">
        <f t="shared" si="164"/>
        <v>8.0934058173791862E-13</v>
      </c>
      <c r="AL200" s="20">
        <f t="shared" si="165"/>
        <v>1.4960899118586383E-12</v>
      </c>
      <c r="AM200" s="59">
        <f t="shared" si="193"/>
        <v>293.33333333333479</v>
      </c>
      <c r="AN200" s="59">
        <f ca="1">AVERAGE(OFFSET($AM$3,0,0,'Données projet'!$E$10+1,1))-AVERAGE(OFFSET($H$3,0,0,'Données projet'!$E$10+1,1))</f>
        <v>304.32767345253382</v>
      </c>
      <c r="AO200" s="59">
        <f t="shared" si="205"/>
        <v>427.16091343339173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0.28906804057319246</v>
      </c>
      <c r="AV200" s="21">
        <f>EXP(-LN(2)/25)*AV199+(1-EXP(-LN(2)/25))/(LN(2)/25)*Calculateur!AQ200*Calculateur!AS200*VLOOKUP('Données projet'!$B$10,Paramètres!$A$1:$I$89,3,0)*0.475*44/12</f>
        <v>0.17669803714930093</v>
      </c>
      <c r="AW200" s="21">
        <f>EXP(-LN(2)/2)*AW199+(1-EXP(-LN(2)/2))/(LN(2)/2)*AQ200*AT200*VLOOKUP('Données projet'!$B$10,Paramètres!$A$1:$I$89,3,0)*0.475*44/12</f>
        <v>8.2421658428807813E-25</v>
      </c>
      <c r="AX200" s="21">
        <f t="shared" si="166"/>
        <v>0.4657660777224934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-4.9658410716801891E-14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268.31928207836495</v>
      </c>
      <c r="BJ200" s="59">
        <f t="shared" si="206"/>
        <v>277.61304526670204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7.5338738506787239E-2</v>
      </c>
      <c r="BQ200" s="21">
        <f>EXP(-LN(2)/25)*BQ199+(1-EXP(-LN(2)/25))/(LN(2)/25)*Calculateur!BL200*Calculateur!BN200*VLOOKUP('Données projet'!$B$11,Paramètres!$A$1:$I$89,3,0)*0.475*44/12</f>
        <v>5.4923624525667653E-2</v>
      </c>
      <c r="BR200" s="21">
        <f>EXP(-LN(2)/2)*BR199+(1-EXP(-LN(2)/2))/(LN(2)/2)*BL200*BO200*VLOOKUP('Données projet'!$B$11,Paramètres!$A$1:$I$89,3,0)*0.475*44/12</f>
        <v>5.9686678651850852E-25</v>
      </c>
      <c r="BS200" s="22">
        <f t="shared" si="169"/>
        <v>0.13026236303245489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2.2612312022829431E-14</v>
      </c>
      <c r="CA200" s="13">
        <f t="shared" si="170"/>
        <v>4.0387900716432995E-13</v>
      </c>
      <c r="CB200" s="20">
        <f t="shared" si="171"/>
        <v>7.4280571425096929E-13</v>
      </c>
      <c r="CC200" s="59">
        <f t="shared" si="195"/>
        <v>293.33333333333405</v>
      </c>
      <c r="CD200" s="59">
        <f ca="1">AVERAGE(OFFSET($CC$3,0,0,'Données projet'!$E$12+1,1))-AVERAGE(OFFSET($H$3,0,0,'Données projet'!$E$12+1,1))</f>
        <v>241.67556898455945</v>
      </c>
      <c r="CE200" s="59">
        <f t="shared" si="207"/>
        <v>237.71070965292648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0.23125771552170604</v>
      </c>
      <c r="CL200" s="21">
        <f>EXP(-LN(2)/25)*CL199+(1-EXP(-LN(2)/25))/(LN(2)/25)*Calculateur!CG200*Calculateur!CI200*VLOOKUP('Données projet'!$B$12,Paramètres!$A$1:$I$89,3,0)*0.475*44/12</f>
        <v>6.900642566875205E-2</v>
      </c>
      <c r="CM200" s="21">
        <f>EXP(-LN(2)/2)*CM199+(1-EXP(-LN(2)/2))/(LN(2)/2)*CG200*CJ200*VLOOKUP('Données projet'!$B$12,Paramètres!$A$1:$I$89,3,0)*0.475*44/12</f>
        <v>4.8962615308699909E-25</v>
      </c>
      <c r="CN200" s="22">
        <f t="shared" si="172"/>
        <v>0.30026414119045808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-2.2612312022829427E-13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405.40026823646758</v>
      </c>
      <c r="T201" s="59">
        <f t="shared" si="204"/>
        <v>393.0787141050053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0.62153236105194287</v>
      </c>
      <c r="AA201" s="21">
        <f>EXP(-LN(2)/25)*AA200+(1-EXP(-LN(2)/25))/(LN(2)/25)*Calculateur!V201*Calculateur!X201*VLOOKUP('Données projet'!$B$9,Paramètres!$A$1:$I$89,3,0)*0.475*44/12</f>
        <v>0.19616723091975</v>
      </c>
      <c r="AB201" s="21">
        <f>EXP(-LN(2)/2)*AB200+(1-EXP(-LN(2)/2))/(LN(2)/2)*V201*Y201*VLOOKUP('Données projet'!$B$9,Paramètres!$A$1:$I$89,3,0)*0.475*44/12</f>
        <v>6.1158224320656838E-25</v>
      </c>
      <c r="AC201" s="22">
        <f t="shared" si="163"/>
        <v>0.81769959197169284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4.9658410716801891E-14</v>
      </c>
      <c r="AK201" s="13">
        <f t="shared" si="164"/>
        <v>8.0934058173791862E-13</v>
      </c>
      <c r="AL201" s="20">
        <f t="shared" si="165"/>
        <v>1.4960899118586383E-12</v>
      </c>
      <c r="AM201" s="59">
        <f t="shared" si="193"/>
        <v>293.33333333333479</v>
      </c>
      <c r="AN201" s="59">
        <f ca="1">AVERAGE(OFFSET($AM$3,0,0,'Données projet'!$E$10+1,1))-AVERAGE(OFFSET($H$3,0,0,'Données projet'!$E$10+1,1))</f>
        <v>304.32767345253382</v>
      </c>
      <c r="AO201" s="59">
        <f t="shared" si="205"/>
        <v>427.16091343339173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0.28339959261164732</v>
      </c>
      <c r="AV201" s="21">
        <f>EXP(-LN(2)/25)*AV200+(1-EXP(-LN(2)/25))/(LN(2)/25)*Calculateur!AQ201*Calculateur!AS201*VLOOKUP('Données projet'!$B$10,Paramètres!$A$1:$I$89,3,0)*0.475*44/12</f>
        <v>0.17186622003130739</v>
      </c>
      <c r="AW201" s="21">
        <f>EXP(-LN(2)/2)*AW200+(1-EXP(-LN(2)/2))/(LN(2)/2)*AQ201*AT201*VLOOKUP('Données projet'!$B$10,Paramètres!$A$1:$I$89,3,0)*0.475*44/12</f>
        <v>5.8280913591651372E-25</v>
      </c>
      <c r="AX201" s="21">
        <f t="shared" si="166"/>
        <v>0.45526581264295474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-4.9658410716801891E-14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268.31928207836495</v>
      </c>
      <c r="BJ201" s="59">
        <f t="shared" si="206"/>
        <v>277.61304526670204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7.3861391796762238E-2</v>
      </c>
      <c r="BQ201" s="21">
        <f>EXP(-LN(2)/25)*BQ200+(1-EXP(-LN(2)/25))/(LN(2)/25)*Calculateur!BL201*Calculateur!BN201*VLOOKUP('Données projet'!$B$11,Paramètres!$A$1:$I$89,3,0)*0.475*44/12</f>
        <v>5.342173512470539E-2</v>
      </c>
      <c r="BR201" s="21">
        <f>EXP(-LN(2)/2)*BR200+(1-EXP(-LN(2)/2))/(LN(2)/2)*BL201*BO201*VLOOKUP('Données projet'!$B$11,Paramètres!$A$1:$I$89,3,0)*0.475*44/12</f>
        <v>4.2204855221226077E-25</v>
      </c>
      <c r="BS201" s="22">
        <f t="shared" si="169"/>
        <v>0.12728312692146762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2.2612312022829431E-14</v>
      </c>
      <c r="CA201" s="13">
        <f t="shared" si="170"/>
        <v>4.0387900716432995E-13</v>
      </c>
      <c r="CB201" s="20">
        <f t="shared" si="171"/>
        <v>7.4280571425096929E-13</v>
      </c>
      <c r="CC201" s="59">
        <f t="shared" si="195"/>
        <v>293.33333333333405</v>
      </c>
      <c r="CD201" s="59">
        <f ca="1">AVERAGE(OFFSET($CC$3,0,0,'Données projet'!$E$12+1,1))-AVERAGE(OFFSET($H$3,0,0,'Données projet'!$E$12+1,1))</f>
        <v>241.67556898455945</v>
      </c>
      <c r="CE201" s="59">
        <f t="shared" si="207"/>
        <v>237.71070965292648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0.226722892773604</v>
      </c>
      <c r="CL201" s="21">
        <f>EXP(-LN(2)/25)*CL200+(1-EXP(-LN(2)/25))/(LN(2)/25)*Calculateur!CG201*Calculateur!CI201*VLOOKUP('Données projet'!$B$12,Paramètres!$A$1:$I$89,3,0)*0.475*44/12</f>
        <v>6.7119441329949819E-2</v>
      </c>
      <c r="CM201" s="21">
        <f>EXP(-LN(2)/2)*CM200+(1-EXP(-LN(2)/2))/(LN(2)/2)*CG201*CJ201*VLOOKUP('Données projet'!$B$12,Paramètres!$A$1:$I$89,3,0)*0.475*44/12</f>
        <v>3.4621797309409969E-25</v>
      </c>
      <c r="CN201" s="22">
        <f t="shared" si="172"/>
        <v>0.29384233410355381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-2.2612312022829427E-13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405.40026823646758</v>
      </c>
      <c r="T202" s="59">
        <f t="shared" si="204"/>
        <v>393.0787141050053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0.60934449054902173</v>
      </c>
      <c r="AA202" s="21">
        <f>EXP(-LN(2)/25)*AA201+(1-EXP(-LN(2)/25))/(LN(2)/25)*Calculateur!V202*Calculateur!X202*VLOOKUP('Données projet'!$B$9,Paramètres!$A$1:$I$89,3,0)*0.475*44/12</f>
        <v>0.1908030276742631</v>
      </c>
      <c r="AB202" s="21">
        <f>EXP(-LN(2)/2)*AB201+(1-EXP(-LN(2)/2))/(LN(2)/2)*V202*Y202*VLOOKUP('Données projet'!$B$9,Paramètres!$A$1:$I$89,3,0)*0.475*44/12</f>
        <v>4.3245395142464482E-25</v>
      </c>
      <c r="AC202" s="22">
        <f t="shared" si="163"/>
        <v>0.80014751822328489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4.9658410716801891E-14</v>
      </c>
      <c r="AK202" s="13">
        <f t="shared" si="164"/>
        <v>8.0934058173791862E-13</v>
      </c>
      <c r="AL202" s="20">
        <f t="shared" si="165"/>
        <v>1.4960899118586383E-12</v>
      </c>
      <c r="AM202" s="59">
        <f t="shared" si="193"/>
        <v>293.33333333333479</v>
      </c>
      <c r="AN202" s="59">
        <f ca="1">AVERAGE(OFFSET($AM$3,0,0,'Données projet'!$E$10+1,1))-AVERAGE(OFFSET($H$3,0,0,'Données projet'!$E$10+1,1))</f>
        <v>304.32767345253382</v>
      </c>
      <c r="AO202" s="59">
        <f t="shared" si="205"/>
        <v>427.16091343339173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0.27784229945721622</v>
      </c>
      <c r="AV202" s="21">
        <f>EXP(-LN(2)/25)*AV201+(1-EXP(-LN(2)/25))/(LN(2)/25)*Calculateur!AQ202*Calculateur!AS202*VLOOKUP('Données projet'!$B$10,Paramètres!$A$1:$I$89,3,0)*0.475*44/12</f>
        <v>0.16716652920649958</v>
      </c>
      <c r="AW202" s="21">
        <f>EXP(-LN(2)/2)*AW201+(1-EXP(-LN(2)/2))/(LN(2)/2)*AQ202*AT202*VLOOKUP('Données projet'!$B$10,Paramètres!$A$1:$I$89,3,0)*0.475*44/12</f>
        <v>4.1210829214403916E-25</v>
      </c>
      <c r="AX202" s="21">
        <f t="shared" si="166"/>
        <v>0.44500882866371583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-4.9658410716801891E-14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268.31928207836495</v>
      </c>
      <c r="BJ202" s="59">
        <f t="shared" si="206"/>
        <v>277.61304526670204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7.2413014954628305E-2</v>
      </c>
      <c r="BQ202" s="21">
        <f>EXP(-LN(2)/25)*BQ201+(1-EXP(-LN(2)/25))/(LN(2)/25)*Calculateur!BL202*Calculateur!BN202*VLOOKUP('Données projet'!$B$11,Paramètres!$A$1:$I$89,3,0)*0.475*44/12</f>
        <v>5.1960914968393369E-2</v>
      </c>
      <c r="BR202" s="21">
        <f>EXP(-LN(2)/2)*BR201+(1-EXP(-LN(2)/2))/(LN(2)/2)*BL202*BO202*VLOOKUP('Données projet'!$B$11,Paramètres!$A$1:$I$89,3,0)*0.475*44/12</f>
        <v>2.9843339325925426E-25</v>
      </c>
      <c r="BS202" s="22">
        <f t="shared" si="169"/>
        <v>0.12437392992302168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2.2612312022829431E-14</v>
      </c>
      <c r="CA202" s="13">
        <f t="shared" si="170"/>
        <v>4.0387900716432995E-13</v>
      </c>
      <c r="CB202" s="20">
        <f t="shared" si="171"/>
        <v>7.4280571425096929E-13</v>
      </c>
      <c r="CC202" s="59">
        <f t="shared" si="195"/>
        <v>293.33333333333405</v>
      </c>
      <c r="CD202" s="59">
        <f ca="1">AVERAGE(OFFSET($CC$3,0,0,'Données projet'!$E$12+1,1))-AVERAGE(OFFSET($H$3,0,0,'Données projet'!$E$12+1,1))</f>
        <v>241.67556898455945</v>
      </c>
      <c r="CE202" s="59">
        <f t="shared" si="207"/>
        <v>237.71070965292648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0.22227699513362348</v>
      </c>
      <c r="CL202" s="21">
        <f>EXP(-LN(2)/25)*CL201+(1-EXP(-LN(2)/25))/(LN(2)/25)*Calculateur!CG202*Calculateur!CI202*VLOOKUP('Données projet'!$B$12,Paramètres!$A$1:$I$89,3,0)*0.475*44/12</f>
        <v>6.5284056677124322E-2</v>
      </c>
      <c r="CM202" s="21">
        <f>EXP(-LN(2)/2)*CM201+(1-EXP(-LN(2)/2))/(LN(2)/2)*CG202*CJ202*VLOOKUP('Données projet'!$B$12,Paramètres!$A$1:$I$89,3,0)*0.475*44/12</f>
        <v>2.4481307654349955E-25</v>
      </c>
      <c r="CN202" s="22">
        <f t="shared" si="172"/>
        <v>0.28756105181074781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-2.2612312022829427E-13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405.40026823646758</v>
      </c>
      <c r="T203" s="59">
        <f t="shared" si="204"/>
        <v>393.0787141050053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0.59739561675279595</v>
      </c>
      <c r="AA203" s="21">
        <f>EXP(-LN(2)/25)*AA202+(1-EXP(-LN(2)/25))/(LN(2)/25)*Calculateur!V203*Calculateur!X203*VLOOKUP('Données projet'!$B$9,Paramètres!$A$1:$I$89,3,0)*0.475*44/12</f>
        <v>0.18558550884861524</v>
      </c>
      <c r="AB203" s="21">
        <f>EXP(-LN(2)/2)*AB202+(1-EXP(-LN(2)/2))/(LN(2)/2)*V203*Y203*VLOOKUP('Données projet'!$B$9,Paramètres!$A$1:$I$89,3,0)*0.475*44/12</f>
        <v>3.0579112160328419E-25</v>
      </c>
      <c r="AC203" s="22">
        <f t="shared" si="163"/>
        <v>0.7829811256014112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4.9658410716801891E-14</v>
      </c>
      <c r="AK203" s="13">
        <f t="shared" si="164"/>
        <v>8.0934058173791862E-13</v>
      </c>
      <c r="AL203" s="20">
        <f t="shared" si="165"/>
        <v>1.4960899118586383E-12</v>
      </c>
      <c r="AM203" s="59">
        <f t="shared" si="193"/>
        <v>293.33333333333479</v>
      </c>
      <c r="AN203" s="59">
        <f ca="1">AVERAGE(OFFSET($AM$3,0,0,'Données projet'!$E$10+1,1))-AVERAGE(OFFSET($H$3,0,0,'Données projet'!$E$10+1,1))</f>
        <v>304.32767345253382</v>
      </c>
      <c r="AO203" s="59">
        <f t="shared" si="205"/>
        <v>427.16091343339173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0.27239398143192939</v>
      </c>
      <c r="AV203" s="21">
        <f>EXP(-LN(2)/25)*AV202+(1-EXP(-LN(2)/25))/(LN(2)/25)*Calculateur!AQ203*Calculateur!AS203*VLOOKUP('Données projet'!$B$10,Paramètres!$A$1:$I$89,3,0)*0.475*44/12</f>
        <v>0.16259535167444214</v>
      </c>
      <c r="AW203" s="21">
        <f>EXP(-LN(2)/2)*AW202+(1-EXP(-LN(2)/2))/(LN(2)/2)*AQ203*AT203*VLOOKUP('Données projet'!$B$10,Paramètres!$A$1:$I$89,3,0)*0.475*44/12</f>
        <v>2.9140456795825691E-25</v>
      </c>
      <c r="AX203" s="21">
        <f t="shared" si="166"/>
        <v>0.43498933310637156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-4.9658410716801891E-14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268.31928207836495</v>
      </c>
      <c r="BJ203" s="59">
        <f t="shared" si="206"/>
        <v>277.61304526670204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7.0993039898945981E-2</v>
      </c>
      <c r="BQ203" s="21">
        <f>EXP(-LN(2)/25)*BQ202+(1-EXP(-LN(2)/25))/(LN(2)/25)*Calculateur!BL203*Calculateur!BN203*VLOOKUP('Données projet'!$B$11,Paramètres!$A$1:$I$89,3,0)*0.475*44/12</f>
        <v>5.0540041016076891E-2</v>
      </c>
      <c r="BR203" s="21">
        <f>EXP(-LN(2)/2)*BR202+(1-EXP(-LN(2)/2))/(LN(2)/2)*BL203*BO203*VLOOKUP('Données projet'!$B$11,Paramètres!$A$1:$I$89,3,0)*0.475*44/12</f>
        <v>2.1102427610613039E-25</v>
      </c>
      <c r="BS203" s="22">
        <f t="shared" si="169"/>
        <v>0.12153308091502288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2.2612312022829431E-14</v>
      </c>
      <c r="CA203" s="13">
        <f t="shared" si="170"/>
        <v>4.0387900716432995E-13</v>
      </c>
      <c r="CB203" s="20">
        <f t="shared" si="171"/>
        <v>7.4280571425096929E-13</v>
      </c>
      <c r="CC203" s="59">
        <f t="shared" si="195"/>
        <v>293.33333333333405</v>
      </c>
      <c r="CD203" s="59">
        <f ca="1">AVERAGE(OFFSET($CC$3,0,0,'Données projet'!$E$12+1,1))-AVERAGE(OFFSET($H$3,0,0,'Données projet'!$E$12+1,1))</f>
        <v>241.67556898455945</v>
      </c>
      <c r="CE203" s="59">
        <f t="shared" si="207"/>
        <v>237.71070965292648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0.21791827883463319</v>
      </c>
      <c r="CL203" s="21">
        <f>EXP(-LN(2)/25)*CL202+(1-EXP(-LN(2)/25))/(LN(2)/25)*Calculateur!CG203*Calculateur!CI203*VLOOKUP('Données projet'!$B$12,Paramètres!$A$1:$I$89,3,0)*0.475*44/12</f>
        <v>6.3498860714149022E-2</v>
      </c>
      <c r="CM203" s="21">
        <f>EXP(-LN(2)/2)*CM202+(1-EXP(-LN(2)/2))/(LN(2)/2)*CG203*CJ203*VLOOKUP('Données projet'!$B$12,Paramètres!$A$1:$I$89,3,0)*0.475*44/12</f>
        <v>1.7310898654704984E-25</v>
      </c>
      <c r="CN203" s="22">
        <f t="shared" si="172"/>
        <v>0.28141713954878222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1.3423796509621049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1.3655017210306359</v>
      </c>
      <c r="BA205" s="82">
        <f>EXP(LN('Données projet'!B88)/'Données projet'!A88)</f>
        <v>1.2441746677543575</v>
      </c>
      <c r="BV205" s="82">
        <f>EXP(LN('Données projet'!B114)/'Données projet'!A114)</f>
        <v>1.1577536725165907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15" sqref="O1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Erable sycomore</v>
      </c>
      <c r="B6" s="146">
        <f>'Données projet'!D9</f>
        <v>0.26600000000000001</v>
      </c>
      <c r="C6" s="147">
        <f ca="1">IF(OR('Données projet'!B9="",'Données projet'!C9="",'Données projet'!C9=0%),0,Calculateur!S3)</f>
        <v>405.40026823646758</v>
      </c>
      <c r="D6" s="147">
        <f>IF(OR('Données projet'!B9="",'Données projet'!C9="",'Données projet'!C9=0%),0,Calculateur!T3)</f>
        <v>393.0787141050053</v>
      </c>
      <c r="E6" s="147">
        <f ca="1">MIN(C6,D6)</f>
        <v>393.0787141050053</v>
      </c>
      <c r="F6" s="147">
        <f ca="1">E6*B6</f>
        <v>104.55893795193141</v>
      </c>
      <c r="G6" s="147">
        <f ca="1">F6*(100%-'Données projet'!$C$24)*(100%-'Données projet'!$C$25)*(100%-'Données projet'!$C$26)*(100%-'Données projet'!$C$27)</f>
        <v>94.103044156738278</v>
      </c>
      <c r="H6" s="148">
        <f>IF(OR('Données projet'!B9="",'Données projet'!C9="",'Données projet'!C9=0%),0,AVERAGE(Calculateur!$AC$3:$AC$33)*B6)</f>
        <v>4.0015975901196077</v>
      </c>
      <c r="I6" s="149">
        <f>H6*(100%-'Données projet'!$C$24)*(100%-'Données projet'!$C$25)*(100%-'Données projet'!$C$26)*(100%-'Données projet'!$C$27)</f>
        <v>3.6014378311076469</v>
      </c>
      <c r="J6" s="150">
        <f>IF(OR('Données projet'!B9="",'Données projet'!C9="",'Données projet'!C9=0%),0,SUM(Calculateur!$V$3:$V$33)*VLOOKUP('Données projet'!$B$9,Paramètres!$A$1:$I$89,9,0)*B6)</f>
        <v>11.637500000000001</v>
      </c>
      <c r="K6" s="151">
        <f>J6*(100%-'Données projet'!$C$24)*(100%-'Données projet'!$C$25)*(100%-'Données projet'!$C$26)*(100%-'Données projet'!$C$27)</f>
        <v>10.473750000000001</v>
      </c>
      <c r="L6" s="152">
        <f ca="1">G6+I6+K6</f>
        <v>108.17823198784592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0.26600000000000001</v>
      </c>
      <c r="C7" s="147">
        <f ca="1">IF(OR('Données projet'!B10="",'Données projet'!C10="",'Données projet'!C10=0%),0,Calculateur!AN3)</f>
        <v>304.32767345253382</v>
      </c>
      <c r="D7" s="147">
        <f>IF(OR('Données projet'!B10="",'Données projet'!C10="",'Données projet'!C10=0%),0,Calculateur!AO3)</f>
        <v>427.16091343339173</v>
      </c>
      <c r="E7" s="147">
        <f t="shared" ref="E7:E15" ca="1" si="0">MIN(C7,D7)</f>
        <v>304.32767345253382</v>
      </c>
      <c r="F7" s="147">
        <f t="shared" ref="F7:F15" ca="1" si="1">E7*B7</f>
        <v>80.951161138374005</v>
      </c>
      <c r="G7" s="147">
        <f ca="1">F7*(100%-'Données projet'!$C$24)*(100%-'Données projet'!$C$25)*(100%-'Données projet'!$C$26)*(100%-'Données projet'!$C$27)</f>
        <v>72.856045024536613</v>
      </c>
      <c r="H7" s="155">
        <f>IF(OR('Données projet'!B10="",'Données projet'!C10="",'Données projet'!C10=0%),0,AVERAGE(Calculateur!$AX$3:$AX$33)*B7)</f>
        <v>2.4850238692843063</v>
      </c>
      <c r="I7" s="149">
        <f>H7*(100%-'Données projet'!$C$24)*(100%-'Données projet'!$C$25)*(100%-'Données projet'!$C$26)*(100%-'Données projet'!$C$27)</f>
        <v>2.2365214823558759</v>
      </c>
      <c r="J7" s="150">
        <f>IF(OR('Données projet'!B10="",'Données projet'!C10="",'Données projet'!C10=0%),0,SUM(Calculateur!$AQ$3:$AQ$33)*VLOOKUP('Données projet'!$B$10,Paramètres!$A$1:$I$89,9,0)*B7)</f>
        <v>12.435500000000001</v>
      </c>
      <c r="K7" s="151">
        <f>J7*(100%-'Données projet'!$C$24)*(100%-'Données projet'!$C$25)*(100%-'Données projet'!$C$26)*(100%-'Données projet'!$C$27)</f>
        <v>11.191950000000002</v>
      </c>
      <c r="L7" s="152">
        <f t="shared" ref="L7:L15" ca="1" si="2">G7+I7+K7</f>
        <v>86.284516506892501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rouge d'Amérique</v>
      </c>
      <c r="B8" s="154">
        <f>'Données projet'!D11</f>
        <v>1.292</v>
      </c>
      <c r="C8" s="147">
        <f ca="1">IF(OR('Données projet'!B11="",'Données projet'!C11="",'Données projet'!C11=0%),0,Calculateur!BI3)</f>
        <v>268.31928207836495</v>
      </c>
      <c r="D8" s="147">
        <f>IF(OR('Données projet'!B11="",'Données projet'!C11="",'Données projet'!C11=0%),0,Calculateur!BJ3)</f>
        <v>277.61304526670204</v>
      </c>
      <c r="E8" s="147">
        <f t="shared" ca="1" si="0"/>
        <v>268.31928207836495</v>
      </c>
      <c r="F8" s="147">
        <f t="shared" ca="1" si="1"/>
        <v>346.66851244524753</v>
      </c>
      <c r="G8" s="147">
        <f ca="1">F8*(100%-'Données projet'!$C$24)*(100%-'Données projet'!$C$25)*(100%-'Données projet'!$C$26)*(100%-'Données projet'!$C$27)</f>
        <v>312.00166120072276</v>
      </c>
      <c r="H8" s="155">
        <f>IF(OR('Données projet'!B11="",'Données projet'!C11="",'Données projet'!C11=0%),0,AVERAGE(Calculateur!$BS$3:$BS$33)*B8)</f>
        <v>3.5309061997008673</v>
      </c>
      <c r="I8" s="149">
        <f>H8*(100%-'Données projet'!$C$24)*(100%-'Données projet'!$C$25)*(100%-'Données projet'!$C$26)*(100%-'Données projet'!$C$27)</f>
        <v>3.1778155797307805</v>
      </c>
      <c r="J8" s="150">
        <f>IF(OR('Données projet'!B11="",'Données projet'!C11="",'Données projet'!C11=0%),0,SUM(Calculateur!$BL$3:$BL$33)*VLOOKUP('Données projet'!$B$11,Paramètres!$A$1:$I$89,9,0)*B8)</f>
        <v>22.286999999999999</v>
      </c>
      <c r="K8" s="151">
        <f>J8*(100%-'Données projet'!$C$24)*(100%-'Données projet'!$C$25)*(100%-'Données projet'!$C$26)*(100%-'Données projet'!$C$27)</f>
        <v>20.058299999999999</v>
      </c>
      <c r="L8" s="152">
        <f t="shared" ca="1" si="2"/>
        <v>335.23777678045354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Erable sycomore</v>
      </c>
      <c r="B9" s="154">
        <f>'Données projet'!D12</f>
        <v>7.5999999999999998E-2</v>
      </c>
      <c r="C9" s="147">
        <f ca="1">IF(OR('Données projet'!B12="",'Données projet'!C12="",'Données projet'!C12=0%),0,Calculateur!CD3)</f>
        <v>241.67556898455945</v>
      </c>
      <c r="D9" s="147">
        <f>IF(OR('Données projet'!B12="",'Données projet'!C12="",'Données projet'!C12=0%),0,Calculateur!CE3)</f>
        <v>237.71070965292648</v>
      </c>
      <c r="E9" s="147">
        <f t="shared" ca="1" si="0"/>
        <v>237.71070965292648</v>
      </c>
      <c r="F9" s="147">
        <f t="shared" ca="1" si="1"/>
        <v>18.066013933622411</v>
      </c>
      <c r="G9" s="147">
        <f ca="1">F9*(100%-'Données projet'!$C$24)*(100%-'Données projet'!$C$25)*(100%-'Données projet'!$C$26)*(100%-'Données projet'!$C$27)</f>
        <v>16.259412540260172</v>
      </c>
      <c r="H9" s="155">
        <f>IF(OR('Données projet'!B12="",'Données projet'!C12="",'Données projet'!C12=0%),0,AVERAGE(Calculateur!$CN$3:$CN$33)*B9)</f>
        <v>0.32313917800709091</v>
      </c>
      <c r="I9" s="149">
        <f>H9*(100%-'Données projet'!$C$24)*(100%-'Données projet'!$C$25)*(100%-'Données projet'!$C$26)*(100%-'Données projet'!$C$27)</f>
        <v>0.29082526020638183</v>
      </c>
      <c r="J9" s="150">
        <f>IF(OR('Données projet'!B12="",'Données projet'!C12="",'Données projet'!C12=0%),0,SUM(Calculateur!$CG$3:$CG$33)*VLOOKUP('Données projet'!$B$12,Paramètres!$A$1:$I$89,9,0)*B9)</f>
        <v>1.1970000000000001</v>
      </c>
      <c r="K9" s="151">
        <f>J9*(100%-'Données projet'!$C$24)*(100%-'Données projet'!$C$25)*(100%-'Données projet'!$C$26)*(100%-'Données projet'!$C$27)</f>
        <v>1.0773000000000001</v>
      </c>
      <c r="L9" s="152">
        <f t="shared" ca="1" si="2"/>
        <v>17.627537800466555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550.24462546917539</v>
      </c>
      <c r="G16" s="166">
        <f t="shared" ca="1" si="3"/>
        <v>495.22016292225783</v>
      </c>
      <c r="H16" s="167">
        <f t="shared" si="3"/>
        <v>10.340666837111872</v>
      </c>
      <c r="I16" s="167">
        <f t="shared" si="3"/>
        <v>9.3066001534006872</v>
      </c>
      <c r="J16" s="168">
        <f t="shared" si="3"/>
        <v>47.557000000000002</v>
      </c>
      <c r="K16" s="168">
        <f t="shared" si="3"/>
        <v>42.801300000000005</v>
      </c>
      <c r="L16" s="169">
        <f t="shared" ca="1" si="3"/>
        <v>547.32806307565852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Erable sycomore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8" zoomScale="80" zoomScaleNormal="80" workbookViewId="0">
      <selection activeCell="M40" sqref="M4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Erable sycomore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-636.99613237507197</v>
      </c>
      <c r="U10" s="178">
        <f>'Données projet'!D9</f>
        <v>0.26600000000000001</v>
      </c>
      <c r="V10" s="177">
        <f>U10*T10</f>
        <v>-169.44097121176915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1349.2204322590173</v>
      </c>
      <c r="U11" s="178">
        <f>'Données projet'!D10</f>
        <v>0.26600000000000001</v>
      </c>
      <c r="V11" s="177">
        <f t="shared" ref="V11" si="0">U11*T11</f>
        <v>358.89263498089861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-1029.4786194921746</v>
      </c>
      <c r="U12" s="178">
        <f>'Données projet'!D11</f>
        <v>1.292</v>
      </c>
      <c r="V12" s="177">
        <f t="shared" ref="V12:V19" si="1">U12*T12</f>
        <v>-1330.0863763838897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-1361.4253103164203</v>
      </c>
      <c r="U13" s="178">
        <f>'Données projet'!D12</f>
        <v>7.5999999999999998E-2</v>
      </c>
      <c r="V13" s="177">
        <f t="shared" si="1"/>
        <v>-103.46832358404794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Erable sycomore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1300*(1.15+0.55)</f>
        <v>2210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(2700+165+1610+1495+2760+1460-960)/1.9</f>
        <v>4857.8947368421059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403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7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v>403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-12578.985042313388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42</v>
      </c>
      <c r="C24" s="193">
        <v>0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42</v>
      </c>
      <c r="C25" s="193">
        <v>10</v>
      </c>
      <c r="D25" s="182">
        <f t="shared" si="2"/>
        <v>420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-12578.985042313388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25</v>
      </c>
      <c r="B26" s="181">
        <f>'Données projet'!D39</f>
        <v>42</v>
      </c>
      <c r="C26" s="193">
        <v>10</v>
      </c>
      <c r="D26" s="182">
        <f t="shared" si="2"/>
        <v>420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30</v>
      </c>
      <c r="B27" s="181">
        <f>'Données projet'!D40</f>
        <v>42</v>
      </c>
      <c r="C27" s="193">
        <v>20</v>
      </c>
      <c r="D27" s="182">
        <f t="shared" si="2"/>
        <v>840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35</v>
      </c>
      <c r="B28" s="181">
        <f>'Données projet'!D41</f>
        <v>42</v>
      </c>
      <c r="C28" s="193">
        <v>20</v>
      </c>
      <c r="D28" s="182">
        <f t="shared" si="2"/>
        <v>840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40</v>
      </c>
      <c r="C29" s="193">
        <v>20</v>
      </c>
      <c r="D29" s="182">
        <f t="shared" si="2"/>
        <v>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45</v>
      </c>
      <c r="B30" s="181">
        <f>'Données projet'!D43</f>
        <v>26</v>
      </c>
      <c r="C30" s="193">
        <v>20</v>
      </c>
      <c r="D30" s="182">
        <f t="shared" si="2"/>
        <v>520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50</v>
      </c>
      <c r="B31" s="181">
        <f>'Données projet'!D44</f>
        <v>21</v>
      </c>
      <c r="C31" s="193">
        <v>20</v>
      </c>
      <c r="D31" s="182">
        <f t="shared" si="2"/>
        <v>420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55</v>
      </c>
      <c r="B32" s="181">
        <f>'Données projet'!D45</f>
        <v>18</v>
      </c>
      <c r="C32" s="193">
        <v>20</v>
      </c>
      <c r="D32" s="182">
        <f t="shared" si="2"/>
        <v>360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60</v>
      </c>
      <c r="B33" s="181">
        <f>'Données projet'!D46</f>
        <v>17</v>
      </c>
      <c r="C33" s="193">
        <v>35</v>
      </c>
      <c r="D33" s="182">
        <f t="shared" si="2"/>
        <v>595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65</v>
      </c>
      <c r="B34" s="181">
        <f>'Données projet'!D47</f>
        <v>16</v>
      </c>
      <c r="C34" s="193">
        <v>35</v>
      </c>
      <c r="D34" s="182">
        <f t="shared" si="2"/>
        <v>560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70</v>
      </c>
      <c r="B35" s="181">
        <f>'Données projet'!D48</f>
        <v>15</v>
      </c>
      <c r="C35" s="193">
        <v>35</v>
      </c>
      <c r="D35" s="182">
        <f t="shared" si="2"/>
        <v>525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75</v>
      </c>
      <c r="B36" s="181">
        <f>'Données projet'!D49</f>
        <v>14</v>
      </c>
      <c r="C36" s="193">
        <v>35</v>
      </c>
      <c r="D36" s="182">
        <f t="shared" si="2"/>
        <v>490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80</v>
      </c>
      <c r="B37" s="181">
        <f>'Données projet'!D50</f>
        <v>381</v>
      </c>
      <c r="C37" s="193">
        <v>40</v>
      </c>
      <c r="D37" s="182">
        <f t="shared" si="2"/>
        <v>15240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1300*(0.9+0.55)</f>
        <v>1885.0000000000002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34</v>
      </c>
      <c r="C54" s="191">
        <v>2</v>
      </c>
      <c r="D54" s="179">
        <f>B54*C54</f>
        <v>68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50</v>
      </c>
      <c r="C55" s="191">
        <v>10</v>
      </c>
      <c r="D55" s="179">
        <f t="shared" ref="D55:D73" si="4">B55*C55</f>
        <v>500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52</v>
      </c>
      <c r="C56" s="191">
        <v>10</v>
      </c>
      <c r="D56" s="179">
        <f t="shared" si="4"/>
        <v>520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51</v>
      </c>
      <c r="C57" s="191">
        <v>25</v>
      </c>
      <c r="D57" s="179">
        <f t="shared" si="4"/>
        <v>1275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49</v>
      </c>
      <c r="C58" s="191">
        <v>25</v>
      </c>
      <c r="D58" s="179">
        <f t="shared" si="4"/>
        <v>1225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45</v>
      </c>
      <c r="C59" s="191">
        <v>30</v>
      </c>
      <c r="D59" s="179">
        <f t="shared" si="4"/>
        <v>1350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41</v>
      </c>
      <c r="C60" s="191">
        <v>40</v>
      </c>
      <c r="D60" s="179">
        <f t="shared" si="4"/>
        <v>1640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37</v>
      </c>
      <c r="C61" s="191">
        <v>60</v>
      </c>
      <c r="D61" s="179">
        <f t="shared" si="4"/>
        <v>2220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258</v>
      </c>
      <c r="C62" s="191">
        <v>75</v>
      </c>
      <c r="D62" s="179">
        <f t="shared" si="4"/>
        <v>19350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1300*(0.9+0.55)</f>
        <v>1885.0000000000002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17</v>
      </c>
      <c r="C85" s="191">
        <v>2</v>
      </c>
      <c r="D85" s="179">
        <f>B85*C85</f>
        <v>34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26</v>
      </c>
      <c r="C86" s="191">
        <v>2</v>
      </c>
      <c r="D86" s="179">
        <f t="shared" ref="D86:D104" si="6">B86*C86</f>
        <v>52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26</v>
      </c>
      <c r="C87" s="191">
        <v>10</v>
      </c>
      <c r="D87" s="179">
        <f t="shared" si="6"/>
        <v>260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25</v>
      </c>
      <c r="C88" s="191">
        <v>10</v>
      </c>
      <c r="D88" s="179">
        <f t="shared" si="6"/>
        <v>250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23</v>
      </c>
      <c r="C89" s="191">
        <v>25</v>
      </c>
      <c r="D89" s="179">
        <f t="shared" si="6"/>
        <v>575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str">
        <f>IF(O88+1&lt;=MIN('Données projet'!$E$9:$E$18),O88+1,"STOP")</f>
        <v>STOP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21</v>
      </c>
      <c r="C90" s="191">
        <v>25</v>
      </c>
      <c r="D90" s="179">
        <f t="shared" si="6"/>
        <v>525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19</v>
      </c>
      <c r="C91" s="191">
        <v>30</v>
      </c>
      <c r="D91" s="179">
        <f t="shared" si="6"/>
        <v>570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18</v>
      </c>
      <c r="C92" s="191">
        <v>30</v>
      </c>
      <c r="D92" s="179">
        <f t="shared" si="6"/>
        <v>540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16</v>
      </c>
      <c r="C93" s="191">
        <v>40</v>
      </c>
      <c r="D93" s="179">
        <f t="shared" si="6"/>
        <v>640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14</v>
      </c>
      <c r="C94" s="191">
        <v>40</v>
      </c>
      <c r="D94" s="179">
        <f t="shared" si="6"/>
        <v>560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12</v>
      </c>
      <c r="C95" s="191">
        <v>40</v>
      </c>
      <c r="D95" s="179">
        <f t="shared" si="6"/>
        <v>480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11</v>
      </c>
      <c r="C96" s="191">
        <v>40</v>
      </c>
      <c r="D96" s="179">
        <f t="shared" si="6"/>
        <v>440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9</v>
      </c>
      <c r="C97" s="191">
        <v>60</v>
      </c>
      <c r="D97" s="179">
        <f t="shared" si="6"/>
        <v>540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8</v>
      </c>
      <c r="C98" s="191">
        <v>60</v>
      </c>
      <c r="D98" s="179">
        <f t="shared" si="6"/>
        <v>480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193</v>
      </c>
      <c r="C99" s="191">
        <v>75</v>
      </c>
      <c r="D99" s="179">
        <f t="shared" si="6"/>
        <v>14475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1300*(1.15+0.55)</f>
        <v>2210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0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21</v>
      </c>
      <c r="C117" s="191">
        <v>10</v>
      </c>
      <c r="D117" s="179">
        <f t="shared" ref="D117:D135" si="8">B117*C117</f>
        <v>210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21</v>
      </c>
      <c r="C118" s="191">
        <v>10</v>
      </c>
      <c r="D118" s="179">
        <f t="shared" si="8"/>
        <v>210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21</v>
      </c>
      <c r="C119" s="191">
        <v>20</v>
      </c>
      <c r="D119" s="179">
        <f t="shared" si="8"/>
        <v>420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21</v>
      </c>
      <c r="C120" s="191">
        <v>20</v>
      </c>
      <c r="D120" s="179">
        <f t="shared" si="8"/>
        <v>420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21</v>
      </c>
      <c r="C121" s="191">
        <v>20</v>
      </c>
      <c r="D121" s="179">
        <f t="shared" si="8"/>
        <v>420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18</v>
      </c>
      <c r="C122" s="191">
        <v>20</v>
      </c>
      <c r="D122" s="179">
        <f t="shared" si="8"/>
        <v>360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13</v>
      </c>
      <c r="C123" s="191">
        <v>20</v>
      </c>
      <c r="D123" s="179">
        <f t="shared" si="8"/>
        <v>260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11</v>
      </c>
      <c r="C124" s="191">
        <v>20</v>
      </c>
      <c r="D124" s="179">
        <f t="shared" si="8"/>
        <v>220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9</v>
      </c>
      <c r="C125" s="191">
        <v>35</v>
      </c>
      <c r="D125" s="179">
        <f t="shared" si="8"/>
        <v>315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8</v>
      </c>
      <c r="C126" s="191">
        <v>35</v>
      </c>
      <c r="D126" s="179">
        <f t="shared" si="8"/>
        <v>280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8</v>
      </c>
      <c r="C127" s="191">
        <v>35</v>
      </c>
      <c r="D127" s="179">
        <f t="shared" si="8"/>
        <v>280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7</v>
      </c>
      <c r="C128" s="191">
        <v>35</v>
      </c>
      <c r="D128" s="179">
        <f t="shared" si="8"/>
        <v>245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219</v>
      </c>
      <c r="C129" s="191">
        <v>40</v>
      </c>
      <c r="D129" s="179">
        <f t="shared" si="8"/>
        <v>8760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2025-01-29T10:10:02Z</dcterms:modified>
</cp:coreProperties>
</file>