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A.S.O\Tour de France 2025\Bollezeele\"/>
    </mc:Choice>
  </mc:AlternateContent>
  <bookViews>
    <workbookView xWindow="0" yWindow="0" windowWidth="28800" windowHeight="1243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3" i="1" l="1"/>
  <c r="B233" i="1"/>
  <c r="B232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D220" i="1"/>
  <c r="B220" i="1"/>
  <c r="B219" i="1"/>
  <c r="B218" i="1"/>
  <c r="B211" i="1"/>
  <c r="D211" i="1" s="1"/>
  <c r="D210" i="1"/>
  <c r="B210" i="1"/>
  <c r="D209" i="1"/>
  <c r="B209" i="1"/>
  <c r="D208" i="1"/>
  <c r="B208" i="1"/>
  <c r="D207" i="1"/>
  <c r="B207" i="1"/>
  <c r="D206" i="1"/>
  <c r="B206" i="1"/>
  <c r="B205" i="1"/>
  <c r="D204" i="1"/>
  <c r="B204" i="1"/>
  <c r="B203" i="1"/>
  <c r="D202" i="1"/>
  <c r="B202" i="1"/>
  <c r="B201" i="1"/>
  <c r="D200" i="1"/>
  <c r="B199" i="1"/>
  <c r="D198" i="1"/>
  <c r="B198" i="1"/>
  <c r="B197" i="1"/>
  <c r="D196" i="1"/>
  <c r="B196" i="1"/>
  <c r="B195" i="1"/>
  <c r="B194" i="1"/>
  <c r="B146" i="1"/>
  <c r="D145" i="1"/>
  <c r="B145" i="1"/>
  <c r="B144" i="1"/>
  <c r="D143" i="1"/>
  <c r="B143" i="1"/>
  <c r="B142" i="1"/>
  <c r="B141" i="1"/>
  <c r="B140" i="1"/>
  <c r="B78" i="1"/>
  <c r="B77" i="1"/>
  <c r="B76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B63" i="1"/>
  <c r="B62" i="1"/>
  <c r="B167" i="1" l="1"/>
  <c r="B171" i="1"/>
  <c r="B183" i="1"/>
  <c r="B182" i="1"/>
  <c r="B181" i="1"/>
  <c r="D180" i="1"/>
  <c r="B180" i="1"/>
  <c r="B179" i="1"/>
  <c r="D178" i="1"/>
  <c r="B178" i="1"/>
  <c r="B177" i="1"/>
  <c r="D176" i="1"/>
  <c r="B176" i="1"/>
  <c r="B175" i="1"/>
  <c r="D174" i="1"/>
  <c r="B174" i="1"/>
  <c r="B173" i="1"/>
  <c r="D172" i="1"/>
  <c r="B172" i="1"/>
  <c r="D170" i="1"/>
  <c r="B170" i="1"/>
  <c r="B169" i="1"/>
  <c r="D168" i="1"/>
  <c r="B168" i="1"/>
  <c r="B166" i="1"/>
  <c r="D183" i="1"/>
  <c r="D78" i="1" l="1"/>
  <c r="B94" i="1" l="1"/>
  <c r="D94" i="1" s="1"/>
  <c r="B93" i="1"/>
  <c r="B92" i="1"/>
  <c r="B91" i="1"/>
  <c r="B90" i="1"/>
  <c r="B89" i="1"/>
  <c r="B88" i="1"/>
  <c r="D124" i="1" l="1"/>
  <c r="D119" i="1"/>
  <c r="B43" i="1" l="1"/>
  <c r="D42" i="1"/>
  <c r="B42" i="1"/>
  <c r="B41" i="1"/>
  <c r="D40" i="1"/>
  <c r="B40" i="1"/>
  <c r="B39" i="1"/>
  <c r="D38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EC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V7" i="2"/>
  <c r="EW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A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Y154" i="2"/>
  <c r="EW155" i="2"/>
  <c r="DI154" i="2"/>
  <c r="ED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EX156" i="2"/>
  <c r="DH156" i="2"/>
  <c r="FS156" i="2"/>
  <c r="ED155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ED157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Y159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A161" i="2"/>
  <c r="ED160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D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D162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FR164" i="2"/>
  <c r="FS164" i="2"/>
  <c r="EX164" i="2"/>
  <c r="ED163" i="2"/>
  <c r="DI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D165" i="2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EY166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DI167" i="2"/>
  <c r="EB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D171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D174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W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D178" i="2"/>
  <c r="EB179" i="2"/>
  <c r="EA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V185" i="2"/>
  <c r="EW185" i="2"/>
  <c r="ED184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FR186" i="2"/>
  <c r="ED185" i="2"/>
  <c r="EA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EY189" i="2"/>
  <c r="ED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EX193" i="2"/>
  <c r="ED192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D193" i="2"/>
  <c r="EA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FQ195" i="2" l="1"/>
  <c r="EX195" i="2"/>
  <c r="EY194" i="2"/>
  <c r="ED194" i="2"/>
  <c r="EB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ED197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V199" i="2"/>
  <c r="EY198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FS201" i="2"/>
  <c r="ED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R202" i="2"/>
  <c r="EW202" i="2"/>
  <c r="EY201" i="2"/>
  <c r="EX202" i="2"/>
  <c r="ED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CS66" i="2" a="1"/>
  <c r="CS66" i="2" s="1"/>
  <c r="CS52" i="2" a="1"/>
  <c r="CS52" i="2" s="1"/>
  <c r="CS129" i="2" a="1"/>
  <c r="CS129" i="2" s="1"/>
  <c r="DN152" i="2" a="1"/>
  <c r="DN152" i="2" s="1"/>
  <c r="DN129" i="2" a="1"/>
  <c r="DN129" i="2" s="1"/>
  <c r="CS116" i="2" a="1"/>
  <c r="CS116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64" i="2" a="1"/>
  <c r="FD64" i="2" s="1"/>
  <c r="FD167" i="2" a="1"/>
  <c r="FD167" i="2" s="1"/>
  <c r="FD107" i="2" a="1"/>
  <c r="FD107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20" i="2" a="1"/>
  <c r="EI20" i="2" s="1"/>
  <c r="DN168" i="2" a="1"/>
  <c r="DN168" i="2" s="1"/>
  <c r="CS185" i="2" a="1"/>
  <c r="CS185" i="2" s="1"/>
  <c r="CS56" i="2" a="1"/>
  <c r="CS56" i="2" s="1"/>
  <c r="CS114" i="2" a="1"/>
  <c r="CS114" i="2" s="1"/>
  <c r="DN49" i="2" a="1"/>
  <c r="DN49" i="2" s="1"/>
  <c r="DN167" i="2" a="1"/>
  <c r="DN167" i="2" s="1"/>
  <c r="DN31" i="2" a="1"/>
  <c r="DN31" i="2" s="1"/>
  <c r="DN65" i="2" a="1"/>
  <c r="DN65" i="2" s="1"/>
  <c r="DN176" i="2" a="1"/>
  <c r="DN176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AX200" i="2"/>
  <c r="FD159" i="2" l="1" a="1"/>
  <c r="FD159" i="2" s="1"/>
  <c r="FD189" i="2" a="1"/>
  <c r="FD189" i="2" s="1"/>
  <c r="FD131" i="2" a="1"/>
  <c r="FD131" i="2" s="1"/>
  <c r="FD43" i="2" a="1"/>
  <c r="FD43" i="2" s="1"/>
  <c r="FD59" i="2" a="1"/>
  <c r="FD59" i="2" s="1"/>
  <c r="FD144" i="2" a="1"/>
  <c r="FD144" i="2" s="1"/>
  <c r="FD14" i="2" a="1"/>
  <c r="FD14" i="2" s="1"/>
  <c r="FD48" i="2" a="1"/>
  <c r="FD48" i="2" s="1"/>
  <c r="FD44" i="2" a="1"/>
  <c r="FD44" i="2" s="1"/>
  <c r="FR203" i="2"/>
  <c r="FD21" i="2" a="1"/>
  <c r="FD21" i="2" s="1"/>
  <c r="EI37" i="2" a="1"/>
  <c r="EI37" i="2" s="1"/>
  <c r="EY202" i="2"/>
  <c r="EI35" i="2" a="1"/>
  <c r="EI35" i="2" s="1"/>
  <c r="EI178" i="2" a="1"/>
  <c r="EI178" i="2" s="1"/>
  <c r="EI34" i="2" a="1"/>
  <c r="EI34" i="2" s="1"/>
  <c r="EI195" i="2" a="1"/>
  <c r="EI195" i="2" s="1"/>
  <c r="EI38" i="2" a="1"/>
  <c r="EI38" i="2" s="1"/>
  <c r="EI162" i="2" a="1"/>
  <c r="EI162" i="2" s="1"/>
  <c r="EI128" i="2" a="1"/>
  <c r="EI128" i="2" s="1"/>
  <c r="EI109" i="2" a="1"/>
  <c r="EI109" i="2" s="1"/>
  <c r="EI142" i="2" a="1"/>
  <c r="EI142" i="2" s="1"/>
  <c r="EI139" i="2" a="1"/>
  <c r="EI139" i="2" s="1"/>
  <c r="EI165" i="2" a="1"/>
  <c r="EI165" i="2" s="1"/>
  <c r="EI150" i="2" a="1"/>
  <c r="EI150" i="2" s="1"/>
  <c r="EI71" i="2" a="1"/>
  <c r="EI71" i="2" s="1"/>
  <c r="EI106" i="2" a="1"/>
  <c r="EI106" i="2" s="1"/>
  <c r="EI170" i="2" a="1"/>
  <c r="EI170" i="2" s="1"/>
  <c r="EI57" i="2" a="1"/>
  <c r="EI57" i="2" s="1"/>
  <c r="EI166" i="2" a="1"/>
  <c r="EI166" i="2" s="1"/>
  <c r="EI16" i="2" a="1"/>
  <c r="EI16" i="2" s="1"/>
  <c r="EI36" i="2" a="1"/>
  <c r="EI36" i="2" s="1"/>
  <c r="EI67" i="2" a="1"/>
  <c r="EI67" i="2" s="1"/>
  <c r="EI113" i="2" a="1"/>
  <c r="EI113" i="2" s="1"/>
  <c r="EI87" i="2" a="1"/>
  <c r="EI87" i="2" s="1"/>
  <c r="EI29" i="2" a="1"/>
  <c r="EI29" i="2" s="1"/>
  <c r="EI153" i="2" a="1"/>
  <c r="EI153" i="2" s="1"/>
  <c r="EI198" i="2" a="1"/>
  <c r="EI198" i="2" s="1"/>
  <c r="EI145" i="2" a="1"/>
  <c r="EI145" i="2" s="1"/>
  <c r="DN115" i="2" a="1"/>
  <c r="DN115" i="2" s="1"/>
  <c r="DN43" i="2" a="1"/>
  <c r="DN43" i="2" s="1"/>
  <c r="DN192" i="2" a="1"/>
  <c r="DN192" i="2" s="1"/>
  <c r="DN45" i="2" a="1"/>
  <c r="DN45" i="2" s="1"/>
  <c r="DN133" i="2" a="1"/>
  <c r="DN133" i="2" s="1"/>
  <c r="DN162" i="2" a="1"/>
  <c r="DN162" i="2" s="1"/>
  <c r="DN150" i="2" a="1"/>
  <c r="DN150" i="2" s="1"/>
  <c r="DN170" i="2" a="1"/>
  <c r="DN170" i="2" s="1"/>
  <c r="DN41" i="2" a="1"/>
  <c r="DN41" i="2" s="1"/>
  <c r="DN132" i="2" a="1"/>
  <c r="DN132" i="2" s="1"/>
  <c r="DN70" i="2" a="1"/>
  <c r="DN70" i="2" s="1"/>
  <c r="DN164" i="2" a="1"/>
  <c r="DN164" i="2" s="1"/>
  <c r="DN63" i="2" a="1"/>
  <c r="DN63" i="2" s="1"/>
  <c r="DN114" i="2" a="1"/>
  <c r="DN114" i="2" s="1"/>
  <c r="DN66" i="2" a="1"/>
  <c r="DN66" i="2" s="1"/>
  <c r="DN50" i="2" a="1"/>
  <c r="DN50" i="2" s="1"/>
  <c r="DN30" i="2" a="1"/>
  <c r="DN30" i="2" s="1"/>
  <c r="DN55" i="2" a="1"/>
  <c r="DN55" i="2" s="1"/>
  <c r="DN135" i="2" a="1"/>
  <c r="DN135" i="2" s="1"/>
  <c r="DN103" i="2" a="1"/>
  <c r="DN103" i="2" s="1"/>
  <c r="DN188" i="2" a="1"/>
  <c r="DN188" i="2" s="1"/>
  <c r="DN113" i="2" a="1"/>
  <c r="DN113" i="2" s="1"/>
  <c r="DN187" i="2" a="1"/>
  <c r="DN187" i="2" s="1"/>
  <c r="DN46" i="2" a="1"/>
  <c r="DN46" i="2" s="1"/>
  <c r="DN110" i="2" a="1"/>
  <c r="DN110" i="2" s="1"/>
  <c r="DN38" i="2" a="1"/>
  <c r="DN38" i="2" s="1"/>
  <c r="DN86" i="2" a="1"/>
  <c r="DN86" i="2" s="1"/>
  <c r="DN25" i="2" a="1"/>
  <c r="DN25" i="2" s="1"/>
  <c r="DN123" i="2" a="1"/>
  <c r="DN123" i="2" s="1"/>
  <c r="DN177" i="2" a="1"/>
  <c r="DN177" i="2" s="1"/>
  <c r="DN184" i="2" a="1"/>
  <c r="DN184" i="2" s="1"/>
  <c r="DN155" i="2" a="1"/>
  <c r="DN155" i="2" s="1"/>
  <c r="DN56" i="2" a="1"/>
  <c r="DN56" i="2" s="1"/>
  <c r="DN190" i="2" a="1"/>
  <c r="DN190" i="2" s="1"/>
  <c r="DN16" i="2" a="1"/>
  <c r="DN16" i="2" s="1"/>
  <c r="DN80" i="2" a="1"/>
  <c r="DN80" i="2" s="1"/>
  <c r="DN153" i="2" a="1"/>
  <c r="DN153" i="2" s="1"/>
  <c r="DN29" i="2" a="1"/>
  <c r="DN29" i="2" s="1"/>
  <c r="DN137" i="2" a="1"/>
  <c r="DN137" i="2" s="1"/>
  <c r="DN124" i="2" a="1"/>
  <c r="DN124" i="2" s="1"/>
  <c r="DN186" i="2" a="1"/>
  <c r="DN186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17" i="2" l="1"/>
  <c r="EO44" i="2"/>
  <c r="EO175" i="2"/>
  <c r="EO33" i="2"/>
  <c r="EO98" i="2"/>
  <c r="EO16" i="2"/>
  <c r="EO147" i="2"/>
  <c r="EO107" i="2"/>
  <c r="EO79" i="2"/>
  <c r="EO14" i="2"/>
  <c r="EO133" i="2"/>
  <c r="EO193" i="2"/>
  <c r="EO30" i="2"/>
  <c r="EO165" i="2"/>
  <c r="EO94" i="2"/>
  <c r="EO29" i="2"/>
  <c r="EO64" i="2"/>
  <c r="EO43" i="2"/>
  <c r="EO42" i="2"/>
  <c r="EO163" i="2"/>
  <c r="EO155" i="2"/>
  <c r="EO20" i="2"/>
  <c r="EO189" i="2"/>
  <c r="EO32" i="2"/>
  <c r="EO53" i="2"/>
  <c r="EO71" i="2"/>
  <c r="EO161" i="2"/>
  <c r="EO55" i="2"/>
  <c r="EO131" i="2"/>
  <c r="EO149" i="2"/>
  <c r="EO61" i="2"/>
  <c r="EO143" i="2"/>
  <c r="EO134" i="2"/>
  <c r="EO6" i="2"/>
  <c r="EO182" i="2"/>
  <c r="EO140" i="2"/>
  <c r="EO25" i="2"/>
  <c r="EO28" i="2"/>
  <c r="EO40" i="2"/>
  <c r="EO141" i="2"/>
  <c r="EO9" i="2"/>
  <c r="EO83" i="2"/>
  <c r="EO86" i="2"/>
  <c r="EO15" i="2"/>
  <c r="EO179" i="2"/>
  <c r="EO92" i="2"/>
  <c r="EO67" i="2"/>
  <c r="EO104" i="2"/>
  <c r="EO126" i="2"/>
  <c r="EO45" i="2"/>
  <c r="EO125" i="2"/>
  <c r="EO164" i="2"/>
  <c r="EO106" i="2"/>
  <c r="EO22" i="2"/>
  <c r="EO167" i="2"/>
  <c r="EO168" i="2"/>
  <c r="EO162" i="2"/>
  <c r="EO100" i="2"/>
  <c r="EO139" i="2"/>
  <c r="EO60" i="2"/>
  <c r="EO12" i="2"/>
  <c r="EO47" i="2"/>
  <c r="EO49" i="2"/>
  <c r="EO180" i="2"/>
  <c r="EO31" i="2"/>
  <c r="EO39" i="2"/>
  <c r="EO127" i="2"/>
  <c r="EO174" i="2"/>
  <c r="EO68" i="2"/>
  <c r="EO88" i="2"/>
  <c r="EO36" i="2"/>
  <c r="EO10" i="2"/>
  <c r="EO114" i="2"/>
  <c r="EO169" i="2"/>
  <c r="EO138" i="2"/>
  <c r="EO129" i="2"/>
  <c r="EO188" i="2"/>
  <c r="EO186" i="2"/>
  <c r="EO196" i="2"/>
  <c r="EO50" i="2"/>
  <c r="EO34" i="2"/>
  <c r="EO128" i="2"/>
  <c r="EO56" i="2"/>
  <c r="EO11" i="2"/>
  <c r="EO178" i="2"/>
  <c r="EO177" i="2"/>
  <c r="EO154" i="2"/>
  <c r="EO72" i="2"/>
  <c r="EO181" i="2"/>
  <c r="EO156" i="2"/>
  <c r="EO192" i="2"/>
  <c r="EO63" i="2"/>
  <c r="EO35" i="2"/>
  <c r="EO157" i="2"/>
  <c r="EO144" i="2"/>
  <c r="EO97" i="2"/>
  <c r="EO7" i="2"/>
  <c r="EO151" i="2"/>
  <c r="EO202" i="2"/>
  <c r="EO48" i="2"/>
  <c r="EO81" i="2"/>
  <c r="EO119" i="2"/>
  <c r="EO77" i="2"/>
  <c r="EO117" i="2"/>
  <c r="EO108" i="2"/>
  <c r="EO187" i="2"/>
  <c r="EO142" i="2"/>
  <c r="EO4" i="2"/>
  <c r="EO21" i="2"/>
  <c r="EO153" i="2"/>
  <c r="EO41" i="2"/>
  <c r="EO84" i="2"/>
  <c r="EO194" i="2"/>
  <c r="EO199" i="2"/>
  <c r="EO91" i="2"/>
  <c r="EO46" i="2"/>
  <c r="EO195" i="2"/>
  <c r="EO160" i="2"/>
  <c r="EO82" i="2"/>
  <c r="EO148" i="2"/>
  <c r="EO113" i="2"/>
  <c r="EO109" i="2"/>
  <c r="EO87" i="2"/>
  <c r="EO73" i="2"/>
  <c r="EO120" i="2"/>
  <c r="EO170" i="2"/>
  <c r="EO145" i="2"/>
  <c r="EO75" i="2"/>
  <c r="EO18" i="2"/>
  <c r="EO200" i="2"/>
  <c r="EO38" i="2"/>
  <c r="EO116" i="2"/>
  <c r="EO158" i="2"/>
  <c r="EO85" i="2"/>
  <c r="EO111" i="2"/>
  <c r="EO137" i="2"/>
  <c r="EO59" i="2"/>
  <c r="EO58" i="2"/>
  <c r="EO101" i="2"/>
  <c r="EO122" i="2"/>
  <c r="EO190" i="2"/>
  <c r="EO124" i="2"/>
  <c r="EO96" i="2"/>
  <c r="EO198" i="2"/>
  <c r="EO69" i="2"/>
  <c r="EO172" i="2"/>
  <c r="EO132" i="2"/>
  <c r="EO176" i="2"/>
  <c r="EO102" i="2"/>
  <c r="EO3" i="2"/>
  <c r="C12" i="4" s="1"/>
  <c r="E12" i="4" s="1"/>
  <c r="F12" i="4" s="1"/>
  <c r="G12" i="4" s="1"/>
  <c r="L12" i="4" s="1"/>
  <c r="EO150" i="2"/>
  <c r="EO54" i="2"/>
  <c r="EO27" i="2"/>
  <c r="EO123" i="2"/>
  <c r="EO74" i="2"/>
  <c r="EO51" i="2"/>
  <c r="EO5" i="2"/>
  <c r="EO135" i="2"/>
  <c r="EO136" i="2"/>
  <c r="EO166" i="2"/>
  <c r="EO52" i="2"/>
  <c r="EO105" i="2"/>
  <c r="EO184" i="2"/>
  <c r="EO173" i="2"/>
  <c r="EO57" i="2"/>
  <c r="EO191" i="2"/>
  <c r="EO121" i="2"/>
  <c r="EO19" i="2"/>
  <c r="EO13" i="2"/>
  <c r="EO93" i="2"/>
  <c r="EO183" i="2"/>
  <c r="EO146" i="2"/>
  <c r="EO23" i="2"/>
  <c r="EO197" i="2"/>
  <c r="EO171" i="2"/>
  <c r="EO112" i="2"/>
  <c r="EO70" i="2"/>
  <c r="EO80" i="2"/>
  <c r="EO37" i="2"/>
  <c r="EO95" i="2"/>
  <c r="EO203" i="2"/>
  <c r="EO103" i="2"/>
  <c r="EO115" i="2"/>
  <c r="EO8" i="2"/>
  <c r="EO65" i="2"/>
  <c r="EO118" i="2"/>
  <c r="EO24" i="2"/>
  <c r="EO159" i="2"/>
  <c r="EO89" i="2"/>
  <c r="EO110" i="2"/>
  <c r="EO62" i="2"/>
  <c r="EO66" i="2"/>
  <c r="EO152" i="2"/>
  <c r="EO201" i="2"/>
  <c r="EO78" i="2"/>
  <c r="EO26" i="2"/>
  <c r="EO90" i="2"/>
  <c r="EO76" i="2"/>
  <c r="EO130" i="2"/>
  <c r="EO99" i="2"/>
  <c r="EO185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<sst xmlns="http://schemas.openxmlformats.org/spreadsheetml/2006/main" count="1177" uniqueCount="324">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</sst>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145.00665050019282</c:v>
                </c:pt>
                <c:pt idx="27">
                  <c:v>157.83692263801234</c:v>
                </c:pt>
                <c:pt idx="28">
                  <c:v>170.6424524976421</c:v>
                </c:pt>
                <c:pt idx="29">
                  <c:v>183.42535972935536</c:v>
                </c:pt>
                <c:pt idx="30">
                  <c:v>196.18744401776075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231.45994723108012</c:v>
                </c:pt>
                <c:pt idx="37">
                  <c:v>246.69319751240889</c:v>
                </c:pt>
                <c:pt idx="38">
                  <c:v>261.90509392198993</c:v>
                </c:pt>
                <c:pt idx="39">
                  <c:v>277.0970514904804</c:v>
                </c:pt>
                <c:pt idx="40">
                  <c:v>292.27031736625912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307.06534562328858</c:v>
                </c:pt>
                <c:pt idx="47">
                  <c:v>321.84453817650837</c:v>
                </c:pt>
                <c:pt idx="48">
                  <c:v>336.60872461695169</c:v>
                </c:pt>
                <c:pt idx="49">
                  <c:v>351.35865581477151</c:v>
                </c:pt>
                <c:pt idx="50">
                  <c:v>366.09501444973074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376.1513920342295</c:v>
                </c:pt>
                <c:pt idx="57">
                  <c:v>389.79000290566495</c:v>
                </c:pt>
                <c:pt idx="58">
                  <c:v>403.41826063463105</c:v>
                </c:pt>
                <c:pt idx="59">
                  <c:v>417.03656422780779</c:v>
                </c:pt>
                <c:pt idx="60">
                  <c:v>430.64528450788231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432.07723822137638</c:v>
                </c:pt>
                <c:pt idx="67">
                  <c:v>444.24476695077215</c:v>
                </c:pt>
                <c:pt idx="68">
                  <c:v>456.40515882712975</c:v>
                </c:pt>
                <c:pt idx="69">
                  <c:v>468.55863080015001</c:v>
                </c:pt>
                <c:pt idx="70">
                  <c:v>480.70538764731208</c:v>
                </c:pt>
                <c:pt idx="71">
                  <c:v>416.67831216352141</c:v>
                </c:pt>
                <c:pt idx="72">
                  <c:v>427.7810696781832</c:v>
                </c:pt>
                <c:pt idx="73">
                  <c:v>438.87763264294864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471.77459416013545</c:v>
                </c:pt>
                <c:pt idx="77">
                  <c:v>482.4911208700949</c:v>
                </c:pt>
                <c:pt idx="78">
                  <c:v>493.20259187340275</c:v>
                </c:pt>
                <c:pt idx="79">
                  <c:v>503.90913245527832</c:v>
                </c:pt>
                <c:pt idx="80">
                  <c:v>514.61086214265538</c:v>
                </c:pt>
                <c:pt idx="81">
                  <c:v>449.61051233832995</c:v>
                </c:pt>
                <c:pt idx="82">
                  <c:v>459.62291917328042</c:v>
                </c:pt>
                <c:pt idx="83">
                  <c:v>469.6306706784556</c:v>
                </c:pt>
                <c:pt idx="84">
                  <c:v>479.63388006306309</c:v>
                </c:pt>
                <c:pt idx="85">
                  <c:v>489.6326554281622</c:v>
                </c:pt>
                <c:pt idx="86">
                  <c:v>499.62710009899462</c:v>
                </c:pt>
                <c:pt idx="87">
                  <c:v>509.61731292933632</c:v>
                </c:pt>
                <c:pt idx="88">
                  <c:v>519.60338858074306</c:v>
                </c:pt>
                <c:pt idx="89">
                  <c:v>529.58541777921107</c:v>
                </c:pt>
                <c:pt idx="90">
                  <c:v>539.56348755148178</c:v>
                </c:pt>
                <c:pt idx="91">
                  <c:v>473.38240056334689</c:v>
                </c:pt>
                <c:pt idx="92">
                  <c:v>482.13398547834095</c:v>
                </c:pt>
                <c:pt idx="93">
                  <c:v>490.88219577778773</c:v>
                </c:pt>
                <c:pt idx="94">
                  <c:v>499.62710009899462</c:v>
                </c:pt>
                <c:pt idx="95">
                  <c:v>508.36876447997855</c:v>
                </c:pt>
                <c:pt idx="96">
                  <c:v>517.10725250186931</c:v>
                </c:pt>
                <c:pt idx="97">
                  <c:v>525.84262542118813</c:v>
                </c:pt>
                <c:pt idx="98">
                  <c:v>534.57494229287533</c:v>
                </c:pt>
                <c:pt idx="99">
                  <c:v>543.30426008486279</c:v>
                </c:pt>
                <c:pt idx="100">
                  <c:v>552.03063378489958</c:v>
                </c:pt>
                <c:pt idx="101">
                  <c:v>484.99091160498818</c:v>
                </c:pt>
                <c:pt idx="102">
                  <c:v>492.84562295362815</c:v>
                </c:pt>
                <c:pt idx="103">
                  <c:v>500.69768075588348</c:v>
                </c:pt>
                <c:pt idx="104">
                  <c:v>508.54713250848886</c:v>
                </c:pt>
                <c:pt idx="105">
                  <c:v>516.39402412186962</c:v>
                </c:pt>
                <c:pt idx="106">
                  <c:v>524.2383999969461</c:v>
                </c:pt>
                <c:pt idx="107">
                  <c:v>532.08030309710023</c:v>
                </c:pt>
                <c:pt idx="108">
                  <c:v>539.91977501567897</c:v>
                </c:pt>
                <c:pt idx="109">
                  <c:v>547.75685603937313</c:v>
                </c:pt>
                <c:pt idx="110">
                  <c:v>555.59158520777794</c:v>
                </c:pt>
                <c:pt idx="111">
                  <c:v>492.66713643818139</c:v>
                </c:pt>
                <c:pt idx="112">
                  <c:v>499.27022909127487</c:v>
                </c:pt>
                <c:pt idx="113">
                  <c:v>505.87147293953734</c:v>
                </c:pt>
                <c:pt idx="114">
                  <c:v>512.47089552301156</c:v>
                </c:pt>
                <c:pt idx="115">
                  <c:v>519.06852361425183</c:v>
                </c:pt>
                <c:pt idx="116">
                  <c:v>525.66438324941146</c:v>
                </c:pt>
                <c:pt idx="117">
                  <c:v>532.25849975768563</c:v>
                </c:pt>
                <c:pt idx="118">
                  <c:v>538.85089778922088</c:v>
                </c:pt>
                <c:pt idx="119">
                  <c:v>545.44160134158631</c:v>
                </c:pt>
                <c:pt idx="120">
                  <c:v>552.0306337848989</c:v>
                </c:pt>
                <c:pt idx="121">
                  <c:v>495.34429051823003</c:v>
                </c:pt>
                <c:pt idx="122">
                  <c:v>501.05453020073833</c:v>
                </c:pt>
                <c:pt idx="123">
                  <c:v>506.76339263133724</c:v>
                </c:pt>
                <c:pt idx="124">
                  <c:v>512.47089552301134</c:v>
                </c:pt>
                <c:pt idx="125">
                  <c:v>518.17705616178876</c:v>
                </c:pt>
                <c:pt idx="126">
                  <c:v>523.88189142172769</c:v>
                </c:pt>
                <c:pt idx="127">
                  <c:v>529.58541777920993</c:v>
                </c:pt>
                <c:pt idx="128">
                  <c:v>535.28765132659282</c:v>
                </c:pt>
                <c:pt idx="129">
                  <c:v>540.98860778524329</c:v>
                </c:pt>
                <c:pt idx="130">
                  <c:v>546.68830251799761</c:v>
                </c:pt>
                <c:pt idx="131">
                  <c:v>496.23660698450158</c:v>
                </c:pt>
                <c:pt idx="132">
                  <c:v>501.0545302007381</c:v>
                </c:pt>
                <c:pt idx="133">
                  <c:v>505.87147293953677</c:v>
                </c:pt>
                <c:pt idx="134">
                  <c:v>510.68744586077599</c:v>
                </c:pt>
                <c:pt idx="135">
                  <c:v>515.50245940674063</c:v>
                </c:pt>
                <c:pt idx="136">
                  <c:v>520.31652380860351</c:v>
                </c:pt>
                <c:pt idx="137">
                  <c:v>525.12964909264781</c:v>
                </c:pt>
                <c:pt idx="138">
                  <c:v>529.94184508625449</c:v>
                </c:pt>
                <c:pt idx="139">
                  <c:v>534.75312142365681</c:v>
                </c:pt>
                <c:pt idx="140">
                  <c:v>539.56348755148042</c:v>
                </c:pt>
                <c:pt idx="141">
                  <c:v>495.70122118881187</c:v>
                </c:pt>
                <c:pt idx="142">
                  <c:v>499.98396570940122</c:v>
                </c:pt>
                <c:pt idx="143">
                  <c:v>504.26593363931647</c:v>
                </c:pt>
                <c:pt idx="144">
                  <c:v>508.54713250848772</c:v>
                </c:pt>
                <c:pt idx="145">
                  <c:v>512.82756970962453</c:v>
                </c:pt>
                <c:pt idx="146">
                  <c:v>517.10725250186795</c:v>
                </c:pt>
                <c:pt idx="147">
                  <c:v>521.38618801431301</c:v>
                </c:pt>
                <c:pt idx="148">
                  <c:v>525.66438324941055</c:v>
                </c:pt>
                <c:pt idx="149">
                  <c:v>529.94184508625403</c:v>
                </c:pt>
                <c:pt idx="150">
                  <c:v>534.21858028375061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5952240"/>
        <c:axId val="-2025953872"/>
      </c:scatterChart>
      <c:valAx>
        <c:axId val="-2025952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953872"/>
        <c:crosses val="autoZero"/>
        <c:crossBetween val="midCat"/>
      </c:valAx>
      <c:valAx>
        <c:axId val="-202595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95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5331744"/>
        <c:axId val="-2025326304"/>
      </c:scatterChart>
      <c:valAx>
        <c:axId val="-2025331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326304"/>
        <c:crosses val="autoZero"/>
        <c:crossBetween val="midCat"/>
      </c:valAx>
      <c:valAx>
        <c:axId val="-202532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331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167.22993767644601</c:v>
                </c:pt>
                <c:pt idx="22">
                  <c:v>180.87049769568827</c:v>
                </c:pt>
                <c:pt idx="23">
                  <c:v>194.48697803189245</c:v>
                </c:pt>
                <c:pt idx="24">
                  <c:v>208.08130286734146</c:v>
                </c:pt>
                <c:pt idx="25">
                  <c:v>221.65512417668984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245.08225003541108</c:v>
                </c:pt>
                <c:pt idx="32">
                  <c:v>257.19884285520715</c:v>
                </c:pt>
                <c:pt idx="33">
                  <c:v>269.30253071627453</c:v>
                </c:pt>
                <c:pt idx="34">
                  <c:v>281.39397560428034</c:v>
                </c:pt>
                <c:pt idx="35">
                  <c:v>293.47377793906497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291.22722867703152</c:v>
                </c:pt>
                <c:pt idx="42">
                  <c:v>301.61432492529298</c:v>
                </c:pt>
                <c:pt idx="43">
                  <c:v>311.99345994696824</c:v>
                </c:pt>
                <c:pt idx="44">
                  <c:v>322.36493607230227</c:v>
                </c:pt>
                <c:pt idx="45">
                  <c:v>332.72903457884462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317.88089480903892</c:v>
                </c:pt>
                <c:pt idx="52">
                  <c:v>326.84759797683068</c:v>
                </c:pt>
                <c:pt idx="53">
                  <c:v>335.80886953875768</c:v>
                </c:pt>
                <c:pt idx="54">
                  <c:v>344.76487498038233</c:v>
                </c:pt>
                <c:pt idx="55">
                  <c:v>353.71577048208877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335.80886953875768</c:v>
                </c:pt>
                <c:pt idx="62">
                  <c:v>343.08601778170447</c:v>
                </c:pt>
                <c:pt idx="63">
                  <c:v>350.35977394062758</c:v>
                </c:pt>
                <c:pt idx="64">
                  <c:v>357.63021843517214</c:v>
                </c:pt>
                <c:pt idx="65">
                  <c:v>364.89742814550777</c:v>
                </c:pt>
                <c:pt idx="66">
                  <c:v>312.83467185841931</c:v>
                </c:pt>
                <c:pt idx="67">
                  <c:v>319.56257332567844</c:v>
                </c:pt>
                <c:pt idx="68">
                  <c:v>326.28733992743037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346.16378539221341</c:v>
                </c:pt>
                <c:pt idx="72">
                  <c:v>352.59718287003494</c:v>
                </c:pt>
                <c:pt idx="73">
                  <c:v>359.02800767063667</c:v>
                </c:pt>
                <c:pt idx="74">
                  <c:v>365.45631242252267</c:v>
                </c:pt>
                <c:pt idx="75">
                  <c:v>371.88214774985971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354.83428056807537</c:v>
                </c:pt>
                <c:pt idx="82">
                  <c:v>360.14615329066834</c:v>
                </c:pt>
                <c:pt idx="83">
                  <c:v>365.45631242252267</c:v>
                </c:pt>
                <c:pt idx="84">
                  <c:v>370.76478640470532</c:v>
                </c:pt>
                <c:pt idx="85">
                  <c:v>376.0716027964873</c:v>
                </c:pt>
                <c:pt idx="86">
                  <c:v>381.0976082607811</c:v>
                </c:pt>
                <c:pt idx="87">
                  <c:v>386.12217206095738</c:v>
                </c:pt>
                <c:pt idx="88">
                  <c:v>391.14531562543885</c:v>
                </c:pt>
                <c:pt idx="89">
                  <c:v>396.16705978676401</c:v>
                </c:pt>
                <c:pt idx="90">
                  <c:v>401.18742480567101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5953328"/>
        <c:axId val="-2022048480"/>
      </c:scatterChart>
      <c:valAx>
        <c:axId val="-2025953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48480"/>
        <c:crosses val="autoZero"/>
        <c:crossBetween val="midCat"/>
      </c:valAx>
      <c:valAx>
        <c:axId val="-202204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953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2.059299625439059</c:v>
                </c:pt>
                <c:pt idx="2">
                  <c:v>2.5631490552489224</c:v>
                </c:pt>
                <c:pt idx="3">
                  <c:v>3.1907575421655068</c:v>
                </c:pt>
                <c:pt idx="4">
                  <c:v>3.972635492295312</c:v>
                </c:pt>
                <c:pt idx="5">
                  <c:v>4.9468409052332136</c:v>
                </c:pt>
                <c:pt idx="6">
                  <c:v>6.1608524298468161</c:v>
                </c:pt>
                <c:pt idx="7">
                  <c:v>7.673908613844187</c:v>
                </c:pt>
                <c:pt idx="8">
                  <c:v>9.5599296925347588</c:v>
                </c:pt>
                <c:pt idx="9">
                  <c:v>11.911167369074306</c:v>
                </c:pt>
                <c:pt idx="10">
                  <c:v>14.842764443415049</c:v>
                </c:pt>
                <c:pt idx="11">
                  <c:v>18.498451683695013</c:v>
                </c:pt>
                <c:pt idx="12">
                  <c:v>23.057666296912391</c:v>
                </c:pt>
                <c:pt idx="13">
                  <c:v>28.744447618276066</c:v>
                </c:pt>
                <c:pt idx="14">
                  <c:v>35.838554796967067</c:v>
                </c:pt>
                <c:pt idx="15">
                  <c:v>44.689362812583909</c:v>
                </c:pt>
                <c:pt idx="16">
                  <c:v>55.733232748311231</c:v>
                </c:pt>
                <c:pt idx="17">
                  <c:v>69.515226931876853</c:v>
                </c:pt>
                <c:pt idx="18">
                  <c:v>86.716258171398479</c:v>
                </c:pt>
                <c:pt idx="19">
                  <c:v>108.18703592715815</c:v>
                </c:pt>
                <c:pt idx="20">
                  <c:v>134.99051473121605</c:v>
                </c:pt>
                <c:pt idx="21">
                  <c:v>75.106139619906443</c:v>
                </c:pt>
                <c:pt idx="22">
                  <c:v>89.746706436515694</c:v>
                </c:pt>
                <c:pt idx="23">
                  <c:v>104.3272941810082</c:v>
                </c:pt>
                <c:pt idx="24">
                  <c:v>118.85748997118363</c:v>
                </c:pt>
                <c:pt idx="25">
                  <c:v>133.34433344211197</c:v>
                </c:pt>
                <c:pt idx="26">
                  <c:v>147.79320404174845</c:v>
                </c:pt>
                <c:pt idx="27">
                  <c:v>162.20834057141184</c:v>
                </c:pt>
                <c:pt idx="28">
                  <c:v>176.59316531401487</c:v>
                </c:pt>
                <c:pt idx="29">
                  <c:v>190.95049654731417</c:v>
                </c:pt>
                <c:pt idx="30">
                  <c:v>205.28269356734697</c:v>
                </c:pt>
                <c:pt idx="31">
                  <c:v>216.25896183985853</c:v>
                </c:pt>
                <c:pt idx="32">
                  <c:v>227.22241767290214</c:v>
                </c:pt>
                <c:pt idx="33">
                  <c:v>238.17376682993768</c:v>
                </c:pt>
                <c:pt idx="34">
                  <c:v>249.11364481597573</c:v>
                </c:pt>
                <c:pt idx="35">
                  <c:v>260.04262671698189</c:v>
                </c:pt>
                <c:pt idx="36">
                  <c:v>270.96123529691698</c:v>
                </c:pt>
                <c:pt idx="37">
                  <c:v>281.86994772018772</c:v>
                </c:pt>
                <c:pt idx="38">
                  <c:v>292.7692011781333</c:v>
                </c:pt>
                <c:pt idx="39">
                  <c:v>303.659397633217</c:v>
                </c:pt>
                <c:pt idx="40">
                  <c:v>314.54090784661207</c:v>
                </c:pt>
                <c:pt idx="41">
                  <c:v>145.7684799383367</c:v>
                </c:pt>
                <c:pt idx="42">
                  <c:v>163.29836706023542</c:v>
                </c:pt>
                <c:pt idx="43">
                  <c:v>180.78374378845038</c:v>
                </c:pt>
                <c:pt idx="44">
                  <c:v>198.22952330955923</c:v>
                </c:pt>
                <c:pt idx="45">
                  <c:v>215.63968200938768</c:v>
                </c:pt>
                <c:pt idx="46">
                  <c:v>233.01750101249687</c:v>
                </c:pt>
                <c:pt idx="47">
                  <c:v>250.36573167724194</c:v>
                </c:pt>
                <c:pt idx="48">
                  <c:v>267.68671271122554</c:v>
                </c:pt>
                <c:pt idx="49">
                  <c:v>284.98245533148872</c:v>
                </c:pt>
                <c:pt idx="50">
                  <c:v>302.25470663909709</c:v>
                </c:pt>
                <c:pt idx="51">
                  <c:v>236.38349204501648</c:v>
                </c:pt>
                <c:pt idx="52">
                  <c:v>248.81735550888095</c:v>
                </c:pt>
                <c:pt idx="53">
                  <c:v>261.23712560010279</c:v>
                </c:pt>
                <c:pt idx="54">
                  <c:v>273.64356702742066</c:v>
                </c:pt>
                <c:pt idx="55">
                  <c:v>286.03736945996593</c:v>
                </c:pt>
                <c:pt idx="56">
                  <c:v>298.41915789277482</c:v>
                </c:pt>
                <c:pt idx="57">
                  <c:v>310.78950120078446</c:v>
                </c:pt>
                <c:pt idx="58">
                  <c:v>323.14891925888026</c:v>
                </c:pt>
                <c:pt idx="59">
                  <c:v>335.49788891514845</c:v>
                </c:pt>
                <c:pt idx="60">
                  <c:v>347.83684903831903</c:v>
                </c:pt>
                <c:pt idx="61">
                  <c:v>357.19933732983412</c:v>
                </c:pt>
                <c:pt idx="62">
                  <c:v>366.55645469361872</c:v>
                </c:pt>
                <c:pt idx="63">
                  <c:v>375.9083576406224</c:v>
                </c:pt>
                <c:pt idx="64">
                  <c:v>385.25519425482179</c:v>
                </c:pt>
                <c:pt idx="65">
                  <c:v>394.59710484482639</c:v>
                </c:pt>
                <c:pt idx="66">
                  <c:v>403.93422253053865</c:v>
                </c:pt>
                <c:pt idx="67">
                  <c:v>413.26667377272298</c:v>
                </c:pt>
                <c:pt idx="68">
                  <c:v>422.59457885222963</c:v>
                </c:pt>
                <c:pt idx="69">
                  <c:v>431.91805230469055</c:v>
                </c:pt>
                <c:pt idx="70">
                  <c:v>441.23720331571639</c:v>
                </c:pt>
                <c:pt idx="71">
                  <c:v>449.50767757631553</c:v>
                </c:pt>
                <c:pt idx="72">
                  <c:v>457.77489658252875</c:v>
                </c:pt>
                <c:pt idx="73">
                  <c:v>466.03892743829942</c:v>
                </c:pt>
                <c:pt idx="74">
                  <c:v>474.29983467263992</c:v>
                </c:pt>
                <c:pt idx="75">
                  <c:v>482.55768038254035</c:v>
                </c:pt>
                <c:pt idx="76">
                  <c:v>490.8125243655831</c:v>
                </c:pt>
                <c:pt idx="77">
                  <c:v>499.06442424316856</c:v>
                </c:pt>
                <c:pt idx="78">
                  <c:v>507.31343557516715</c:v>
                </c:pt>
                <c:pt idx="79">
                  <c:v>515.5596119667224</c:v>
                </c:pt>
                <c:pt idx="80">
                  <c:v>523.80300516786735</c:v>
                </c:pt>
                <c:pt idx="81">
                  <c:v>1.1334929971951436E-12</c:v>
                </c:pt>
                <c:pt idx="82">
                  <c:v>1.1334929971951436E-12</c:v>
                </c:pt>
                <c:pt idx="83">
                  <c:v>1.1334929971951436E-12</c:v>
                </c:pt>
                <c:pt idx="84">
                  <c:v>1.1334929971951436E-12</c:v>
                </c:pt>
                <c:pt idx="85">
                  <c:v>1.1334929971951436E-12</c:v>
                </c:pt>
                <c:pt idx="86">
                  <c:v>1.1334929971951436E-12</c:v>
                </c:pt>
                <c:pt idx="87">
                  <c:v>1.1334929971951436E-12</c:v>
                </c:pt>
                <c:pt idx="88">
                  <c:v>1.1334929971951436E-12</c:v>
                </c:pt>
                <c:pt idx="89">
                  <c:v>1.1334929971951436E-12</c:v>
                </c:pt>
                <c:pt idx="90">
                  <c:v>1.1334929971951436E-12</c:v>
                </c:pt>
                <c:pt idx="91">
                  <c:v>1.1334929971951436E-12</c:v>
                </c:pt>
                <c:pt idx="92">
                  <c:v>1.1334929971951436E-12</c:v>
                </c:pt>
                <c:pt idx="93">
                  <c:v>1.1334929971951436E-12</c:v>
                </c:pt>
                <c:pt idx="94">
                  <c:v>1.1334929971951436E-12</c:v>
                </c:pt>
                <c:pt idx="95">
                  <c:v>1.1334929971951436E-12</c:v>
                </c:pt>
                <c:pt idx="96">
                  <c:v>1.1334929971951436E-12</c:v>
                </c:pt>
                <c:pt idx="97">
                  <c:v>1.1334929971951436E-12</c:v>
                </c:pt>
                <c:pt idx="98">
                  <c:v>1.1334929971951436E-12</c:v>
                </c:pt>
                <c:pt idx="99">
                  <c:v>1.1334929971951436E-12</c:v>
                </c:pt>
                <c:pt idx="100">
                  <c:v>1.1334929971951436E-12</c:v>
                </c:pt>
                <c:pt idx="101">
                  <c:v>1.1334929971951436E-12</c:v>
                </c:pt>
                <c:pt idx="102">
                  <c:v>1.1334929971951436E-12</c:v>
                </c:pt>
                <c:pt idx="103">
                  <c:v>1.1334929971951436E-12</c:v>
                </c:pt>
                <c:pt idx="104">
                  <c:v>1.1334929971951436E-12</c:v>
                </c:pt>
                <c:pt idx="105">
                  <c:v>1.1334929971951436E-12</c:v>
                </c:pt>
                <c:pt idx="106">
                  <c:v>1.1334929971951436E-12</c:v>
                </c:pt>
                <c:pt idx="107">
                  <c:v>1.1334929971951436E-12</c:v>
                </c:pt>
                <c:pt idx="108">
                  <c:v>1.1334929971951436E-12</c:v>
                </c:pt>
                <c:pt idx="109">
                  <c:v>1.1334929971951436E-12</c:v>
                </c:pt>
                <c:pt idx="110">
                  <c:v>1.1334929971951436E-12</c:v>
                </c:pt>
                <c:pt idx="111">
                  <c:v>1.1334929971951436E-12</c:v>
                </c:pt>
                <c:pt idx="112">
                  <c:v>1.1334929971951436E-12</c:v>
                </c:pt>
                <c:pt idx="113">
                  <c:v>1.1334929971951436E-12</c:v>
                </c:pt>
                <c:pt idx="114">
                  <c:v>1.1334929971951436E-12</c:v>
                </c:pt>
                <c:pt idx="115">
                  <c:v>1.1334929971951436E-12</c:v>
                </c:pt>
                <c:pt idx="116">
                  <c:v>1.1334929971951436E-12</c:v>
                </c:pt>
                <c:pt idx="117">
                  <c:v>1.1334929971951436E-12</c:v>
                </c:pt>
                <c:pt idx="118">
                  <c:v>1.1334929971951436E-12</c:v>
                </c:pt>
                <c:pt idx="119">
                  <c:v>1.1334929971951436E-12</c:v>
                </c:pt>
                <c:pt idx="120">
                  <c:v>1.1334929971951436E-12</c:v>
                </c:pt>
                <c:pt idx="121">
                  <c:v>1.1334929971951436E-12</c:v>
                </c:pt>
                <c:pt idx="122">
                  <c:v>1.1334929971951436E-12</c:v>
                </c:pt>
                <c:pt idx="123">
                  <c:v>1.1334929971951436E-12</c:v>
                </c:pt>
                <c:pt idx="124">
                  <c:v>1.1334929971951436E-12</c:v>
                </c:pt>
                <c:pt idx="125">
                  <c:v>1.1334929971951436E-12</c:v>
                </c:pt>
                <c:pt idx="126">
                  <c:v>1.1334929971951436E-12</c:v>
                </c:pt>
                <c:pt idx="127">
                  <c:v>1.1334929971951436E-12</c:v>
                </c:pt>
                <c:pt idx="128">
                  <c:v>1.1334929971951436E-12</c:v>
                </c:pt>
                <c:pt idx="129">
                  <c:v>1.1334929971951436E-12</c:v>
                </c:pt>
                <c:pt idx="130">
                  <c:v>1.1334929971951436E-12</c:v>
                </c:pt>
                <c:pt idx="131">
                  <c:v>1.1334929971951436E-12</c:v>
                </c:pt>
                <c:pt idx="132">
                  <c:v>1.1334929971951436E-12</c:v>
                </c:pt>
                <c:pt idx="133">
                  <c:v>1.1334929971951436E-12</c:v>
                </c:pt>
                <c:pt idx="134">
                  <c:v>1.1334929971951436E-12</c:v>
                </c:pt>
                <c:pt idx="135">
                  <c:v>1.1334929971951436E-12</c:v>
                </c:pt>
                <c:pt idx="136">
                  <c:v>1.1334929971951436E-12</c:v>
                </c:pt>
                <c:pt idx="137">
                  <c:v>1.1334929971951436E-12</c:v>
                </c:pt>
                <c:pt idx="138">
                  <c:v>1.1334929971951436E-12</c:v>
                </c:pt>
                <c:pt idx="139">
                  <c:v>1.1334929971951436E-12</c:v>
                </c:pt>
                <c:pt idx="140">
                  <c:v>1.1334929971951436E-12</c:v>
                </c:pt>
                <c:pt idx="141">
                  <c:v>1.1334929971951436E-12</c:v>
                </c:pt>
                <c:pt idx="142">
                  <c:v>1.1334929971951436E-12</c:v>
                </c:pt>
                <c:pt idx="143">
                  <c:v>1.1334929971951436E-12</c:v>
                </c:pt>
                <c:pt idx="144">
                  <c:v>1.1334929971951436E-12</c:v>
                </c:pt>
                <c:pt idx="145">
                  <c:v>1.1334929971951436E-12</c:v>
                </c:pt>
                <c:pt idx="146">
                  <c:v>1.1334929971951436E-12</c:v>
                </c:pt>
                <c:pt idx="147">
                  <c:v>1.1334929971951436E-12</c:v>
                </c:pt>
                <c:pt idx="148">
                  <c:v>1.1334929971951436E-12</c:v>
                </c:pt>
                <c:pt idx="149">
                  <c:v>1.1334929971951436E-12</c:v>
                </c:pt>
                <c:pt idx="150">
                  <c:v>1.1334929971951436E-12</c:v>
                </c:pt>
                <c:pt idx="151">
                  <c:v>1.1334929971951436E-12</c:v>
                </c:pt>
                <c:pt idx="152">
                  <c:v>1.1334929971951436E-12</c:v>
                </c:pt>
                <c:pt idx="153">
                  <c:v>1.1334929971951436E-12</c:v>
                </c:pt>
                <c:pt idx="154">
                  <c:v>1.1334929971951436E-12</c:v>
                </c:pt>
                <c:pt idx="155">
                  <c:v>1.1334929971951436E-12</c:v>
                </c:pt>
                <c:pt idx="156">
                  <c:v>1.1334929971951436E-12</c:v>
                </c:pt>
                <c:pt idx="157">
                  <c:v>1.1334929971951436E-12</c:v>
                </c:pt>
                <c:pt idx="158">
                  <c:v>1.1334929971951436E-12</c:v>
                </c:pt>
                <c:pt idx="159">
                  <c:v>1.1334929971951436E-12</c:v>
                </c:pt>
                <c:pt idx="160">
                  <c:v>1.1334929971951436E-12</c:v>
                </c:pt>
                <c:pt idx="161">
                  <c:v>1.1334929971951436E-12</c:v>
                </c:pt>
                <c:pt idx="162">
                  <c:v>1.1334929971951436E-12</c:v>
                </c:pt>
                <c:pt idx="163">
                  <c:v>1.1334929971951436E-12</c:v>
                </c:pt>
                <c:pt idx="164">
                  <c:v>1.1334929971951436E-12</c:v>
                </c:pt>
                <c:pt idx="165">
                  <c:v>1.1334929971951436E-12</c:v>
                </c:pt>
                <c:pt idx="166">
                  <c:v>1.1334929971951436E-12</c:v>
                </c:pt>
                <c:pt idx="167">
                  <c:v>1.1334929971951436E-12</c:v>
                </c:pt>
                <c:pt idx="168">
                  <c:v>1.1334929971951436E-12</c:v>
                </c:pt>
                <c:pt idx="169">
                  <c:v>1.1334929971951436E-12</c:v>
                </c:pt>
                <c:pt idx="170">
                  <c:v>1.1334929971951436E-12</c:v>
                </c:pt>
                <c:pt idx="171">
                  <c:v>1.1334929971951436E-12</c:v>
                </c:pt>
                <c:pt idx="172">
                  <c:v>1.1334929971951436E-12</c:v>
                </c:pt>
                <c:pt idx="173">
                  <c:v>1.1334929971951436E-12</c:v>
                </c:pt>
                <c:pt idx="174">
                  <c:v>1.1334929971951436E-12</c:v>
                </c:pt>
                <c:pt idx="175">
                  <c:v>1.1334929971951436E-12</c:v>
                </c:pt>
                <c:pt idx="176">
                  <c:v>1.1334929971951436E-12</c:v>
                </c:pt>
                <c:pt idx="177">
                  <c:v>1.1334929971951436E-12</c:v>
                </c:pt>
                <c:pt idx="178">
                  <c:v>1.1334929971951436E-12</c:v>
                </c:pt>
                <c:pt idx="179">
                  <c:v>1.1334929971951436E-12</c:v>
                </c:pt>
                <c:pt idx="180">
                  <c:v>1.1334929971951436E-12</c:v>
                </c:pt>
                <c:pt idx="181">
                  <c:v>1.1334929971951436E-12</c:v>
                </c:pt>
                <c:pt idx="182">
                  <c:v>1.1334929971951436E-12</c:v>
                </c:pt>
                <c:pt idx="183">
                  <c:v>1.1334929971951436E-12</c:v>
                </c:pt>
                <c:pt idx="184">
                  <c:v>1.1334929971951436E-12</c:v>
                </c:pt>
                <c:pt idx="185">
                  <c:v>1.1334929971951436E-12</c:v>
                </c:pt>
                <c:pt idx="186">
                  <c:v>1.1334929971951436E-12</c:v>
                </c:pt>
                <c:pt idx="187">
                  <c:v>1.1334929971951436E-12</c:v>
                </c:pt>
                <c:pt idx="188">
                  <c:v>1.1334929971951436E-12</c:v>
                </c:pt>
                <c:pt idx="189">
                  <c:v>1.1334929971951436E-12</c:v>
                </c:pt>
                <c:pt idx="190">
                  <c:v>1.1334929971951436E-12</c:v>
                </c:pt>
                <c:pt idx="191">
                  <c:v>1.1334929971951436E-12</c:v>
                </c:pt>
                <c:pt idx="192">
                  <c:v>1.1334929971951436E-12</c:v>
                </c:pt>
                <c:pt idx="193">
                  <c:v>1.1334929971951436E-12</c:v>
                </c:pt>
                <c:pt idx="194">
                  <c:v>1.1334929971951436E-12</c:v>
                </c:pt>
                <c:pt idx="195">
                  <c:v>1.1334929971951436E-12</c:v>
                </c:pt>
                <c:pt idx="196">
                  <c:v>1.1334929971951436E-12</c:v>
                </c:pt>
                <c:pt idx="197">
                  <c:v>1.1334929971951436E-12</c:v>
                </c:pt>
                <c:pt idx="198">
                  <c:v>1.1334929971951436E-12</c:v>
                </c:pt>
                <c:pt idx="199">
                  <c:v>1.1334929971951436E-12</c:v>
                </c:pt>
                <c:pt idx="200">
                  <c:v>1.1334929971951436E-12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2051200"/>
        <c:axId val="-2022050656"/>
      </c:scatterChart>
      <c:valAx>
        <c:axId val="-2022051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0656"/>
        <c:crosses val="autoZero"/>
        <c:crossBetween val="midCat"/>
      </c:valAx>
      <c:valAx>
        <c:axId val="-202205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1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2050112"/>
        <c:axId val="-2022047936"/>
      </c:scatterChart>
      <c:valAx>
        <c:axId val="-2022050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47936"/>
        <c:crosses val="autoZero"/>
        <c:crossBetween val="midCat"/>
      </c:valAx>
      <c:valAx>
        <c:axId val="-202204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0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167.22993767644601</c:v>
                </c:pt>
                <c:pt idx="22">
                  <c:v>180.87049769568827</c:v>
                </c:pt>
                <c:pt idx="23">
                  <c:v>194.48697803189245</c:v>
                </c:pt>
                <c:pt idx="24">
                  <c:v>208.08130286734146</c:v>
                </c:pt>
                <c:pt idx="25">
                  <c:v>221.65512417668984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245.08225003541108</c:v>
                </c:pt>
                <c:pt idx="32">
                  <c:v>257.19884285520715</c:v>
                </c:pt>
                <c:pt idx="33">
                  <c:v>269.30253071627453</c:v>
                </c:pt>
                <c:pt idx="34">
                  <c:v>281.39397560428034</c:v>
                </c:pt>
                <c:pt idx="35">
                  <c:v>293.47377793906497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291.22722867703152</c:v>
                </c:pt>
                <c:pt idx="42">
                  <c:v>301.61432492529298</c:v>
                </c:pt>
                <c:pt idx="43">
                  <c:v>311.99345994696824</c:v>
                </c:pt>
                <c:pt idx="44">
                  <c:v>322.36493607230227</c:v>
                </c:pt>
                <c:pt idx="45">
                  <c:v>332.72903457884462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317.88089480903892</c:v>
                </c:pt>
                <c:pt idx="52">
                  <c:v>326.84759797683068</c:v>
                </c:pt>
                <c:pt idx="53">
                  <c:v>335.80886953875768</c:v>
                </c:pt>
                <c:pt idx="54">
                  <c:v>344.76487498038233</c:v>
                </c:pt>
                <c:pt idx="55">
                  <c:v>353.71577048208877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335.80886953875768</c:v>
                </c:pt>
                <c:pt idx="62">
                  <c:v>343.08601778170447</c:v>
                </c:pt>
                <c:pt idx="63">
                  <c:v>350.35977394062758</c:v>
                </c:pt>
                <c:pt idx="64">
                  <c:v>357.63021843517214</c:v>
                </c:pt>
                <c:pt idx="65">
                  <c:v>364.89742814550777</c:v>
                </c:pt>
                <c:pt idx="66">
                  <c:v>312.83467185841931</c:v>
                </c:pt>
                <c:pt idx="67">
                  <c:v>319.56257332567844</c:v>
                </c:pt>
                <c:pt idx="68">
                  <c:v>326.28733992743037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346.16378539221341</c:v>
                </c:pt>
                <c:pt idx="72">
                  <c:v>352.59718287003494</c:v>
                </c:pt>
                <c:pt idx="73">
                  <c:v>359.02800767063667</c:v>
                </c:pt>
                <c:pt idx="74">
                  <c:v>365.45631242252267</c:v>
                </c:pt>
                <c:pt idx="75">
                  <c:v>371.88214774985971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354.83428056807537</c:v>
                </c:pt>
                <c:pt idx="82">
                  <c:v>360.14615329066834</c:v>
                </c:pt>
                <c:pt idx="83">
                  <c:v>365.45631242252267</c:v>
                </c:pt>
                <c:pt idx="84">
                  <c:v>370.76478640470532</c:v>
                </c:pt>
                <c:pt idx="85">
                  <c:v>376.0716027964873</c:v>
                </c:pt>
                <c:pt idx="86">
                  <c:v>381.0976082607811</c:v>
                </c:pt>
                <c:pt idx="87">
                  <c:v>386.12217206095738</c:v>
                </c:pt>
                <c:pt idx="88">
                  <c:v>391.14531562543885</c:v>
                </c:pt>
                <c:pt idx="89">
                  <c:v>396.16705978676401</c:v>
                </c:pt>
                <c:pt idx="90">
                  <c:v>401.18742480567101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2052832"/>
        <c:axId val="-2022049568"/>
      </c:scatterChart>
      <c:valAx>
        <c:axId val="-2022052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49568"/>
        <c:crosses val="autoZero"/>
        <c:crossBetween val="midCat"/>
      </c:valAx>
      <c:valAx>
        <c:axId val="-202204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2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2.5708162246500397</c:v>
                </c:pt>
                <c:pt idx="2">
                  <c:v>4.4125406740735231</c:v>
                </c:pt>
                <c:pt idx="3">
                  <c:v>7.5804553094750355</c:v>
                </c:pt>
                <c:pt idx="4">
                  <c:v>13.034082328228541</c:v>
                </c:pt>
                <c:pt idx="5">
                  <c:v>22.430222085100116</c:v>
                </c:pt>
                <c:pt idx="6">
                  <c:v>38.631687122162631</c:v>
                </c:pt>
                <c:pt idx="7">
                  <c:v>52.739914150537551</c:v>
                </c:pt>
                <c:pt idx="8">
                  <c:v>66.747759383258497</c:v>
                </c:pt>
                <c:pt idx="9">
                  <c:v>81.088239825166127</c:v>
                </c:pt>
                <c:pt idx="10">
                  <c:v>95.364365343803399</c:v>
                </c:pt>
                <c:pt idx="11">
                  <c:v>90.068534442551311</c:v>
                </c:pt>
                <c:pt idx="12">
                  <c:v>104.31008102569727</c:v>
                </c:pt>
                <c:pt idx="13">
                  <c:v>117.69366494649201</c:v>
                </c:pt>
                <c:pt idx="14">
                  <c:v>131.04007650197033</c:v>
                </c:pt>
                <c:pt idx="15">
                  <c:v>123.76454033399916</c:v>
                </c:pt>
                <c:pt idx="16">
                  <c:v>136.69204936000293</c:v>
                </c:pt>
                <c:pt idx="17">
                  <c:v>148.38211041053111</c:v>
                </c:pt>
                <c:pt idx="18">
                  <c:v>160.05019051000008</c:v>
                </c:pt>
                <c:pt idx="19">
                  <c:v>150.3953616466753</c:v>
                </c:pt>
                <c:pt idx="20">
                  <c:v>161.65796169885408</c:v>
                </c:pt>
                <c:pt idx="21">
                  <c:v>172.09943224172855</c:v>
                </c:pt>
                <c:pt idx="22">
                  <c:v>182.52600246834663</c:v>
                </c:pt>
                <c:pt idx="23">
                  <c:v>171.29678443241201</c:v>
                </c:pt>
                <c:pt idx="24">
                  <c:v>180.92284423714656</c:v>
                </c:pt>
                <c:pt idx="25">
                  <c:v>190.13656035305181</c:v>
                </c:pt>
                <c:pt idx="26">
                  <c:v>199.33987700455995</c:v>
                </c:pt>
                <c:pt idx="27">
                  <c:v>188.53493826431713</c:v>
                </c:pt>
                <c:pt idx="28">
                  <c:v>196.93998275479782</c:v>
                </c:pt>
                <c:pt idx="29">
                  <c:v>205.3367007281488</c:v>
                </c:pt>
                <c:pt idx="30">
                  <c:v>213.72548110879916</c:v>
                </c:pt>
                <c:pt idx="31">
                  <c:v>202.93846475981786</c:v>
                </c:pt>
                <c:pt idx="32">
                  <c:v>210.53066787839077</c:v>
                </c:pt>
                <c:pt idx="33">
                  <c:v>217.71745295973855</c:v>
                </c:pt>
                <c:pt idx="34">
                  <c:v>224.89878506085304</c:v>
                </c:pt>
                <c:pt idx="35">
                  <c:v>214.52401180818211</c:v>
                </c:pt>
                <c:pt idx="36">
                  <c:v>221.7077420544671</c:v>
                </c:pt>
                <c:pt idx="37">
                  <c:v>228.08879040528896</c:v>
                </c:pt>
                <c:pt idx="38">
                  <c:v>234.46575399556863</c:v>
                </c:pt>
                <c:pt idx="39">
                  <c:v>240.44056055905693</c:v>
                </c:pt>
                <c:pt idx="40">
                  <c:v>246.41198740811831</c:v>
                </c:pt>
                <c:pt idx="41">
                  <c:v>1.9175159164745509E-12</c:v>
                </c:pt>
                <c:pt idx="42">
                  <c:v>1.9175159164745509E-12</c:v>
                </c:pt>
                <c:pt idx="43">
                  <c:v>1.9175159164745509E-12</c:v>
                </c:pt>
                <c:pt idx="44">
                  <c:v>1.9175159164745509E-12</c:v>
                </c:pt>
                <c:pt idx="45">
                  <c:v>1.9175159164745509E-12</c:v>
                </c:pt>
                <c:pt idx="46">
                  <c:v>1.9175159164745509E-12</c:v>
                </c:pt>
                <c:pt idx="47">
                  <c:v>1.9175159164745509E-12</c:v>
                </c:pt>
                <c:pt idx="48">
                  <c:v>1.9175159164745509E-12</c:v>
                </c:pt>
                <c:pt idx="49">
                  <c:v>1.9175159164745509E-12</c:v>
                </c:pt>
                <c:pt idx="50">
                  <c:v>1.9175159164745509E-12</c:v>
                </c:pt>
                <c:pt idx="51">
                  <c:v>1.9175159164745509E-12</c:v>
                </c:pt>
                <c:pt idx="52">
                  <c:v>1.9175159164745509E-12</c:v>
                </c:pt>
                <c:pt idx="53">
                  <c:v>1.9175159164745509E-12</c:v>
                </c:pt>
                <c:pt idx="54">
                  <c:v>1.9175159164745509E-12</c:v>
                </c:pt>
                <c:pt idx="55">
                  <c:v>1.9175159164745509E-12</c:v>
                </c:pt>
                <c:pt idx="56">
                  <c:v>1.9175159164745509E-12</c:v>
                </c:pt>
                <c:pt idx="57">
                  <c:v>1.9175159164745509E-12</c:v>
                </c:pt>
                <c:pt idx="58">
                  <c:v>1.9175159164745509E-12</c:v>
                </c:pt>
                <c:pt idx="59">
                  <c:v>1.9175159164745509E-12</c:v>
                </c:pt>
                <c:pt idx="60">
                  <c:v>1.9175159164745509E-12</c:v>
                </c:pt>
                <c:pt idx="61">
                  <c:v>1.9175159164745509E-12</c:v>
                </c:pt>
                <c:pt idx="62">
                  <c:v>1.9175159164745509E-12</c:v>
                </c:pt>
                <c:pt idx="63">
                  <c:v>1.9175159164745509E-12</c:v>
                </c:pt>
                <c:pt idx="64">
                  <c:v>1.9175159164745509E-12</c:v>
                </c:pt>
                <c:pt idx="65">
                  <c:v>1.9175159164745509E-12</c:v>
                </c:pt>
                <c:pt idx="66">
                  <c:v>1.9175159164745509E-12</c:v>
                </c:pt>
                <c:pt idx="67">
                  <c:v>1.9175159164745509E-12</c:v>
                </c:pt>
                <c:pt idx="68">
                  <c:v>1.9175159164745509E-12</c:v>
                </c:pt>
                <c:pt idx="69">
                  <c:v>1.9175159164745509E-12</c:v>
                </c:pt>
                <c:pt idx="70">
                  <c:v>1.9175159164745509E-12</c:v>
                </c:pt>
                <c:pt idx="71">
                  <c:v>1.9175159164745509E-12</c:v>
                </c:pt>
                <c:pt idx="72">
                  <c:v>1.9175159164745509E-12</c:v>
                </c:pt>
                <c:pt idx="73">
                  <c:v>1.9175159164745509E-12</c:v>
                </c:pt>
                <c:pt idx="74">
                  <c:v>1.9175159164745509E-12</c:v>
                </c:pt>
                <c:pt idx="75">
                  <c:v>1.9175159164745509E-12</c:v>
                </c:pt>
                <c:pt idx="76">
                  <c:v>1.9175159164745509E-12</c:v>
                </c:pt>
                <c:pt idx="77">
                  <c:v>1.9175159164745509E-12</c:v>
                </c:pt>
                <c:pt idx="78">
                  <c:v>1.9175159164745509E-12</c:v>
                </c:pt>
                <c:pt idx="79">
                  <c:v>1.9175159164745509E-12</c:v>
                </c:pt>
                <c:pt idx="80">
                  <c:v>1.9175159164745509E-12</c:v>
                </c:pt>
                <c:pt idx="81">
                  <c:v>1.9175159164745509E-12</c:v>
                </c:pt>
                <c:pt idx="82">
                  <c:v>1.9175159164745509E-12</c:v>
                </c:pt>
                <c:pt idx="83">
                  <c:v>1.9175159164745509E-12</c:v>
                </c:pt>
                <c:pt idx="84">
                  <c:v>1.9175159164745509E-12</c:v>
                </c:pt>
                <c:pt idx="85">
                  <c:v>1.9175159164745509E-12</c:v>
                </c:pt>
                <c:pt idx="86">
                  <c:v>1.9175159164745509E-12</c:v>
                </c:pt>
                <c:pt idx="87">
                  <c:v>1.9175159164745509E-12</c:v>
                </c:pt>
                <c:pt idx="88">
                  <c:v>1.9175159164745509E-12</c:v>
                </c:pt>
                <c:pt idx="89">
                  <c:v>1.9175159164745509E-12</c:v>
                </c:pt>
                <c:pt idx="90">
                  <c:v>1.9175159164745509E-12</c:v>
                </c:pt>
                <c:pt idx="91">
                  <c:v>1.9175159164745509E-12</c:v>
                </c:pt>
                <c:pt idx="92">
                  <c:v>1.9175159164745509E-12</c:v>
                </c:pt>
                <c:pt idx="93">
                  <c:v>1.9175159164745509E-12</c:v>
                </c:pt>
                <c:pt idx="94">
                  <c:v>1.9175159164745509E-12</c:v>
                </c:pt>
                <c:pt idx="95">
                  <c:v>1.9175159164745509E-12</c:v>
                </c:pt>
                <c:pt idx="96">
                  <c:v>1.9175159164745509E-12</c:v>
                </c:pt>
                <c:pt idx="97">
                  <c:v>1.9175159164745509E-12</c:v>
                </c:pt>
                <c:pt idx="98">
                  <c:v>1.9175159164745509E-12</c:v>
                </c:pt>
                <c:pt idx="99">
                  <c:v>1.9175159164745509E-12</c:v>
                </c:pt>
                <c:pt idx="100">
                  <c:v>1.9175159164745509E-12</c:v>
                </c:pt>
                <c:pt idx="101">
                  <c:v>1.9175159164745509E-12</c:v>
                </c:pt>
                <c:pt idx="102">
                  <c:v>1.9175159164745509E-12</c:v>
                </c:pt>
                <c:pt idx="103">
                  <c:v>1.9175159164745509E-12</c:v>
                </c:pt>
                <c:pt idx="104">
                  <c:v>1.9175159164745509E-12</c:v>
                </c:pt>
                <c:pt idx="105">
                  <c:v>1.9175159164745509E-12</c:v>
                </c:pt>
                <c:pt idx="106">
                  <c:v>1.9175159164745509E-12</c:v>
                </c:pt>
                <c:pt idx="107">
                  <c:v>1.9175159164745509E-12</c:v>
                </c:pt>
                <c:pt idx="108">
                  <c:v>1.9175159164745509E-12</c:v>
                </c:pt>
                <c:pt idx="109">
                  <c:v>1.9175159164745509E-12</c:v>
                </c:pt>
                <c:pt idx="110">
                  <c:v>1.9175159164745509E-12</c:v>
                </c:pt>
                <c:pt idx="111">
                  <c:v>1.9175159164745509E-12</c:v>
                </c:pt>
                <c:pt idx="112">
                  <c:v>1.9175159164745509E-12</c:v>
                </c:pt>
                <c:pt idx="113">
                  <c:v>1.9175159164745509E-12</c:v>
                </c:pt>
                <c:pt idx="114">
                  <c:v>1.9175159164745509E-12</c:v>
                </c:pt>
                <c:pt idx="115">
                  <c:v>1.9175159164745509E-12</c:v>
                </c:pt>
                <c:pt idx="116">
                  <c:v>1.9175159164745509E-12</c:v>
                </c:pt>
                <c:pt idx="117">
                  <c:v>1.9175159164745509E-12</c:v>
                </c:pt>
                <c:pt idx="118">
                  <c:v>1.9175159164745509E-12</c:v>
                </c:pt>
                <c:pt idx="119">
                  <c:v>1.9175159164745509E-12</c:v>
                </c:pt>
                <c:pt idx="120">
                  <c:v>1.9175159164745509E-12</c:v>
                </c:pt>
                <c:pt idx="121">
                  <c:v>1.9175159164745509E-12</c:v>
                </c:pt>
                <c:pt idx="122">
                  <c:v>1.9175159164745509E-12</c:v>
                </c:pt>
                <c:pt idx="123">
                  <c:v>1.9175159164745509E-12</c:v>
                </c:pt>
                <c:pt idx="124">
                  <c:v>1.9175159164745509E-12</c:v>
                </c:pt>
                <c:pt idx="125">
                  <c:v>1.9175159164745509E-12</c:v>
                </c:pt>
                <c:pt idx="126">
                  <c:v>1.9175159164745509E-12</c:v>
                </c:pt>
                <c:pt idx="127">
                  <c:v>1.9175159164745509E-12</c:v>
                </c:pt>
                <c:pt idx="128">
                  <c:v>1.9175159164745509E-12</c:v>
                </c:pt>
                <c:pt idx="129">
                  <c:v>1.9175159164745509E-12</c:v>
                </c:pt>
                <c:pt idx="130">
                  <c:v>1.9175159164745509E-12</c:v>
                </c:pt>
                <c:pt idx="131">
                  <c:v>1.9175159164745509E-12</c:v>
                </c:pt>
                <c:pt idx="132">
                  <c:v>1.9175159164745509E-12</c:v>
                </c:pt>
                <c:pt idx="133">
                  <c:v>1.9175159164745509E-12</c:v>
                </c:pt>
                <c:pt idx="134">
                  <c:v>1.9175159164745509E-12</c:v>
                </c:pt>
                <c:pt idx="135">
                  <c:v>1.9175159164745509E-12</c:v>
                </c:pt>
                <c:pt idx="136">
                  <c:v>1.9175159164745509E-12</c:v>
                </c:pt>
                <c:pt idx="137">
                  <c:v>1.9175159164745509E-12</c:v>
                </c:pt>
                <c:pt idx="138">
                  <c:v>1.9175159164745509E-12</c:v>
                </c:pt>
                <c:pt idx="139">
                  <c:v>1.9175159164745509E-12</c:v>
                </c:pt>
                <c:pt idx="140">
                  <c:v>1.9175159164745509E-12</c:v>
                </c:pt>
                <c:pt idx="141">
                  <c:v>1.9175159164745509E-12</c:v>
                </c:pt>
                <c:pt idx="142">
                  <c:v>1.9175159164745509E-12</c:v>
                </c:pt>
                <c:pt idx="143">
                  <c:v>1.9175159164745509E-12</c:v>
                </c:pt>
                <c:pt idx="144">
                  <c:v>1.9175159164745509E-12</c:v>
                </c:pt>
                <c:pt idx="145">
                  <c:v>1.9175159164745509E-12</c:v>
                </c:pt>
                <c:pt idx="146">
                  <c:v>1.9175159164745509E-12</c:v>
                </c:pt>
                <c:pt idx="147">
                  <c:v>1.9175159164745509E-12</c:v>
                </c:pt>
                <c:pt idx="148">
                  <c:v>1.9175159164745509E-12</c:v>
                </c:pt>
                <c:pt idx="149">
                  <c:v>1.9175159164745509E-12</c:v>
                </c:pt>
                <c:pt idx="150">
                  <c:v>1.9175159164745509E-12</c:v>
                </c:pt>
                <c:pt idx="151">
                  <c:v>1.9175159164745509E-12</c:v>
                </c:pt>
                <c:pt idx="152">
                  <c:v>1.9175159164745509E-12</c:v>
                </c:pt>
                <c:pt idx="153">
                  <c:v>1.9175159164745509E-12</c:v>
                </c:pt>
                <c:pt idx="154">
                  <c:v>1.9175159164745509E-12</c:v>
                </c:pt>
                <c:pt idx="155">
                  <c:v>1.9175159164745509E-12</c:v>
                </c:pt>
                <c:pt idx="156">
                  <c:v>1.9175159164745509E-12</c:v>
                </c:pt>
                <c:pt idx="157">
                  <c:v>1.9175159164745509E-12</c:v>
                </c:pt>
                <c:pt idx="158">
                  <c:v>1.9175159164745509E-12</c:v>
                </c:pt>
                <c:pt idx="159">
                  <c:v>1.9175159164745509E-12</c:v>
                </c:pt>
                <c:pt idx="160">
                  <c:v>1.9175159164745509E-12</c:v>
                </c:pt>
                <c:pt idx="161">
                  <c:v>1.9175159164745509E-12</c:v>
                </c:pt>
                <c:pt idx="162">
                  <c:v>1.9175159164745509E-12</c:v>
                </c:pt>
                <c:pt idx="163">
                  <c:v>1.9175159164745509E-12</c:v>
                </c:pt>
                <c:pt idx="164">
                  <c:v>1.9175159164745509E-12</c:v>
                </c:pt>
                <c:pt idx="165">
                  <c:v>1.9175159164745509E-12</c:v>
                </c:pt>
                <c:pt idx="166">
                  <c:v>1.9175159164745509E-12</c:v>
                </c:pt>
                <c:pt idx="167">
                  <c:v>1.9175159164745509E-12</c:v>
                </c:pt>
                <c:pt idx="168">
                  <c:v>1.9175159164745509E-12</c:v>
                </c:pt>
                <c:pt idx="169">
                  <c:v>1.9175159164745509E-12</c:v>
                </c:pt>
                <c:pt idx="170">
                  <c:v>1.9175159164745509E-12</c:v>
                </c:pt>
                <c:pt idx="171">
                  <c:v>1.9175159164745509E-12</c:v>
                </c:pt>
                <c:pt idx="172">
                  <c:v>1.9175159164745509E-12</c:v>
                </c:pt>
                <c:pt idx="173">
                  <c:v>1.9175159164745509E-12</c:v>
                </c:pt>
                <c:pt idx="174">
                  <c:v>1.9175159164745509E-12</c:v>
                </c:pt>
                <c:pt idx="175">
                  <c:v>1.9175159164745509E-12</c:v>
                </c:pt>
                <c:pt idx="176">
                  <c:v>1.9175159164745509E-12</c:v>
                </c:pt>
                <c:pt idx="177">
                  <c:v>1.9175159164745509E-12</c:v>
                </c:pt>
                <c:pt idx="178">
                  <c:v>1.9175159164745509E-12</c:v>
                </c:pt>
                <c:pt idx="179">
                  <c:v>1.9175159164745509E-12</c:v>
                </c:pt>
                <c:pt idx="180">
                  <c:v>1.9175159164745509E-12</c:v>
                </c:pt>
                <c:pt idx="181">
                  <c:v>1.9175159164745509E-12</c:v>
                </c:pt>
                <c:pt idx="182">
                  <c:v>1.9175159164745509E-12</c:v>
                </c:pt>
                <c:pt idx="183">
                  <c:v>1.9175159164745509E-12</c:v>
                </c:pt>
                <c:pt idx="184">
                  <c:v>1.9175159164745509E-12</c:v>
                </c:pt>
                <c:pt idx="185">
                  <c:v>1.9175159164745509E-12</c:v>
                </c:pt>
                <c:pt idx="186">
                  <c:v>1.9175159164745509E-12</c:v>
                </c:pt>
                <c:pt idx="187">
                  <c:v>1.9175159164745509E-12</c:v>
                </c:pt>
                <c:pt idx="188">
                  <c:v>1.9175159164745509E-12</c:v>
                </c:pt>
                <c:pt idx="189">
                  <c:v>1.9175159164745509E-12</c:v>
                </c:pt>
                <c:pt idx="190">
                  <c:v>1.9175159164745509E-12</c:v>
                </c:pt>
                <c:pt idx="191">
                  <c:v>1.9175159164745509E-12</c:v>
                </c:pt>
                <c:pt idx="192">
                  <c:v>1.9175159164745509E-12</c:v>
                </c:pt>
                <c:pt idx="193">
                  <c:v>1.9175159164745509E-12</c:v>
                </c:pt>
                <c:pt idx="194">
                  <c:v>1.9175159164745509E-12</c:v>
                </c:pt>
                <c:pt idx="195">
                  <c:v>1.9175159164745509E-12</c:v>
                </c:pt>
                <c:pt idx="196">
                  <c:v>1.9175159164745509E-12</c:v>
                </c:pt>
                <c:pt idx="197">
                  <c:v>1.9175159164745509E-12</c:v>
                </c:pt>
                <c:pt idx="198">
                  <c:v>1.9175159164745509E-12</c:v>
                </c:pt>
                <c:pt idx="199">
                  <c:v>1.9175159164745509E-12</c:v>
                </c:pt>
                <c:pt idx="200">
                  <c:v>1.9175159164745509E-12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2049024"/>
        <c:axId val="-2022047392"/>
      </c:scatterChart>
      <c:valAx>
        <c:axId val="-2022049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47392"/>
        <c:crosses val="autoZero"/>
        <c:crossBetween val="midCat"/>
      </c:valAx>
      <c:valAx>
        <c:axId val="-202204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49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2.4588818814673044</c:v>
                </c:pt>
                <c:pt idx="2">
                  <c:v>2.803228802291704</c:v>
                </c:pt>
                <c:pt idx="3">
                  <c:v>3.1959710997528603</c:v>
                </c:pt>
                <c:pt idx="4">
                  <c:v>3.6439332874270431</c:v>
                </c:pt>
                <c:pt idx="5">
                  <c:v>4.1549052773589841</c:v>
                </c:pt>
                <c:pt idx="6">
                  <c:v>4.7377793462617648</c:v>
                </c:pt>
                <c:pt idx="7">
                  <c:v>5.4027065865476773</c:v>
                </c:pt>
                <c:pt idx="8">
                  <c:v>6.1612756210210895</c:v>
                </c:pt>
                <c:pt idx="9">
                  <c:v>7.0267167572725642</c:v>
                </c:pt>
                <c:pt idx="10">
                  <c:v>8.0141352119172691</c:v>
                </c:pt>
                <c:pt idx="11">
                  <c:v>9.1407775539846572</c:v>
                </c:pt>
                <c:pt idx="12">
                  <c:v>10.426336110329641</c:v>
                </c:pt>
                <c:pt idx="13">
                  <c:v>11.893296754579206</c:v>
                </c:pt>
                <c:pt idx="14">
                  <c:v>13.567336277070206</c:v>
                </c:pt>
                <c:pt idx="15">
                  <c:v>15.477776420448906</c:v>
                </c:pt>
                <c:pt idx="16">
                  <c:v>17.658102680075974</c:v>
                </c:pt>
                <c:pt idx="17">
                  <c:v>20.146557128397426</c:v>
                </c:pt>
                <c:pt idx="18">
                  <c:v>22.986815848919587</c:v>
                </c:pt>
                <c:pt idx="19">
                  <c:v>26.228763082292243</c:v>
                </c:pt>
                <c:pt idx="20">
                  <c:v>29.929375921631351</c:v>
                </c:pt>
                <c:pt idx="21">
                  <c:v>34.153735377915019</c:v>
                </c:pt>
                <c:pt idx="22">
                  <c:v>38.976181904887525</c:v>
                </c:pt>
                <c:pt idx="23">
                  <c:v>44.481636067390205</c:v>
                </c:pt>
                <c:pt idx="24">
                  <c:v>50.767108004292602</c:v>
                </c:pt>
                <c:pt idx="25">
                  <c:v>57.94342273086675</c:v>
                </c:pt>
                <c:pt idx="26">
                  <c:v>66.937646369182985</c:v>
                </c:pt>
                <c:pt idx="27">
                  <c:v>75.900680081276448</c:v>
                </c:pt>
                <c:pt idx="28">
                  <c:v>84.836736904624345</c:v>
                </c:pt>
                <c:pt idx="29">
                  <c:v>93.749065724160445</c:v>
                </c:pt>
                <c:pt idx="30">
                  <c:v>102.64024490689751</c:v>
                </c:pt>
                <c:pt idx="31">
                  <c:v>111.88165312292686</c:v>
                </c:pt>
                <c:pt idx="32">
                  <c:v>121.10433338993421</c:v>
                </c:pt>
                <c:pt idx="33">
                  <c:v>130.30991517841122</c:v>
                </c:pt>
                <c:pt idx="34">
                  <c:v>139.49977841647276</c:v>
                </c:pt>
                <c:pt idx="35">
                  <c:v>148.67510600285962</c:v>
                </c:pt>
                <c:pt idx="36">
                  <c:v>134.72293427467449</c:v>
                </c:pt>
                <c:pt idx="37">
                  <c:v>144.63968374624491</c:v>
                </c:pt>
                <c:pt idx="38">
                  <c:v>154.54016621622662</c:v>
                </c:pt>
                <c:pt idx="39">
                  <c:v>164.42557192716174</c:v>
                </c:pt>
                <c:pt idx="40">
                  <c:v>174.29693608669695</c:v>
                </c:pt>
                <c:pt idx="41">
                  <c:v>184.15516689410643</c:v>
                </c:pt>
                <c:pt idx="42">
                  <c:v>194.0010672384883</c:v>
                </c:pt>
                <c:pt idx="43">
                  <c:v>203.83535175303987</c:v>
                </c:pt>
                <c:pt idx="44">
                  <c:v>213.65866040016559</c:v>
                </c:pt>
                <c:pt idx="45">
                  <c:v>223.47156942353163</c:v>
                </c:pt>
                <c:pt idx="46">
                  <c:v>184.52004510097308</c:v>
                </c:pt>
                <c:pt idx="47">
                  <c:v>194.72992283695331</c:v>
                </c:pt>
                <c:pt idx="48">
                  <c:v>204.92736145569245</c:v>
                </c:pt>
                <c:pt idx="49">
                  <c:v>215.11306775077469</c:v>
                </c:pt>
                <c:pt idx="50">
                  <c:v>225.28767604319731</c:v>
                </c:pt>
                <c:pt idx="51">
                  <c:v>235.45175862156557</c:v>
                </c:pt>
                <c:pt idx="52">
                  <c:v>245.60583428289272</c:v>
                </c:pt>
                <c:pt idx="53">
                  <c:v>255.75037538544552</c:v>
                </c:pt>
                <c:pt idx="54">
                  <c:v>265.88581372283562</c:v>
                </c:pt>
                <c:pt idx="55">
                  <c:v>276.01254545472335</c:v>
                </c:pt>
                <c:pt idx="56">
                  <c:v>235.08893092626957</c:v>
                </c:pt>
                <c:pt idx="57">
                  <c:v>244.88086471160253</c:v>
                </c:pt>
                <c:pt idx="58">
                  <c:v>254.66390297591647</c:v>
                </c:pt>
                <c:pt idx="59">
                  <c:v>264.43843589912387</c:v>
                </c:pt>
                <c:pt idx="60">
                  <c:v>274.20482243650343</c:v>
                </c:pt>
                <c:pt idx="61">
                  <c:v>283.96339386484851</c:v>
                </c:pt>
                <c:pt idx="62">
                  <c:v>293.71445681525722</c:v>
                </c:pt>
                <c:pt idx="63">
                  <c:v>303.45829588181317</c:v>
                </c:pt>
                <c:pt idx="64">
                  <c:v>313.1951758774631</c:v>
                </c:pt>
                <c:pt idx="65">
                  <c:v>322.92534379451837</c:v>
                </c:pt>
                <c:pt idx="66">
                  <c:v>281.43412679667938</c:v>
                </c:pt>
                <c:pt idx="67">
                  <c:v>290.46491877892998</c:v>
                </c:pt>
                <c:pt idx="68">
                  <c:v>299.48943829674124</c:v>
                </c:pt>
                <c:pt idx="69">
                  <c:v>308.50790116084818</c:v>
                </c:pt>
                <c:pt idx="70">
                  <c:v>317.52050952469813</c:v>
                </c:pt>
                <c:pt idx="71">
                  <c:v>326.52745312032278</c:v>
                </c:pt>
                <c:pt idx="72">
                  <c:v>335.52891035063624</c:v>
                </c:pt>
                <c:pt idx="73">
                  <c:v>344.52504925832596</c:v>
                </c:pt>
                <c:pt idx="74">
                  <c:v>353.51602838820554</c:v>
                </c:pt>
                <c:pt idx="75">
                  <c:v>362.50199755720973</c:v>
                </c:pt>
                <c:pt idx="76">
                  <c:v>320.40333904330794</c:v>
                </c:pt>
                <c:pt idx="77">
                  <c:v>328.68829671248773</c:v>
                </c:pt>
                <c:pt idx="78">
                  <c:v>336.96864573818112</c:v>
                </c:pt>
                <c:pt idx="79">
                  <c:v>345.24451543018563</c:v>
                </c:pt>
                <c:pt idx="80">
                  <c:v>353.51602838820554</c:v>
                </c:pt>
                <c:pt idx="81">
                  <c:v>361.42394102064713</c:v>
                </c:pt>
                <c:pt idx="82">
                  <c:v>369.3280709788653</c:v>
                </c:pt>
                <c:pt idx="83">
                  <c:v>377.22851069525564</c:v>
                </c:pt>
                <c:pt idx="84">
                  <c:v>385.1253484118152</c:v>
                </c:pt>
                <c:pt idx="85">
                  <c:v>393.01866845402566</c:v>
                </c:pt>
                <c:pt idx="86">
                  <c:v>350.27986069423019</c:v>
                </c:pt>
                <c:pt idx="87">
                  <c:v>357.82990992286085</c:v>
                </c:pt>
                <c:pt idx="88">
                  <c:v>365.37647295541751</c:v>
                </c:pt>
                <c:pt idx="89">
                  <c:v>372.91963201098383</c:v>
                </c:pt>
                <c:pt idx="90">
                  <c:v>380.45946570848531</c:v>
                </c:pt>
                <c:pt idx="91">
                  <c:v>387.27841746168315</c:v>
                </c:pt>
                <c:pt idx="92">
                  <c:v>394.09476222315919</c:v>
                </c:pt>
                <c:pt idx="93">
                  <c:v>400.90855148157749</c:v>
                </c:pt>
                <c:pt idx="94">
                  <c:v>407.71983483122631</c:v>
                </c:pt>
                <c:pt idx="95">
                  <c:v>414.52866007289913</c:v>
                </c:pt>
                <c:pt idx="96">
                  <c:v>370.40561895427601</c:v>
                </c:pt>
                <c:pt idx="97">
                  <c:v>376.51043904290128</c:v>
                </c:pt>
                <c:pt idx="98">
                  <c:v>382.61310373857185</c:v>
                </c:pt>
                <c:pt idx="99">
                  <c:v>388.71365230312944</c:v>
                </c:pt>
                <c:pt idx="100">
                  <c:v>394.81212266433744</c:v>
                </c:pt>
                <c:pt idx="101">
                  <c:v>400.90855148157766</c:v>
                </c:pt>
                <c:pt idx="102">
                  <c:v>407.00297420734074</c:v>
                </c:pt>
                <c:pt idx="103">
                  <c:v>413.09542514483906</c:v>
                </c:pt>
                <c:pt idx="104">
                  <c:v>419.18593750204087</c:v>
                </c:pt>
                <c:pt idx="105">
                  <c:v>425.27454344239999</c:v>
                </c:pt>
                <c:pt idx="106">
                  <c:v>380.4594657084856</c:v>
                </c:pt>
                <c:pt idx="107">
                  <c:v>385.84306708196362</c:v>
                </c:pt>
                <c:pt idx="108">
                  <c:v>391.22503672598032</c:v>
                </c:pt>
                <c:pt idx="109">
                  <c:v>396.60540027844399</c:v>
                </c:pt>
                <c:pt idx="110">
                  <c:v>401.98418262418699</c:v>
                </c:pt>
                <c:pt idx="111">
                  <c:v>407.36140792709404</c:v>
                </c:pt>
                <c:pt idx="112">
                  <c:v>412.73709966044316</c:v>
                </c:pt>
                <c:pt idx="113">
                  <c:v>418.1112806355834</c:v>
                </c:pt>
                <c:pt idx="114">
                  <c:v>423.48397302905914</c:v>
                </c:pt>
                <c:pt idx="115">
                  <c:v>428.85519840828596</c:v>
                </c:pt>
                <c:pt idx="116">
                  <c:v>386.56075674473306</c:v>
                </c:pt>
                <c:pt idx="117">
                  <c:v>390.86628899650549</c:v>
                </c:pt>
                <c:pt idx="118">
                  <c:v>395.17079228552598</c:v>
                </c:pt>
                <c:pt idx="119">
                  <c:v>399.47427941517623</c:v>
                </c:pt>
                <c:pt idx="120">
                  <c:v>403.77676289014693</c:v>
                </c:pt>
                <c:pt idx="121">
                  <c:v>408.07825492658679</c:v>
                </c:pt>
                <c:pt idx="122">
                  <c:v>412.37876746180046</c:v>
                </c:pt>
                <c:pt idx="123">
                  <c:v>416.67831216352187</c:v>
                </c:pt>
                <c:pt idx="124">
                  <c:v>420.97690043878237</c:v>
                </c:pt>
                <c:pt idx="125">
                  <c:v>425.27454344240005</c:v>
                </c:pt>
                <c:pt idx="126">
                  <c:v>387.63723698464611</c:v>
                </c:pt>
                <c:pt idx="127">
                  <c:v>391.22503672598037</c:v>
                </c:pt>
                <c:pt idx="128">
                  <c:v>394.81212266433749</c:v>
                </c:pt>
                <c:pt idx="129">
                  <c:v>398.39850220884699</c:v>
                </c:pt>
                <c:pt idx="130">
                  <c:v>401.9841826241871</c:v>
                </c:pt>
                <c:pt idx="131">
                  <c:v>405.56917103469505</c:v>
                </c:pt>
                <c:pt idx="132">
                  <c:v>409.15347442832194</c:v>
                </c:pt>
                <c:pt idx="133">
                  <c:v>412.73709966044333</c:v>
                </c:pt>
                <c:pt idx="134">
                  <c:v>416.32005345753009</c:v>
                </c:pt>
                <c:pt idx="135">
                  <c:v>419.90234242068618</c:v>
                </c:pt>
                <c:pt idx="136">
                  <c:v>388.47445449897367</c:v>
                </c:pt>
                <c:pt idx="137">
                  <c:v>391.10545494295928</c:v>
                </c:pt>
                <c:pt idx="138">
                  <c:v>393.73607138846927</c:v>
                </c:pt>
                <c:pt idx="139">
                  <c:v>396.36630676700338</c:v>
                </c:pt>
                <c:pt idx="140">
                  <c:v>398.99616396792368</c:v>
                </c:pt>
                <c:pt idx="141">
                  <c:v>401.62564583934039</c:v>
                </c:pt>
                <c:pt idx="142">
                  <c:v>404.25475518897309</c:v>
                </c:pt>
                <c:pt idx="143">
                  <c:v>406.88349478498867</c:v>
                </c:pt>
                <c:pt idx="144">
                  <c:v>409.51186735681671</c:v>
                </c:pt>
                <c:pt idx="145">
                  <c:v>412.13987559594187</c:v>
                </c:pt>
                <c:pt idx="146">
                  <c:v>414.76752215667631</c:v>
                </c:pt>
                <c:pt idx="147">
                  <c:v>417.3948096569099</c:v>
                </c:pt>
                <c:pt idx="148">
                  <c:v>420.02174067884221</c:v>
                </c:pt>
                <c:pt idx="149">
                  <c:v>422.64831776969385</c:v>
                </c:pt>
                <c:pt idx="150">
                  <c:v>425.27454344240005</c:v>
                </c:pt>
                <c:pt idx="151">
                  <c:v>4.4212233574902864E-12</c:v>
                </c:pt>
                <c:pt idx="152">
                  <c:v>4.4212233574902864E-12</c:v>
                </c:pt>
                <c:pt idx="153">
                  <c:v>4.4212233574902864E-12</c:v>
                </c:pt>
                <c:pt idx="154">
                  <c:v>4.4212233574902864E-12</c:v>
                </c:pt>
                <c:pt idx="155">
                  <c:v>4.4212233574902864E-12</c:v>
                </c:pt>
                <c:pt idx="156">
                  <c:v>4.4212233574902864E-12</c:v>
                </c:pt>
                <c:pt idx="157">
                  <c:v>4.4212233574902864E-12</c:v>
                </c:pt>
                <c:pt idx="158">
                  <c:v>4.4212233574902864E-12</c:v>
                </c:pt>
                <c:pt idx="159">
                  <c:v>4.4212233574902864E-12</c:v>
                </c:pt>
                <c:pt idx="160">
                  <c:v>4.4212233574902864E-12</c:v>
                </c:pt>
                <c:pt idx="161">
                  <c:v>4.4212233574902864E-12</c:v>
                </c:pt>
                <c:pt idx="162">
                  <c:v>4.4212233574902864E-12</c:v>
                </c:pt>
                <c:pt idx="163">
                  <c:v>4.4212233574902864E-12</c:v>
                </c:pt>
                <c:pt idx="164">
                  <c:v>4.4212233574902864E-12</c:v>
                </c:pt>
                <c:pt idx="165">
                  <c:v>4.4212233574902864E-12</c:v>
                </c:pt>
                <c:pt idx="166">
                  <c:v>4.4212233574902864E-12</c:v>
                </c:pt>
                <c:pt idx="167">
                  <c:v>4.4212233574902864E-12</c:v>
                </c:pt>
                <c:pt idx="168">
                  <c:v>4.4212233574902864E-12</c:v>
                </c:pt>
                <c:pt idx="169">
                  <c:v>4.4212233574902864E-12</c:v>
                </c:pt>
                <c:pt idx="170">
                  <c:v>4.4212233574902864E-12</c:v>
                </c:pt>
                <c:pt idx="171">
                  <c:v>4.4212233574902864E-12</c:v>
                </c:pt>
                <c:pt idx="172">
                  <c:v>4.4212233574902864E-12</c:v>
                </c:pt>
                <c:pt idx="173">
                  <c:v>4.4212233574902864E-12</c:v>
                </c:pt>
                <c:pt idx="174">
                  <c:v>4.4212233574902864E-12</c:v>
                </c:pt>
                <c:pt idx="175">
                  <c:v>4.4212233574902864E-12</c:v>
                </c:pt>
                <c:pt idx="176">
                  <c:v>4.4212233574902864E-12</c:v>
                </c:pt>
                <c:pt idx="177">
                  <c:v>4.4212233574902864E-12</c:v>
                </c:pt>
                <c:pt idx="178">
                  <c:v>4.4212233574902864E-12</c:v>
                </c:pt>
                <c:pt idx="179">
                  <c:v>4.4212233574902864E-12</c:v>
                </c:pt>
                <c:pt idx="180">
                  <c:v>4.4212233574902864E-12</c:v>
                </c:pt>
                <c:pt idx="181">
                  <c:v>4.4212233574902864E-12</c:v>
                </c:pt>
                <c:pt idx="182">
                  <c:v>4.4212233574902864E-12</c:v>
                </c:pt>
                <c:pt idx="183">
                  <c:v>4.4212233574902864E-12</c:v>
                </c:pt>
                <c:pt idx="184">
                  <c:v>4.4212233574902864E-12</c:v>
                </c:pt>
                <c:pt idx="185">
                  <c:v>4.4212233574902864E-12</c:v>
                </c:pt>
                <c:pt idx="186">
                  <c:v>4.4212233574902864E-12</c:v>
                </c:pt>
                <c:pt idx="187">
                  <c:v>4.4212233574902864E-12</c:v>
                </c:pt>
                <c:pt idx="188">
                  <c:v>4.4212233574902864E-12</c:v>
                </c:pt>
                <c:pt idx="189">
                  <c:v>4.4212233574902864E-12</c:v>
                </c:pt>
                <c:pt idx="190">
                  <c:v>4.4212233574902864E-12</c:v>
                </c:pt>
                <c:pt idx="191">
                  <c:v>4.4212233574902864E-12</c:v>
                </c:pt>
                <c:pt idx="192">
                  <c:v>4.4212233574902864E-12</c:v>
                </c:pt>
                <c:pt idx="193">
                  <c:v>4.4212233574902864E-12</c:v>
                </c:pt>
                <c:pt idx="194">
                  <c:v>4.4212233574902864E-12</c:v>
                </c:pt>
                <c:pt idx="195">
                  <c:v>4.4212233574902864E-12</c:v>
                </c:pt>
                <c:pt idx="196">
                  <c:v>4.4212233574902864E-12</c:v>
                </c:pt>
                <c:pt idx="197">
                  <c:v>4.4212233574902864E-12</c:v>
                </c:pt>
                <c:pt idx="198">
                  <c:v>4.4212233574902864E-12</c:v>
                </c:pt>
                <c:pt idx="199">
                  <c:v>4.4212233574902864E-12</c:v>
                </c:pt>
                <c:pt idx="200">
                  <c:v>4.4212233574902864E-12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2054464"/>
        <c:axId val="-2022053376"/>
      </c:scatterChart>
      <c:valAx>
        <c:axId val="-202205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3376"/>
        <c:crosses val="autoZero"/>
        <c:crossBetween val="midCat"/>
      </c:valAx>
      <c:valAx>
        <c:axId val="-202205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2.1019541298943403</c:v>
                </c:pt>
                <c:pt idx="2">
                  <c:v>2.6092270038457666</c:v>
                </c:pt>
                <c:pt idx="3">
                  <c:v>3.2393990939630002</c:v>
                </c:pt>
                <c:pt idx="4">
                  <c:v>4.0223548814233281</c:v>
                </c:pt>
                <c:pt idx="5">
                  <c:v>4.9952705096957573</c:v>
                </c:pt>
                <c:pt idx="6">
                  <c:v>6.2043985623739948</c:v>
                </c:pt>
                <c:pt idx="7">
                  <c:v>7.7072909789352968</c:v>
                </c:pt>
                <c:pt idx="8">
                  <c:v>9.5755679535423806</c:v>
                </c:pt>
                <c:pt idx="9">
                  <c:v>11.898367272328414</c:v>
                </c:pt>
                <c:pt idx="10">
                  <c:v>14.786641735464018</c:v>
                </c:pt>
                <c:pt idx="11">
                  <c:v>18.378513712274948</c:v>
                </c:pt>
                <c:pt idx="12">
                  <c:v>22.845947526097252</c:v>
                </c:pt>
                <c:pt idx="13">
                  <c:v>28.403064801162014</c:v>
                </c:pt>
                <c:pt idx="14">
                  <c:v>35.316508298429639</c:v>
                </c:pt>
                <c:pt idx="15">
                  <c:v>43.918360080877228</c:v>
                </c:pt>
                <c:pt idx="16">
                  <c:v>56.232228395839918</c:v>
                </c:pt>
                <c:pt idx="17">
                  <c:v>68.475062826736931</c:v>
                </c:pt>
                <c:pt idx="18">
                  <c:v>80.661435952614326</c:v>
                </c:pt>
                <c:pt idx="19">
                  <c:v>92.80111456272796</c:v>
                </c:pt>
                <c:pt idx="20">
                  <c:v>104.90108447574544</c:v>
                </c:pt>
                <c:pt idx="21">
                  <c:v>114.38380127391692</c:v>
                </c:pt>
                <c:pt idx="22">
                  <c:v>123.84727209125531</c:v>
                </c:pt>
                <c:pt idx="23">
                  <c:v>133.29317703829756</c:v>
                </c:pt>
                <c:pt idx="24">
                  <c:v>142.722938133306</c:v>
                </c:pt>
                <c:pt idx="25">
                  <c:v>152.13777377111359</c:v>
                </c:pt>
                <c:pt idx="26">
                  <c:v>127.28409932288616</c:v>
                </c:pt>
                <c:pt idx="27">
                  <c:v>136.72398095941844</c:v>
                </c:pt>
                <c:pt idx="28">
                  <c:v>146.14818298659551</c:v>
                </c:pt>
                <c:pt idx="29">
                  <c:v>155.55786032570967</c:v>
                </c:pt>
                <c:pt idx="30">
                  <c:v>164.95401652082657</c:v>
                </c:pt>
                <c:pt idx="31">
                  <c:v>173.76917851026886</c:v>
                </c:pt>
                <c:pt idx="32">
                  <c:v>182.57383216555033</c:v>
                </c:pt>
                <c:pt idx="33">
                  <c:v>191.36855633024649</c:v>
                </c:pt>
                <c:pt idx="34">
                  <c:v>200.15387222430391</c:v>
                </c:pt>
                <c:pt idx="35">
                  <c:v>208.93025151398959</c:v>
                </c:pt>
                <c:pt idx="36">
                  <c:v>167.79880331835705</c:v>
                </c:pt>
                <c:pt idx="37">
                  <c:v>176.32642399290845</c:v>
                </c:pt>
                <c:pt idx="38">
                  <c:v>184.84436712462616</c:v>
                </c:pt>
                <c:pt idx="39">
                  <c:v>193.35314212581184</c:v>
                </c:pt>
                <c:pt idx="40">
                  <c:v>201.85320984852044</c:v>
                </c:pt>
                <c:pt idx="41">
                  <c:v>209.77912051135695</c:v>
                </c:pt>
                <c:pt idx="42">
                  <c:v>217.69812295281329</c:v>
                </c:pt>
                <c:pt idx="43">
                  <c:v>225.61050422909793</c:v>
                </c:pt>
                <c:pt idx="44">
                  <c:v>233.51652959110689</c:v>
                </c:pt>
                <c:pt idx="45">
                  <c:v>241.41644483936707</c:v>
                </c:pt>
                <c:pt idx="46">
                  <c:v>194.77041295233721</c:v>
                </c:pt>
                <c:pt idx="47">
                  <c:v>201.85320984852038</c:v>
                </c:pt>
                <c:pt idx="48">
                  <c:v>208.93025151398959</c:v>
                </c:pt>
                <c:pt idx="49">
                  <c:v>216.00176068460632</c:v>
                </c:pt>
                <c:pt idx="50">
                  <c:v>223.06794429933814</c:v>
                </c:pt>
                <c:pt idx="51">
                  <c:v>229.56429560621905</c:v>
                </c:pt>
                <c:pt idx="52">
                  <c:v>236.05644310479678</c:v>
                </c:pt>
                <c:pt idx="53">
                  <c:v>242.5445188956428</c:v>
                </c:pt>
                <c:pt idx="54">
                  <c:v>249.02864742441963</c:v>
                </c:pt>
                <c:pt idx="55">
                  <c:v>255.50894611772114</c:v>
                </c:pt>
                <c:pt idx="56">
                  <c:v>212.60811330323972</c:v>
                </c:pt>
                <c:pt idx="57">
                  <c:v>219.11152587483434</c:v>
                </c:pt>
                <c:pt idx="58">
                  <c:v>225.61050422909787</c:v>
                </c:pt>
                <c:pt idx="59">
                  <c:v>232.10519431769936</c:v>
                </c:pt>
                <c:pt idx="60">
                  <c:v>238.59573324490506</c:v>
                </c:pt>
                <c:pt idx="61">
                  <c:v>244.51836163877559</c:v>
                </c:pt>
                <c:pt idx="62">
                  <c:v>250.43772987290299</c:v>
                </c:pt>
                <c:pt idx="63">
                  <c:v>256.35392599796705</c:v>
                </c:pt>
                <c:pt idx="64">
                  <c:v>262.26703366253588</c:v>
                </c:pt>
                <c:pt idx="65">
                  <c:v>268.17713242968784</c:v>
                </c:pt>
                <c:pt idx="66">
                  <c:v>227.02275330173816</c:v>
                </c:pt>
                <c:pt idx="67">
                  <c:v>232.38747702067249</c:v>
                </c:pt>
                <c:pt idx="68">
                  <c:v>237.74937198994937</c:v>
                </c:pt>
                <c:pt idx="69">
                  <c:v>243.10851112008797</c:v>
                </c:pt>
                <c:pt idx="70">
                  <c:v>248.46496383915061</c:v>
                </c:pt>
                <c:pt idx="71">
                  <c:v>253.53707996444214</c:v>
                </c:pt>
                <c:pt idx="72">
                  <c:v>258.60689820869118</c:v>
                </c:pt>
                <c:pt idx="73">
                  <c:v>263.67447005481563</c:v>
                </c:pt>
                <c:pt idx="74">
                  <c:v>268.73984484198519</c:v>
                </c:pt>
                <c:pt idx="75">
                  <c:v>273.80306989453686</c:v>
                </c:pt>
                <c:pt idx="76">
                  <c:v>237.74937198994937</c:v>
                </c:pt>
                <c:pt idx="77">
                  <c:v>242.54451889564268</c:v>
                </c:pt>
                <c:pt idx="78">
                  <c:v>247.33750950241188</c:v>
                </c:pt>
                <c:pt idx="79">
                  <c:v>252.12839156974792</c:v>
                </c:pt>
                <c:pt idx="80">
                  <c:v>256.91721089069443</c:v>
                </c:pt>
                <c:pt idx="81">
                  <c:v>261.14096179913906</c:v>
                </c:pt>
                <c:pt idx="82">
                  <c:v>265.36317005758764</c:v>
                </c:pt>
                <c:pt idx="83">
                  <c:v>269.58386372149988</c:v>
                </c:pt>
                <c:pt idx="84">
                  <c:v>273.80306989453686</c:v>
                </c:pt>
                <c:pt idx="85">
                  <c:v>278.02081477536069</c:v>
                </c:pt>
                <c:pt idx="86">
                  <c:v>281.95608061803074</c:v>
                </c:pt>
                <c:pt idx="87">
                  <c:v>285.89011554693974</c:v>
                </c:pt>
                <c:pt idx="88">
                  <c:v>289.82293892179945</c:v>
                </c:pt>
                <c:pt idx="89">
                  <c:v>293.75456953309504</c:v>
                </c:pt>
                <c:pt idx="90">
                  <c:v>297.68502562639225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2053920"/>
        <c:axId val="-2022052288"/>
      </c:scatterChart>
      <c:valAx>
        <c:axId val="-2022053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2288"/>
        <c:crosses val="autoZero"/>
        <c:crossBetween val="midCat"/>
      </c:valAx>
      <c:valAx>
        <c:axId val="-202205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3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2051744"/>
        <c:axId val="-2025327392"/>
      </c:scatterChart>
      <c:valAx>
        <c:axId val="-2022051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327392"/>
        <c:crosses val="autoZero"/>
        <c:crossBetween val="midCat"/>
      </c:valAx>
      <c:valAx>
        <c:axId val="-202532739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2051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H35" sqref="H35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66" zoomScale="80" zoomScaleNormal="80" workbookViewId="0">
      <selection activeCell="B200" sqref="B20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4.0199999999999996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</v>
      </c>
      <c r="C9" s="35">
        <v>0.40670000000000001</v>
      </c>
      <c r="D9" s="36">
        <f t="shared" ref="D9:D18" si="0">C9*$C$5</f>
        <v>1.6349339999999999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</v>
      </c>
      <c r="C10" s="35">
        <v>0.16270000000000001</v>
      </c>
      <c r="D10" s="36">
        <f t="shared" si="0"/>
        <v>0.65405400000000002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321</v>
      </c>
      <c r="C11" s="35">
        <v>0.122</v>
      </c>
      <c r="D11" s="36">
        <f t="shared" si="0"/>
        <v>0.49043999999999993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</v>
      </c>
      <c r="C12" s="35">
        <v>8.1299999999999997E-2</v>
      </c>
      <c r="D12" s="36">
        <f t="shared" si="0"/>
        <v>0.32682599999999995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98</v>
      </c>
      <c r="C13" s="35">
        <v>4.07E-2</v>
      </c>
      <c r="D13" s="36">
        <f t="shared" si="0"/>
        <v>0.16361399999999998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49</v>
      </c>
      <c r="C14" s="35">
        <v>1.8700000000000001E-2</v>
      </c>
      <c r="D14" s="36">
        <f t="shared" si="0"/>
        <v>7.5173999999999991E-2</v>
      </c>
      <c r="E14" s="37">
        <v>40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11</v>
      </c>
      <c r="C15" s="35">
        <v>5.6000000000000001E-2</v>
      </c>
      <c r="D15" s="36">
        <f t="shared" si="0"/>
        <v>0.22511999999999999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4</v>
      </c>
      <c r="C16" s="35">
        <v>0.1119</v>
      </c>
      <c r="D16" s="36">
        <f t="shared" si="0"/>
        <v>0.44983799999999996</v>
      </c>
      <c r="E16" s="37">
        <v>90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4.0199999999999996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pédonculé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Aulne glutineux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10</v>
      </c>
      <c r="B62" s="63">
        <f>10+1</f>
        <v>11</v>
      </c>
      <c r="C62" s="63"/>
      <c r="D62" s="63"/>
      <c r="E62" s="54"/>
      <c r="F62" s="54"/>
      <c r="G62" s="54"/>
      <c r="H62" s="54"/>
      <c r="I62" s="56">
        <f>IFERROR(B62/A62,"")</f>
        <v>1.1000000000000001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15</v>
      </c>
      <c r="B63" s="63">
        <f>40+1+4</f>
        <v>45</v>
      </c>
      <c r="C63" s="63"/>
      <c r="D63" s="63"/>
      <c r="E63" s="54"/>
      <c r="F63" s="54"/>
      <c r="G63" s="54"/>
      <c r="H63" s="54"/>
      <c r="I63" s="52">
        <f>IF(A63&lt;&gt;0,(B63-(B62-D62))/(A63-A62),"")</f>
        <v>6.8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20</v>
      </c>
      <c r="B64" s="63">
        <f>90+1+4+10</f>
        <v>105</v>
      </c>
      <c r="C64" s="63"/>
      <c r="D64" s="63"/>
      <c r="E64" s="54"/>
      <c r="F64" s="54"/>
      <c r="G64" s="54"/>
      <c r="H64" s="54"/>
      <c r="I64" s="52">
        <f>IF(A64&lt;&gt;0,(B64-(B63-D63))/(A64-A63),"")</f>
        <v>12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25</v>
      </c>
      <c r="B65" s="63">
        <f>117+1+4+10+21</f>
        <v>153</v>
      </c>
      <c r="C65" s="63">
        <v>1</v>
      </c>
      <c r="D65" s="63">
        <f>1+4+10+21</f>
        <v>36</v>
      </c>
      <c r="E65" s="54"/>
      <c r="F65" s="54"/>
      <c r="G65" s="54"/>
      <c r="H65" s="54">
        <v>1</v>
      </c>
      <c r="I65" s="52">
        <f>IF(A65&lt;&gt;0,(B65-(B64-D64))/(A65-A64),"")</f>
        <v>9.6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30</v>
      </c>
      <c r="B66" s="63">
        <f>138+23</f>
        <v>161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8.8000000000000007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35</v>
      </c>
      <c r="B67" s="63">
        <f>156+23+25</f>
        <v>204</v>
      </c>
      <c r="C67" s="63">
        <v>2</v>
      </c>
      <c r="D67" s="63">
        <f>23+25</f>
        <v>48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40</v>
      </c>
      <c r="B68" s="63">
        <f>170+25</f>
        <v>195</v>
      </c>
      <c r="C68" s="63"/>
      <c r="D68" s="63"/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45</v>
      </c>
      <c r="B69" s="53">
        <f>182+25+25</f>
        <v>232</v>
      </c>
      <c r="C69" s="53">
        <v>3</v>
      </c>
      <c r="D69" s="53">
        <f>25+25</f>
        <v>50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50</v>
      </c>
      <c r="B70" s="53">
        <f>191+24</f>
        <v>215</v>
      </c>
      <c r="C70" s="53"/>
      <c r="D70" s="53"/>
      <c r="E70" s="54"/>
      <c r="F70" s="54"/>
      <c r="G70" s="54"/>
      <c r="H70" s="54"/>
      <c r="I70" s="52">
        <f t="shared" si="2"/>
        <v>6.6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55</v>
      </c>
      <c r="B71" s="53">
        <f>200+24+23</f>
        <v>247</v>
      </c>
      <c r="C71" s="53">
        <v>4</v>
      </c>
      <c r="D71" s="53">
        <f>24+23</f>
        <v>47</v>
      </c>
      <c r="E71" s="54"/>
      <c r="F71" s="54"/>
      <c r="G71" s="54"/>
      <c r="H71" s="54"/>
      <c r="I71" s="52">
        <f t="shared" si="2"/>
        <v>6.4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60</v>
      </c>
      <c r="B72" s="53">
        <f>207+22</f>
        <v>229</v>
      </c>
      <c r="C72" s="53"/>
      <c r="D72" s="53"/>
      <c r="E72" s="54"/>
      <c r="F72" s="54"/>
      <c r="G72" s="54"/>
      <c r="H72" s="54"/>
      <c r="I72" s="52">
        <f t="shared" si="2"/>
        <v>5.8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65</v>
      </c>
      <c r="B73" s="53">
        <f>213+22+20</f>
        <v>255</v>
      </c>
      <c r="C73" s="53">
        <v>5</v>
      </c>
      <c r="D73" s="53">
        <f>22+20</f>
        <v>42</v>
      </c>
      <c r="E73" s="54"/>
      <c r="F73" s="54"/>
      <c r="G73" s="54"/>
      <c r="H73" s="54"/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70</v>
      </c>
      <c r="B74" s="53">
        <f>218+19</f>
        <v>237</v>
      </c>
      <c r="C74" s="53"/>
      <c r="D74" s="53"/>
      <c r="E74" s="54"/>
      <c r="F74" s="54"/>
      <c r="G74" s="54"/>
      <c r="H74" s="54"/>
      <c r="I74" s="52">
        <f t="shared" si="2"/>
        <v>4.8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75</v>
      </c>
      <c r="B75" s="53">
        <f>223+19+18</f>
        <v>260</v>
      </c>
      <c r="C75" s="53">
        <v>6</v>
      </c>
      <c r="D75" s="53">
        <f>19+18</f>
        <v>37</v>
      </c>
      <c r="E75" s="54"/>
      <c r="F75" s="54"/>
      <c r="G75" s="54"/>
      <c r="H75" s="54"/>
      <c r="I75" s="52">
        <f t="shared" si="2"/>
        <v>4.5999999999999996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80</v>
      </c>
      <c r="B76" s="53">
        <f>228+16</f>
        <v>244</v>
      </c>
      <c r="C76" s="53"/>
      <c r="D76" s="53"/>
      <c r="E76" s="54"/>
      <c r="F76" s="54"/>
      <c r="G76" s="54"/>
      <c r="H76" s="54"/>
      <c r="I76" s="52">
        <f t="shared" si="2"/>
        <v>4.2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85</v>
      </c>
      <c r="B77" s="53">
        <f>232+16+15</f>
        <v>263</v>
      </c>
      <c r="C77" s="53"/>
      <c r="D77" s="53"/>
      <c r="E77" s="54"/>
      <c r="F77" s="54"/>
      <c r="G77" s="54"/>
      <c r="H77" s="54"/>
      <c r="I77" s="52">
        <f t="shared" si="2"/>
        <v>3.8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90</v>
      </c>
      <c r="B78" s="53">
        <f>236+16+15+14</f>
        <v>281</v>
      </c>
      <c r="C78" s="53">
        <v>7</v>
      </c>
      <c r="D78" s="53">
        <f>B78</f>
        <v>281</v>
      </c>
      <c r="E78" s="54"/>
      <c r="F78" s="54"/>
      <c r="G78" s="54"/>
      <c r="H78" s="54"/>
      <c r="I78" s="52">
        <f t="shared" si="2"/>
        <v>3.6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Tulipier de Virginie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f>147/1.56</f>
        <v>94.230769230769226</v>
      </c>
      <c r="C88" s="63">
        <v>1</v>
      </c>
      <c r="D88" s="63">
        <v>53</v>
      </c>
      <c r="E88" s="54"/>
      <c r="F88" s="54"/>
      <c r="G88" s="54"/>
      <c r="H88" s="54">
        <v>1</v>
      </c>
      <c r="I88" s="56">
        <f>IFERROR(B88/A88,"")</f>
        <v>4.7115384615384617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f>226/1.56</f>
        <v>144.87179487179486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10.364102564102563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40</v>
      </c>
      <c r="B90" s="63">
        <f>350/1.56</f>
        <v>224.35897435897436</v>
      </c>
      <c r="C90" s="63">
        <v>2</v>
      </c>
      <c r="D90" s="63">
        <v>135</v>
      </c>
      <c r="E90" s="54"/>
      <c r="F90" s="54"/>
      <c r="G90" s="54"/>
      <c r="H90" s="54"/>
      <c r="I90" s="56">
        <f t="shared" si="3"/>
        <v>7.9487179487179507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50</v>
      </c>
      <c r="B91" s="63">
        <f>336/1.56</f>
        <v>215.38461538461539</v>
      </c>
      <c r="C91" s="63">
        <v>3</v>
      </c>
      <c r="D91" s="63">
        <v>57</v>
      </c>
      <c r="E91" s="54"/>
      <c r="F91" s="54"/>
      <c r="G91" s="54"/>
      <c r="H91" s="54"/>
      <c r="I91" s="56">
        <f t="shared" si="3"/>
        <v>12.602564102564102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60</v>
      </c>
      <c r="B92" s="63">
        <f>388/1.56</f>
        <v>248.7179487179487</v>
      </c>
      <c r="C92" s="63"/>
      <c r="D92" s="63"/>
      <c r="E92" s="54"/>
      <c r="F92" s="54"/>
      <c r="G92" s="54"/>
      <c r="H92" s="54"/>
      <c r="I92" s="56">
        <f t="shared" si="3"/>
        <v>9.0333333333333314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70</v>
      </c>
      <c r="B93" s="63">
        <f>495/1.56</f>
        <v>317.30769230769232</v>
      </c>
      <c r="C93" s="63"/>
      <c r="D93" s="63"/>
      <c r="E93" s="54"/>
      <c r="F93" s="54"/>
      <c r="G93" s="54"/>
      <c r="H93" s="54"/>
      <c r="I93" s="56">
        <f t="shared" si="3"/>
        <v>6.8589743589743621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80</v>
      </c>
      <c r="B94" s="63">
        <f>590/1.56</f>
        <v>378.20512820512818</v>
      </c>
      <c r="C94" s="63">
        <v>4</v>
      </c>
      <c r="D94" s="63">
        <f>B94</f>
        <v>378.20512820512818</v>
      </c>
      <c r="E94" s="54"/>
      <c r="F94" s="54"/>
      <c r="G94" s="54"/>
      <c r="H94" s="54"/>
      <c r="I94" s="56">
        <f t="shared" si="3"/>
        <v>6.0897435897435859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Bouleau verruqueux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10</v>
      </c>
      <c r="B114" s="63">
        <v>9</v>
      </c>
      <c r="C114" s="53"/>
      <c r="D114" s="63"/>
      <c r="E114" s="54"/>
      <c r="F114" s="54"/>
      <c r="G114" s="54"/>
      <c r="H114" s="54"/>
      <c r="I114" s="56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15</v>
      </c>
      <c r="B115" s="63">
        <v>49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20</v>
      </c>
      <c r="B116" s="63">
        <v>99</v>
      </c>
      <c r="C116" s="53">
        <v>1</v>
      </c>
      <c r="D116" s="63">
        <v>40</v>
      </c>
      <c r="E116" s="54"/>
      <c r="F116" s="54"/>
      <c r="G116" s="54"/>
      <c r="H116" s="54">
        <v>1</v>
      </c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25</v>
      </c>
      <c r="B117" s="63">
        <v>102</v>
      </c>
      <c r="C117" s="53"/>
      <c r="D117" s="63"/>
      <c r="E117" s="54"/>
      <c r="F117" s="54"/>
      <c r="G117" s="54"/>
      <c r="H117" s="54"/>
      <c r="I117" s="56">
        <f t="shared" si="4"/>
        <v>8.6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30</v>
      </c>
      <c r="B118" s="63">
        <v>146</v>
      </c>
      <c r="C118" s="53"/>
      <c r="D118" s="63"/>
      <c r="E118" s="54"/>
      <c r="F118" s="54"/>
      <c r="G118" s="54"/>
      <c r="H118" s="54"/>
      <c r="I118" s="56">
        <f t="shared" si="4"/>
        <v>8.8000000000000007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35</v>
      </c>
      <c r="B119" s="63">
        <v>190</v>
      </c>
      <c r="C119" s="53">
        <v>2</v>
      </c>
      <c r="D119" s="63">
        <f>76</f>
        <v>76</v>
      </c>
      <c r="E119" s="54"/>
      <c r="F119" s="54"/>
      <c r="G119" s="54"/>
      <c r="H119" s="54"/>
      <c r="I119" s="56">
        <f t="shared" si="4"/>
        <v>8.8000000000000007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40</v>
      </c>
      <c r="B120" s="63">
        <v>152</v>
      </c>
      <c r="C120" s="53"/>
      <c r="D120" s="63"/>
      <c r="E120" s="54"/>
      <c r="F120" s="54"/>
      <c r="G120" s="54"/>
      <c r="H120" s="54"/>
      <c r="I120" s="56">
        <f t="shared" si="4"/>
        <v>7.6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45</v>
      </c>
      <c r="B121" s="63">
        <v>190</v>
      </c>
      <c r="C121" s="53"/>
      <c r="D121" s="63"/>
      <c r="E121" s="54"/>
      <c r="F121" s="54"/>
      <c r="G121" s="54"/>
      <c r="H121" s="54"/>
      <c r="I121" s="56">
        <f t="shared" si="4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50</v>
      </c>
      <c r="B122" s="63">
        <v>228</v>
      </c>
      <c r="C122" s="53"/>
      <c r="D122" s="63"/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55</v>
      </c>
      <c r="B123" s="63">
        <v>266</v>
      </c>
      <c r="C123" s="53"/>
      <c r="D123" s="63"/>
      <c r="E123" s="54"/>
      <c r="F123" s="54"/>
      <c r="G123" s="54"/>
      <c r="H123" s="54"/>
      <c r="I123" s="56">
        <f t="shared" si="4"/>
        <v>7.6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60</v>
      </c>
      <c r="B124" s="63">
        <v>303</v>
      </c>
      <c r="C124" s="53"/>
      <c r="D124" s="63">
        <f>B124</f>
        <v>303</v>
      </c>
      <c r="E124" s="54"/>
      <c r="F124" s="54"/>
      <c r="G124" s="54"/>
      <c r="H124" s="54"/>
      <c r="I124" s="56">
        <f t="shared" si="4"/>
        <v>7.4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Aulne à feuilles en cœur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f>10+1</f>
        <v>11</v>
      </c>
      <c r="C140" s="63"/>
      <c r="D140" s="63"/>
      <c r="E140" s="54"/>
      <c r="F140" s="54"/>
      <c r="G140" s="54"/>
      <c r="H140" s="54"/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f>40+1+4</f>
        <v>45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6.8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20</v>
      </c>
      <c r="B142" s="63">
        <f>90+1+4+10</f>
        <v>105</v>
      </c>
      <c r="C142" s="63"/>
      <c r="D142" s="63"/>
      <c r="E142" s="54"/>
      <c r="F142" s="54"/>
      <c r="G142" s="54"/>
      <c r="H142" s="54"/>
      <c r="I142" s="60">
        <f t="shared" si="5"/>
        <v>12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25</v>
      </c>
      <c r="B143" s="63">
        <f>117+1+4+10+21</f>
        <v>153</v>
      </c>
      <c r="C143" s="63">
        <v>1</v>
      </c>
      <c r="D143" s="63">
        <f>1+4+10+21</f>
        <v>36</v>
      </c>
      <c r="E143" s="54"/>
      <c r="F143" s="54"/>
      <c r="G143" s="54"/>
      <c r="H143" s="54">
        <v>1</v>
      </c>
      <c r="I143" s="60">
        <f t="shared" si="5"/>
        <v>9.6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3">
        <f>138+23</f>
        <v>161</v>
      </c>
      <c r="C144" s="63"/>
      <c r="D144" s="63"/>
      <c r="E144" s="54"/>
      <c r="F144" s="54"/>
      <c r="G144" s="54"/>
      <c r="H144" s="54"/>
      <c r="I144" s="60">
        <f t="shared" si="5"/>
        <v>8.8000000000000007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35</v>
      </c>
      <c r="B145" s="63">
        <f>156+23+25</f>
        <v>204</v>
      </c>
      <c r="C145" s="63">
        <v>2</v>
      </c>
      <c r="D145" s="63">
        <f>23+25</f>
        <v>48</v>
      </c>
      <c r="E145" s="54"/>
      <c r="F145" s="54"/>
      <c r="G145" s="54"/>
      <c r="H145" s="54"/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40</v>
      </c>
      <c r="B146" s="63">
        <f>170+25</f>
        <v>195</v>
      </c>
      <c r="C146" s="63"/>
      <c r="D146" s="63"/>
      <c r="E146" s="54"/>
      <c r="F146" s="54"/>
      <c r="G146" s="54"/>
      <c r="H146" s="54"/>
      <c r="I146" s="60">
        <f t="shared" si="5"/>
        <v>7.8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45</v>
      </c>
      <c r="B147" s="53">
        <v>232</v>
      </c>
      <c r="C147" s="53">
        <v>3</v>
      </c>
      <c r="D147" s="53">
        <v>50</v>
      </c>
      <c r="E147" s="54"/>
      <c r="F147" s="54"/>
      <c r="G147" s="54"/>
      <c r="H147" s="54"/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50</v>
      </c>
      <c r="B148" s="53">
        <v>215</v>
      </c>
      <c r="C148" s="53"/>
      <c r="D148" s="53"/>
      <c r="E148" s="54"/>
      <c r="F148" s="54"/>
      <c r="G148" s="54"/>
      <c r="H148" s="54"/>
      <c r="I148" s="60">
        <f t="shared" si="5"/>
        <v>6.6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55</v>
      </c>
      <c r="B149" s="53">
        <v>247</v>
      </c>
      <c r="C149" s="53">
        <v>4</v>
      </c>
      <c r="D149" s="53">
        <v>47</v>
      </c>
      <c r="E149" s="54"/>
      <c r="F149" s="54"/>
      <c r="G149" s="54"/>
      <c r="H149" s="54"/>
      <c r="I149" s="60">
        <f t="shared" si="5"/>
        <v>6.4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60</v>
      </c>
      <c r="B150" s="53">
        <v>229</v>
      </c>
      <c r="C150" s="53"/>
      <c r="D150" s="53"/>
      <c r="E150" s="54"/>
      <c r="F150" s="54"/>
      <c r="G150" s="54"/>
      <c r="H150" s="54"/>
      <c r="I150" s="60">
        <f t="shared" si="5"/>
        <v>5.8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65</v>
      </c>
      <c r="B151" s="53">
        <v>255</v>
      </c>
      <c r="C151" s="53">
        <v>5</v>
      </c>
      <c r="D151" s="53">
        <v>42</v>
      </c>
      <c r="E151" s="54"/>
      <c r="F151" s="54"/>
      <c r="G151" s="54"/>
      <c r="H151" s="54"/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70</v>
      </c>
      <c r="B152" s="53">
        <v>237</v>
      </c>
      <c r="C152" s="53"/>
      <c r="D152" s="53"/>
      <c r="E152" s="54"/>
      <c r="F152" s="54"/>
      <c r="G152" s="54"/>
      <c r="H152" s="54"/>
      <c r="I152" s="60">
        <f t="shared" si="5"/>
        <v>4.8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75</v>
      </c>
      <c r="B153" s="53">
        <v>260</v>
      </c>
      <c r="C153" s="53">
        <v>6</v>
      </c>
      <c r="D153" s="53">
        <v>37</v>
      </c>
      <c r="E153" s="54"/>
      <c r="F153" s="54"/>
      <c r="G153" s="54"/>
      <c r="H153" s="54"/>
      <c r="I153" s="60">
        <f t="shared" si="5"/>
        <v>4.5999999999999996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80</v>
      </c>
      <c r="B154" s="53">
        <v>244</v>
      </c>
      <c r="C154" s="53"/>
      <c r="D154" s="53"/>
      <c r="E154" s="54"/>
      <c r="F154" s="54"/>
      <c r="G154" s="54"/>
      <c r="H154" s="54"/>
      <c r="I154" s="60">
        <f t="shared" si="5"/>
        <v>4.2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85</v>
      </c>
      <c r="B155" s="53">
        <v>263</v>
      </c>
      <c r="C155" s="53"/>
      <c r="D155" s="53"/>
      <c r="E155" s="54"/>
      <c r="F155" s="54"/>
      <c r="G155" s="54"/>
      <c r="H155" s="54"/>
      <c r="I155" s="60">
        <f t="shared" si="5"/>
        <v>3.8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90</v>
      </c>
      <c r="B156" s="53">
        <v>281</v>
      </c>
      <c r="C156" s="53">
        <v>7</v>
      </c>
      <c r="D156" s="53">
        <v>281</v>
      </c>
      <c r="E156" s="54"/>
      <c r="F156" s="54"/>
      <c r="G156" s="54"/>
      <c r="H156" s="54"/>
      <c r="I156" s="60">
        <f t="shared" si="5"/>
        <v>3.6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Saule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6</v>
      </c>
      <c r="B166" s="63">
        <f>45/1.56</f>
        <v>28.846153846153847</v>
      </c>
      <c r="C166" s="63"/>
      <c r="D166" s="63"/>
      <c r="E166" s="54"/>
      <c r="F166" s="54"/>
      <c r="G166" s="54"/>
      <c r="H166" s="54"/>
      <c r="I166" s="52">
        <f>IFERROR(B166/A166,"")</f>
        <v>4.8076923076923075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8</v>
      </c>
      <c r="B167" s="63">
        <f>(74+5)/1.56</f>
        <v>50.641025641025642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10.897435897435898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10</v>
      </c>
      <c r="B168" s="63">
        <f>(101+5+8)/1.56</f>
        <v>73.07692307692308</v>
      </c>
      <c r="C168" s="63">
        <v>1</v>
      </c>
      <c r="D168" s="63">
        <f>(5+8+11)/1.56</f>
        <v>15.384615384615383</v>
      </c>
      <c r="E168" s="54"/>
      <c r="F168" s="54"/>
      <c r="G168" s="54"/>
      <c r="H168" s="54">
        <v>1</v>
      </c>
      <c r="I168" s="52">
        <f t="shared" si="6"/>
        <v>11.217948717948719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12</v>
      </c>
      <c r="B169" s="63">
        <f>125/1.56</f>
        <v>80.128205128205124</v>
      </c>
      <c r="C169" s="63"/>
      <c r="D169" s="63"/>
      <c r="E169" s="54"/>
      <c r="F169" s="54"/>
      <c r="G169" s="54"/>
      <c r="H169" s="54"/>
      <c r="I169" s="52">
        <f t="shared" si="6"/>
        <v>11.217948717948715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14</v>
      </c>
      <c r="B170" s="63">
        <f>(146+12)/1.56</f>
        <v>101.28205128205128</v>
      </c>
      <c r="C170" s="63">
        <v>2</v>
      </c>
      <c r="D170" s="63">
        <f>(12+13)/1.56</f>
        <v>16.025641025641026</v>
      </c>
      <c r="E170" s="54"/>
      <c r="F170" s="54"/>
      <c r="G170" s="54"/>
      <c r="H170" s="54">
        <v>1</v>
      </c>
      <c r="I170" s="52">
        <f t="shared" si="6"/>
        <v>10.57692307692308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16</v>
      </c>
      <c r="B171" s="63">
        <f>165/1.56</f>
        <v>105.76923076923076</v>
      </c>
      <c r="C171" s="63"/>
      <c r="D171" s="63"/>
      <c r="E171" s="54"/>
      <c r="F171" s="54"/>
      <c r="G171" s="54"/>
      <c r="H171" s="54"/>
      <c r="I171" s="52">
        <f t="shared" si="6"/>
        <v>10.256410256410248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18</v>
      </c>
      <c r="B172" s="63">
        <f>(181+13)/1.56</f>
        <v>124.35897435897435</v>
      </c>
      <c r="C172" s="63">
        <v>3</v>
      </c>
      <c r="D172" s="63">
        <f>(13+13)/1.56</f>
        <v>16.666666666666668</v>
      </c>
      <c r="E172" s="54"/>
      <c r="F172" s="54"/>
      <c r="G172" s="54"/>
      <c r="H172" s="54">
        <v>1</v>
      </c>
      <c r="I172" s="52">
        <f t="shared" si="6"/>
        <v>9.2948717948717956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20</v>
      </c>
      <c r="B173" s="53">
        <f>196/1.56</f>
        <v>125.64102564102564</v>
      </c>
      <c r="C173" s="53"/>
      <c r="D173" s="53"/>
      <c r="E173" s="54"/>
      <c r="F173" s="54"/>
      <c r="G173" s="54"/>
      <c r="H173" s="54"/>
      <c r="I173" s="52">
        <f t="shared" si="6"/>
        <v>8.974358974358978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22</v>
      </c>
      <c r="B174" s="53">
        <f>(209+13)/1.56</f>
        <v>142.30769230769229</v>
      </c>
      <c r="C174" s="53">
        <v>4</v>
      </c>
      <c r="D174" s="53">
        <f>(13+13)/1.56</f>
        <v>16.666666666666668</v>
      </c>
      <c r="E174" s="54"/>
      <c r="F174" s="54"/>
      <c r="G174" s="54"/>
      <c r="H174" s="54">
        <v>1</v>
      </c>
      <c r="I174" s="52">
        <f t="shared" si="6"/>
        <v>8.3333333333333286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24</v>
      </c>
      <c r="B175" s="53">
        <f>220/1.56</f>
        <v>141.02564102564102</v>
      </c>
      <c r="C175" s="53"/>
      <c r="D175" s="53"/>
      <c r="E175" s="54"/>
      <c r="F175" s="54"/>
      <c r="G175" s="54"/>
      <c r="H175" s="54"/>
      <c r="I175" s="52">
        <f t="shared" si="6"/>
        <v>7.6923076923077005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26</v>
      </c>
      <c r="B176" s="53">
        <f>(231+12)/1.56</f>
        <v>155.76923076923077</v>
      </c>
      <c r="C176" s="53">
        <v>5</v>
      </c>
      <c r="D176" s="53">
        <f>(12+12)/1.56</f>
        <v>15.384615384615383</v>
      </c>
      <c r="E176" s="54"/>
      <c r="F176" s="54"/>
      <c r="G176" s="54"/>
      <c r="H176" s="54">
        <v>1</v>
      </c>
      <c r="I176" s="52">
        <f t="shared" si="6"/>
        <v>7.3717948717948758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28</v>
      </c>
      <c r="B177" s="53">
        <f>240/1.56</f>
        <v>153.84615384615384</v>
      </c>
      <c r="C177" s="53"/>
      <c r="D177" s="53"/>
      <c r="E177" s="54"/>
      <c r="F177" s="54"/>
      <c r="G177" s="54"/>
      <c r="H177" s="54"/>
      <c r="I177" s="52">
        <f t="shared" si="6"/>
        <v>6.7307692307692264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30</v>
      </c>
      <c r="B178" s="53">
        <f>(249+12)/1.56</f>
        <v>167.30769230769229</v>
      </c>
      <c r="C178" s="53">
        <v>6</v>
      </c>
      <c r="D178" s="53">
        <f>(12+11)/1.56</f>
        <v>14.743589743589743</v>
      </c>
      <c r="E178" s="54"/>
      <c r="F178" s="54"/>
      <c r="G178" s="54"/>
      <c r="H178" s="54">
        <v>1</v>
      </c>
      <c r="I178" s="52">
        <f t="shared" si="6"/>
        <v>6.7307692307692264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32</v>
      </c>
      <c r="B179" s="53">
        <f>257/1.56</f>
        <v>164.74358974358975</v>
      </c>
      <c r="C179" s="53"/>
      <c r="D179" s="53"/>
      <c r="E179" s="54"/>
      <c r="F179" s="54"/>
      <c r="G179" s="54"/>
      <c r="H179" s="54"/>
      <c r="I179" s="52">
        <f t="shared" si="6"/>
        <v>6.0897435897436054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34</v>
      </c>
      <c r="B180" s="53">
        <f>(264+11)/1.56</f>
        <v>176.28205128205127</v>
      </c>
      <c r="C180" s="53">
        <v>7</v>
      </c>
      <c r="D180" s="53">
        <f>(11+11)/1.56</f>
        <v>14.102564102564102</v>
      </c>
      <c r="E180" s="54"/>
      <c r="F180" s="54"/>
      <c r="G180" s="54"/>
      <c r="H180" s="54"/>
      <c r="I180" s="52">
        <f t="shared" si="6"/>
        <v>5.7692307692307594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36</v>
      </c>
      <c r="B181" s="53">
        <f>271/1.56</f>
        <v>173.7179487179487</v>
      </c>
      <c r="C181" s="53"/>
      <c r="D181" s="53"/>
      <c r="E181" s="54"/>
      <c r="F181" s="54"/>
      <c r="G181" s="54"/>
      <c r="H181" s="54"/>
      <c r="I181" s="52">
        <f t="shared" si="6"/>
        <v>5.7692307692307594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38</v>
      </c>
      <c r="B182" s="53">
        <f>(277+10)/1.56</f>
        <v>183.97435897435898</v>
      </c>
      <c r="C182" s="53"/>
      <c r="D182" s="53"/>
      <c r="E182" s="54"/>
      <c r="F182" s="54"/>
      <c r="G182" s="54"/>
      <c r="H182" s="54"/>
      <c r="I182" s="52">
        <f t="shared" si="6"/>
        <v>5.1282051282051384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40</v>
      </c>
      <c r="B183" s="53">
        <f>(282+10+10)/1.56</f>
        <v>193.58974358974359</v>
      </c>
      <c r="C183" s="53">
        <v>8</v>
      </c>
      <c r="D183" s="53">
        <f>B183</f>
        <v>193.58974358974359</v>
      </c>
      <c r="E183" s="54"/>
      <c r="F183" s="54"/>
      <c r="G183" s="54"/>
      <c r="H183" s="54"/>
      <c r="I183" s="52">
        <f t="shared" si="6"/>
        <v>4.8076923076923066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pédonculé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25</v>
      </c>
      <c r="B192" s="63">
        <v>30</v>
      </c>
      <c r="C192" s="63"/>
      <c r="D192" s="63"/>
      <c r="E192" s="54"/>
      <c r="F192" s="54"/>
      <c r="G192" s="54"/>
      <c r="H192" s="54"/>
      <c r="I192" s="52">
        <f>IFERROR(B192/A192,"")</f>
        <v>1.2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30</v>
      </c>
      <c r="B193" s="63">
        <v>54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4.8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35</v>
      </c>
      <c r="B194" s="63">
        <f>66+13</f>
        <v>79</v>
      </c>
      <c r="C194" s="63">
        <v>1</v>
      </c>
      <c r="D194" s="63">
        <v>13</v>
      </c>
      <c r="E194" s="54"/>
      <c r="F194" s="54"/>
      <c r="G194" s="54"/>
      <c r="H194" s="54"/>
      <c r="I194" s="52">
        <f t="shared" si="7"/>
        <v>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40</v>
      </c>
      <c r="B195" s="63">
        <f>79+14</f>
        <v>93</v>
      </c>
      <c r="C195" s="63"/>
      <c r="D195" s="63"/>
      <c r="E195" s="54"/>
      <c r="F195" s="54"/>
      <c r="G195" s="54"/>
      <c r="H195" s="54"/>
      <c r="I195" s="52">
        <f t="shared" si="7"/>
        <v>5.4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45</v>
      </c>
      <c r="B196" s="63">
        <f>93+13+14</f>
        <v>120</v>
      </c>
      <c r="C196" s="63">
        <v>2</v>
      </c>
      <c r="D196" s="63">
        <f>13+14</f>
        <v>27</v>
      </c>
      <c r="E196" s="54"/>
      <c r="F196" s="54"/>
      <c r="G196" s="54"/>
      <c r="H196" s="54"/>
      <c r="I196" s="52">
        <f t="shared" si="7"/>
        <v>5.4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50</v>
      </c>
      <c r="B197" s="63">
        <f>107+14</f>
        <v>121</v>
      </c>
      <c r="C197" s="63"/>
      <c r="D197" s="63"/>
      <c r="E197" s="54"/>
      <c r="F197" s="54"/>
      <c r="G197" s="54"/>
      <c r="H197" s="54"/>
      <c r="I197" s="52">
        <f t="shared" si="7"/>
        <v>5.6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55</v>
      </c>
      <c r="B198" s="63">
        <f>121+14+14</f>
        <v>149</v>
      </c>
      <c r="C198" s="63">
        <v>3</v>
      </c>
      <c r="D198" s="63">
        <f>14+14</f>
        <v>28</v>
      </c>
      <c r="E198" s="54"/>
      <c r="F198" s="54"/>
      <c r="G198" s="54"/>
      <c r="H198" s="54"/>
      <c r="I198" s="52">
        <f t="shared" si="7"/>
        <v>5.6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60</v>
      </c>
      <c r="B199" s="53">
        <f>134+14</f>
        <v>148</v>
      </c>
      <c r="C199" s="53"/>
      <c r="D199" s="53"/>
      <c r="E199" s="54"/>
      <c r="F199" s="54"/>
      <c r="G199" s="54"/>
      <c r="H199" s="54"/>
      <c r="I199" s="52">
        <f t="shared" si="7"/>
        <v>5.4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65</v>
      </c>
      <c r="B200" s="53">
        <v>175</v>
      </c>
      <c r="C200" s="53">
        <v>4</v>
      </c>
      <c r="D200" s="53">
        <f>14+14</f>
        <v>28</v>
      </c>
      <c r="E200" s="54"/>
      <c r="F200" s="54"/>
      <c r="G200" s="54"/>
      <c r="H200" s="54"/>
      <c r="I200" s="52">
        <f t="shared" si="7"/>
        <v>5.4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70</v>
      </c>
      <c r="B201" s="53">
        <f>158+14</f>
        <v>172</v>
      </c>
      <c r="C201" s="53"/>
      <c r="D201" s="53"/>
      <c r="E201" s="54"/>
      <c r="F201" s="54"/>
      <c r="G201" s="54"/>
      <c r="H201" s="54"/>
      <c r="I201" s="52">
        <f t="shared" si="7"/>
        <v>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75</v>
      </c>
      <c r="B202" s="53">
        <f>169+14+14</f>
        <v>197</v>
      </c>
      <c r="C202" s="53">
        <v>5</v>
      </c>
      <c r="D202" s="53">
        <f>14+14</f>
        <v>28</v>
      </c>
      <c r="E202" s="54"/>
      <c r="F202" s="54"/>
      <c r="G202" s="54"/>
      <c r="H202" s="54"/>
      <c r="I202" s="52">
        <f t="shared" si="7"/>
        <v>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80</v>
      </c>
      <c r="B203" s="53">
        <f>178+14</f>
        <v>192</v>
      </c>
      <c r="C203" s="53"/>
      <c r="D203" s="53"/>
      <c r="E203" s="54"/>
      <c r="F203" s="54"/>
      <c r="G203" s="54"/>
      <c r="H203" s="54"/>
      <c r="I203" s="52">
        <f t="shared" si="7"/>
        <v>4.5999999999999996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85</v>
      </c>
      <c r="B204" s="53">
        <f>186+14+14</f>
        <v>214</v>
      </c>
      <c r="C204" s="53">
        <v>6</v>
      </c>
      <c r="D204" s="53">
        <f>14+14</f>
        <v>28</v>
      </c>
      <c r="E204" s="54"/>
      <c r="F204" s="54"/>
      <c r="G204" s="54"/>
      <c r="H204" s="54"/>
      <c r="I204" s="52">
        <f t="shared" si="7"/>
        <v>4.4000000000000004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90</v>
      </c>
      <c r="B205" s="53">
        <f>193+14</f>
        <v>207</v>
      </c>
      <c r="C205" s="53"/>
      <c r="D205" s="53"/>
      <c r="E205" s="54"/>
      <c r="F205" s="54"/>
      <c r="G205" s="54"/>
      <c r="H205" s="54"/>
      <c r="I205" s="52">
        <f t="shared" si="7"/>
        <v>4.2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95</v>
      </c>
      <c r="B206" s="53">
        <f>198+14+14</f>
        <v>226</v>
      </c>
      <c r="C206" s="53">
        <v>7</v>
      </c>
      <c r="D206" s="53">
        <f>14+14</f>
        <v>28</v>
      </c>
      <c r="E206" s="54"/>
      <c r="F206" s="54"/>
      <c r="G206" s="54"/>
      <c r="H206" s="54"/>
      <c r="I206" s="52">
        <f t="shared" si="7"/>
        <v>3.8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105</v>
      </c>
      <c r="B207" s="53">
        <f>204+14+14</f>
        <v>232</v>
      </c>
      <c r="C207" s="53">
        <v>8</v>
      </c>
      <c r="D207" s="53">
        <f>14+14</f>
        <v>28</v>
      </c>
      <c r="E207" s="54"/>
      <c r="F207" s="54"/>
      <c r="G207" s="54"/>
      <c r="H207" s="54"/>
      <c r="I207" s="52">
        <f t="shared" si="7"/>
        <v>3.4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115</v>
      </c>
      <c r="B208" s="53">
        <f>208+13+13</f>
        <v>234</v>
      </c>
      <c r="C208" s="53">
        <v>9</v>
      </c>
      <c r="D208" s="53">
        <f>13+13</f>
        <v>26</v>
      </c>
      <c r="E208" s="54"/>
      <c r="F208" s="54"/>
      <c r="G208" s="54"/>
      <c r="H208" s="54"/>
      <c r="I208" s="52">
        <f t="shared" si="7"/>
        <v>3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125</v>
      </c>
      <c r="B209" s="53">
        <f>209+12+11</f>
        <v>232</v>
      </c>
      <c r="C209" s="53">
        <v>10</v>
      </c>
      <c r="D209" s="53">
        <f>12+11</f>
        <v>23</v>
      </c>
      <c r="E209" s="54"/>
      <c r="F209" s="54"/>
      <c r="G209" s="54"/>
      <c r="H209" s="54"/>
      <c r="I209" s="52">
        <f t="shared" si="7"/>
        <v>2.4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135</v>
      </c>
      <c r="B210" s="53">
        <f>210+10+9</f>
        <v>229</v>
      </c>
      <c r="C210" s="53">
        <v>11</v>
      </c>
      <c r="D210" s="53">
        <f>10+9</f>
        <v>19</v>
      </c>
      <c r="E210" s="54"/>
      <c r="F210" s="54"/>
      <c r="G210" s="54"/>
      <c r="H210" s="54"/>
      <c r="I210" s="52">
        <f t="shared" si="7"/>
        <v>2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150</v>
      </c>
      <c r="B211" s="53">
        <f>211+8+7+6</f>
        <v>232</v>
      </c>
      <c r="C211" s="53">
        <v>12</v>
      </c>
      <c r="D211" s="53">
        <f>B211</f>
        <v>232</v>
      </c>
      <c r="E211" s="54"/>
      <c r="F211" s="54"/>
      <c r="G211" s="54"/>
      <c r="H211" s="54"/>
      <c r="I211" s="52">
        <f t="shared" si="7"/>
        <v>1.4666666666666666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Aulne glutineux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3">
        <f>26+3</f>
        <v>29</v>
      </c>
      <c r="C218" s="53"/>
      <c r="D218" s="63"/>
      <c r="E218" s="66"/>
      <c r="F218" s="66"/>
      <c r="G218" s="66"/>
      <c r="H218" s="66"/>
      <c r="I218" s="56">
        <f>IFERROR(B218/A218,"")</f>
        <v>1.9333333333333333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3">
        <f>61+3+7</f>
        <v>71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8.4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3">
        <f>80+3+7+14</f>
        <v>104</v>
      </c>
      <c r="C220" s="53">
        <v>1</v>
      </c>
      <c r="D220" s="63">
        <f>3+7+14</f>
        <v>24</v>
      </c>
      <c r="E220" s="66"/>
      <c r="F220" s="66"/>
      <c r="G220" s="66"/>
      <c r="H220" s="66">
        <v>1</v>
      </c>
      <c r="I220" s="56">
        <f t="shared" si="8"/>
        <v>6.6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>
        <v>30</v>
      </c>
      <c r="B221" s="58">
        <f>96+17</f>
        <v>113</v>
      </c>
      <c r="C221" s="58"/>
      <c r="D221" s="58"/>
      <c r="E221" s="66"/>
      <c r="F221" s="66"/>
      <c r="G221" s="66"/>
      <c r="H221" s="66"/>
      <c r="I221" s="56">
        <f t="shared" si="8"/>
        <v>6.6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>
        <v>35</v>
      </c>
      <c r="B222" s="58">
        <f>109+17+18</f>
        <v>144</v>
      </c>
      <c r="C222" s="58">
        <v>2</v>
      </c>
      <c r="D222" s="58">
        <f>17+18</f>
        <v>35</v>
      </c>
      <c r="E222" s="66"/>
      <c r="F222" s="66"/>
      <c r="G222" s="66"/>
      <c r="H222" s="66"/>
      <c r="I222" s="56">
        <f t="shared" si="8"/>
        <v>6.2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>
        <v>40</v>
      </c>
      <c r="B223" s="58">
        <f>120+19</f>
        <v>139</v>
      </c>
      <c r="C223" s="58"/>
      <c r="D223" s="58"/>
      <c r="E223" s="66"/>
      <c r="F223" s="66"/>
      <c r="G223" s="66"/>
      <c r="H223" s="66"/>
      <c r="I223" s="56">
        <f t="shared" si="8"/>
        <v>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>
        <v>45</v>
      </c>
      <c r="B224" s="58">
        <f>129+19+19</f>
        <v>167</v>
      </c>
      <c r="C224" s="58">
        <v>3</v>
      </c>
      <c r="D224" s="58">
        <f>19+19</f>
        <v>38</v>
      </c>
      <c r="E224" s="66"/>
      <c r="F224" s="66"/>
      <c r="G224" s="66"/>
      <c r="H224" s="66"/>
      <c r="I224" s="56">
        <f t="shared" si="8"/>
        <v>5.6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>
        <v>50</v>
      </c>
      <c r="B225" s="58">
        <f>136+18</f>
        <v>154</v>
      </c>
      <c r="C225" s="58"/>
      <c r="D225" s="58"/>
      <c r="E225" s="66"/>
      <c r="F225" s="66"/>
      <c r="G225" s="66"/>
      <c r="H225" s="66"/>
      <c r="I225" s="56">
        <f t="shared" si="8"/>
        <v>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>
        <v>55</v>
      </c>
      <c r="B226" s="58">
        <f>142+18+17</f>
        <v>177</v>
      </c>
      <c r="C226" s="58">
        <v>4</v>
      </c>
      <c r="D226" s="58">
        <f>18+17</f>
        <v>35</v>
      </c>
      <c r="E226" s="66"/>
      <c r="F226" s="66"/>
      <c r="G226" s="66"/>
      <c r="H226" s="66"/>
      <c r="I226" s="56">
        <f t="shared" si="8"/>
        <v>4.5999999999999996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>
        <v>60</v>
      </c>
      <c r="B227" s="58">
        <f>148+17</f>
        <v>165</v>
      </c>
      <c r="C227" s="58"/>
      <c r="D227" s="58"/>
      <c r="E227" s="66"/>
      <c r="F227" s="66"/>
      <c r="G227" s="66"/>
      <c r="H227" s="66"/>
      <c r="I227" s="56">
        <f t="shared" si="8"/>
        <v>4.5999999999999996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>
        <v>65</v>
      </c>
      <c r="B228" s="58">
        <f>153+17+16</f>
        <v>186</v>
      </c>
      <c r="C228" s="58">
        <v>5</v>
      </c>
      <c r="D228" s="58">
        <f>17+16</f>
        <v>33</v>
      </c>
      <c r="E228" s="66"/>
      <c r="F228" s="66"/>
      <c r="G228" s="66"/>
      <c r="H228" s="66"/>
      <c r="I228" s="56">
        <f t="shared" si="8"/>
        <v>4.2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>
        <v>70</v>
      </c>
      <c r="B229" s="58">
        <f>157+15</f>
        <v>172</v>
      </c>
      <c r="C229" s="58"/>
      <c r="D229" s="58"/>
      <c r="E229" s="66"/>
      <c r="F229" s="66"/>
      <c r="G229" s="66"/>
      <c r="H229" s="66"/>
      <c r="I229" s="56">
        <f t="shared" si="8"/>
        <v>3.8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>
        <v>75</v>
      </c>
      <c r="B230" s="58">
        <f>161+15+14</f>
        <v>190</v>
      </c>
      <c r="C230" s="58">
        <v>6</v>
      </c>
      <c r="D230" s="58">
        <f>15+14</f>
        <v>29</v>
      </c>
      <c r="E230" s="67"/>
      <c r="F230" s="67"/>
      <c r="G230" s="67"/>
      <c r="H230" s="67"/>
      <c r="I230" s="56">
        <f t="shared" si="8"/>
        <v>3.6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>
        <v>80</v>
      </c>
      <c r="B231" s="63">
        <f>165+13</f>
        <v>178</v>
      </c>
      <c r="C231" s="94"/>
      <c r="D231" s="63"/>
      <c r="E231" s="57"/>
      <c r="F231" s="57"/>
      <c r="G231" s="57"/>
      <c r="H231" s="57"/>
      <c r="I231" s="56">
        <f t="shared" si="8"/>
        <v>3.4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85</v>
      </c>
      <c r="B232" s="53">
        <f>168+13+12</f>
        <v>193</v>
      </c>
      <c r="C232" s="53"/>
      <c r="D232" s="53"/>
      <c r="E232" s="57"/>
      <c r="F232" s="57"/>
      <c r="G232" s="57"/>
      <c r="H232" s="57"/>
      <c r="I232" s="56">
        <f t="shared" si="8"/>
        <v>3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90</v>
      </c>
      <c r="B233" s="53">
        <f>171+13+12+11</f>
        <v>207</v>
      </c>
      <c r="C233" s="53">
        <v>7</v>
      </c>
      <c r="D233" s="53">
        <f>B233</f>
        <v>207</v>
      </c>
      <c r="E233" s="57"/>
      <c r="F233" s="57"/>
      <c r="G233" s="57"/>
      <c r="H233" s="57"/>
      <c r="I233" s="56">
        <f t="shared" si="8"/>
        <v>2.8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pédonculé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Aulne glutineux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Tulipier de Virginie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Bouleau verruqueux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Aulne à feuilles en cœur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Saule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Chêne pédonculé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Aulne glutineux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442.98179778678298</v>
      </c>
      <c r="T3" s="62">
        <f>IF('Données projet'!E9&gt;30,$R$33-$H$33,LOOKUP('Données projet'!$E$9,$A$3:$A$203,R3:R203)-LOOKUP('Données projet'!$E$9,$A$3:$A$203,$H$3:$H$203))</f>
        <v>251.96153561746942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304.35088214287919</v>
      </c>
      <c r="AO3" s="62">
        <f>IF('Données projet'!E10&gt;30,$AM$33-$H$33,LOOKUP('Données projet'!$E$10,$A$3:$A$203,AM3:AM203)-LOOKUP('Données projet'!$E$10,$A$3:$A$203,$H$3:$H$203))</f>
        <v>288.72611053217599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285.09561428624352</v>
      </c>
      <c r="BJ3" s="62">
        <f>IF('Données projet'!E11&gt;30,$BH$33-$H$33,LOOKUP('Données projet'!$E$11,$A$3:$A$203,BH3:BH203)-LOOKUP('Données projet'!$E$11,$A$3:$A$203,$H$3:$H$203))</f>
        <v>261.05678516705564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272.69564942740931</v>
      </c>
      <c r="CE3" s="62">
        <f>IF('Données projet'!E12&gt;30,$CC$33-$H$33,LOOKUP('Données projet'!$E$12,$A$3:$A$203,CC3:CC203)-LOOKUP('Données projet'!$E$12,$A$3:$A$203,$H$3:$H$203))</f>
        <v>316.57989180609252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304.35088214287919</v>
      </c>
      <c r="CZ3" s="62">
        <f>IF('Données projet'!E13&gt;30,$CX$33-$H$33,LOOKUP('Données projet'!$E$13,$A$3:$A$203,CX3:CX203)-LOOKUP('Données projet'!$E$13,$A$3:$A$203,$H$3:$H$203))</f>
        <v>288.72611053217599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172.86120068224633</v>
      </c>
      <c r="DU3" s="62">
        <f>IF('Données projet'!E14&gt;30,$DS$33-$H$33,LOOKUP('Données projet'!$E$14,$A$3:$A$203,DS3:DS203)-LOOKUP('Données projet'!$E$14,$A$3:$A$203,$H$3:$H$203))</f>
        <v>269.4995727085078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346.97972840139914</v>
      </c>
      <c r="EP3" s="62">
        <f>IF('Données projet'!E15&gt;30,$EN$33-$H$33,LOOKUP('Données projet'!$E$15,$A$3:$A$203,EN3:EN203)-LOOKUP('Données projet'!$E$15,$A$3:$A$203,$H$3:$H$203))</f>
        <v>158.41433650660613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235.88453308732235</v>
      </c>
      <c r="FK3" s="62">
        <f>IF('Données projet'!E16&gt;30,$FI$33-$H$33,LOOKUP('Données projet'!$E$16,$A$3:$A$203,FI3:FI203)-LOOKUP('Données projet'!$E$16,$A$3:$A$203,$H$3:$H$203))</f>
        <v>220.72810812053521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1.0155020926567102</v>
      </c>
      <c r="P4" s="14">
        <f>EXP(-1.0587+0.8836*LN(O4)+0.284)</f>
        <v>0.46714880239274614</v>
      </c>
      <c r="Q4" s="22">
        <f t="shared" ref="Q4:Q34" si="2">(O4+P4)*0.475*44/12</f>
        <v>2.5822836422111366</v>
      </c>
      <c r="R4" s="62">
        <f t="shared" si="0"/>
        <v>170.39471759513498</v>
      </c>
      <c r="S4" s="62">
        <f ca="1">AVERAGE(OFFSET($R$3,0,0,'Données projet'!$E$9+1,1))-AVERAGE(OFFSET($H$3,0,0,'Données projet'!$E$9+1,1))</f>
        <v>442.98179778678298</v>
      </c>
      <c r="T4" s="62">
        <f>$T$3</f>
        <v>251.96153561746942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1.1000000000000001</v>
      </c>
      <c r="AI4" s="14">
        <f>IF('Données projet'!$A$62&gt;35,AI3+AH4-AQ3,IF(A4&lt;'Données projet'!$A$62,$AF$205^A4,IF(A4='Données projet'!$A$62,'Données projet'!$B$62,AI3+AH4-AQ3)))</f>
        <v>1.2709816152101407</v>
      </c>
      <c r="AJ4" s="14">
        <f>AI4*VLOOKUP('Données projet'!$B$10,Paramètres!$A$1:$I$89,3,0)*VLOOKUP('Données projet'!$B$10,Paramètres!$A$1:$I$89,5,0)</f>
        <v>0.83274715428568413</v>
      </c>
      <c r="AK4" s="14">
        <f>EXP(-1.0587+0.8836*LN(AJ4)+0.284)</f>
        <v>0.39202836439738087</v>
      </c>
      <c r="AL4" s="22">
        <f t="shared" ref="AL4:AL67" si="4">(AJ4+AK4)*0.475*44/12</f>
        <v>2.1331506950396717</v>
      </c>
      <c r="AM4" s="62">
        <f t="shared" ref="AM4:AM67" si="5">AL4+(AD4+AE4)*44/12</f>
        <v>169.9455846479635</v>
      </c>
      <c r="AN4" s="62">
        <f ca="1">AVERAGE(OFFSET($AM$3,0,0,'Données projet'!$E$10+1,1))-AVERAGE(OFFSET($H$3,0,0,'Données projet'!$E$10+1,1))</f>
        <v>304.35088214287919</v>
      </c>
      <c r="AO4" s="62">
        <f>$AO$3</f>
        <v>288.72611053217599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4.7115384615384617</v>
      </c>
      <c r="BD4" s="13">
        <f>IF('Données projet'!$A$88&gt;35,BD3+BC4-BL3,IF(A4&lt;'Données projet'!$A$88,$BA$205^A4,IF(A4='Données projet'!$A$88,'Données projet'!$B$88,BD3+BC4-BL3)))</f>
        <v>1.2551904803974363</v>
      </c>
      <c r="BE4" s="14">
        <f>BD4*VLOOKUP('Données projet'!$B$11,Paramètres!$A$1:$I$89,3,0)*VLOOKUP('Données projet'!$B$11,Paramètres!$A$1:$I$89,5,0)</f>
        <v>0.80281983126220025</v>
      </c>
      <c r="BF4" s="14">
        <f>EXP(-1.0587+0.8836*LN(BE4)+0.284)</f>
        <v>0.37955315942051321</v>
      </c>
      <c r="BG4" s="22">
        <f t="shared" ref="BG4:BG67" si="7">(BE4+BF4)*0.475*44/12</f>
        <v>2.059299625439059</v>
      </c>
      <c r="BH4" s="62">
        <f t="shared" ref="BH4:BH67" si="8">BG4+(AY4+AZ4)*44/12</f>
        <v>169.87173357836289</v>
      </c>
      <c r="BI4" s="62">
        <f ca="1">AVERAGE(OFFSET($BH$3,0,0,'Données projet'!$E$11+1,1))-AVERAGE(OFFSET($H$3,0,0,'Données projet'!$E$11+1,1))</f>
        <v>285.09561428624352</v>
      </c>
      <c r="BJ4" s="62">
        <f>$BJ$3</f>
        <v>261.05678516705564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1.2457309396155174</v>
      </c>
      <c r="BZ4" s="14">
        <f>BY4*VLOOKUP('Données projet'!$B$12,Paramètres!$A$1:$I$89,3,0)*VLOOKUP('Données projet'!$B$12,Paramètres!$A$1:$I$89,5,0)</f>
        <v>1.0105369382161078</v>
      </c>
      <c r="CA4" s="14">
        <f>EXP(-1.0587+0.8836*LN(BZ4)+0.284)</f>
        <v>0.46513003316107315</v>
      </c>
      <c r="CB4" s="22">
        <f t="shared" ref="CB4:CB67" si="10">(BZ4+CA4)*0.475*44/12</f>
        <v>2.5701199751485899</v>
      </c>
      <c r="CC4" s="62">
        <f t="shared" ref="CC4:CC67" si="11">CB4+(BT4+BU4)*44/12</f>
        <v>170.38255392807244</v>
      </c>
      <c r="CD4" s="62">
        <f ca="1">AVERAGE(OFFSET($CC$3,0,0,'Données projet'!$E$12+1,1))-AVERAGE(OFFSET($H$3,0,0,'Données projet'!$E$12+1,1))</f>
        <v>272.69564942740931</v>
      </c>
      <c r="CE4" s="62">
        <f>$CE$3</f>
        <v>316.57989180609252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0.83274715428568413</v>
      </c>
      <c r="CV4" s="14">
        <f>EXP(-1.0587+0.8836*LN(CU4)+0.284)</f>
        <v>0.39202836439738087</v>
      </c>
      <c r="CW4" s="22">
        <f t="shared" ref="CW4:CW67" si="13">(CU4+CV4)*0.475*44/12</f>
        <v>2.1331506950396717</v>
      </c>
      <c r="CX4" s="62">
        <f t="shared" ref="CX4:CX67" si="14">CW4+(CO4+CP4)*44/12</f>
        <v>169.9455846479635</v>
      </c>
      <c r="CY4" s="62">
        <f ca="1">AVERAGE(OFFSET($CX$3,0,0,'Données projet'!$E$13+1,1))-AVERAGE(OFFSET($H$3,0,0,'Données projet'!$E$13+1,1))</f>
        <v>304.35088214287919</v>
      </c>
      <c r="CZ4" s="62">
        <f>$CZ$3</f>
        <v>288.72611053217599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4.8076923076923075</v>
      </c>
      <c r="DO4" s="13">
        <f>IF('Données projet'!$A$166&gt;35,DO3+DN4-DW3,IF(A4&lt;'Données projet'!$A$166,$DL$205^A4,IF(A4='Données projet'!$A$166,'Données projet'!$B$166,DO3+DN4-DW3)))</f>
        <v>1.751249345176924</v>
      </c>
      <c r="DP4" s="18">
        <f>DO4*VLOOKUP('Données projet'!$B$14,Paramètres!$A$1:$I$89,3,0)*VLOOKUP('Données projet'!$B$14,Paramètres!$A$1:$I$89,5,0)</f>
        <v>1.0108211220361205</v>
      </c>
      <c r="DQ4" s="14">
        <f>EXP(-1.0587+0.8836*LN(DP4)+0.284)</f>
        <v>0.46524560982036162</v>
      </c>
      <c r="DR4" s="22">
        <f t="shared" ref="DR4:DR67" si="16">(DP4+DQ4)*0.475*44/12</f>
        <v>2.5708162246500397</v>
      </c>
      <c r="DS4" s="62">
        <f t="shared" ref="DS4:DS67" si="17">DR4+(DJ4+DK4)*44/12</f>
        <v>170.38325017757387</v>
      </c>
      <c r="DT4" s="62">
        <f ca="1">AVERAGE(OFFSET($DS$3,0,0,'Données projet'!$E$14+1,1))-AVERAGE(OFFSET($H$3,0,0,'Données projet'!$E$14+1,1))</f>
        <v>172.86120068224633</v>
      </c>
      <c r="DU4" s="62">
        <f>$DU$3</f>
        <v>269.4995727085078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1.2</v>
      </c>
      <c r="EJ4" s="13">
        <f>IF('Données projet'!$A$192&gt;35,EJ3+EI4-ER3,IF(A4&lt;'Données projet'!$A$192,$EG$205^A4,IF(A4='Données projet'!$A$192,'Données projet'!$B$192,EJ3+EI4-ER3)))</f>
        <v>1.1457367676485573</v>
      </c>
      <c r="EK4" s="18">
        <f>EJ4*VLOOKUP('Données projet'!$B$15,Paramètres!$A$1:$I$89,3,0)*VLOOKUP('Données projet'!$B$15,Paramètres!$A$1:$I$89,5,0)</f>
        <v>0.96516865306714472</v>
      </c>
      <c r="EL4" s="14">
        <f>EXP(-1.0587+0.8836*LN(EK4)+0.284)</f>
        <v>0.44662955638776708</v>
      </c>
      <c r="EM4" s="22">
        <f t="shared" ref="EM4:EM67" si="19">(EK4+EL4)*0.475*44/12</f>
        <v>2.4588818814673044</v>
      </c>
      <c r="EN4" s="62">
        <f t="shared" ref="EN4:EN67" si="20">EM4+(EE4+EF4)*44/12</f>
        <v>170.27131583439115</v>
      </c>
      <c r="EO4" s="62">
        <f ca="1">AVERAGE(OFFSET($EN$3,0,0,'Données projet'!$E$15+1,1))-AVERAGE(OFFSET($H$3,0,0,'Données projet'!$E$15+1,1))</f>
        <v>346.97972840139914</v>
      </c>
      <c r="EP4" s="62">
        <f>$EP$3</f>
        <v>158.41433650660613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1.9333333333333333</v>
      </c>
      <c r="FE4" s="13">
        <f>IF('Données projet'!$A$218&gt;35,FE3+FD4-FM3,IF(A4&lt;'Données projet'!$A$218,$FB$205^A4,IF(A4='Données projet'!$A$218,'Données projet'!$B$218,FE3+FD4-FM3)))</f>
        <v>1.2516796742016716</v>
      </c>
      <c r="FF4" s="18">
        <f>FE4*VLOOKUP('Données projet'!$B$16,Paramètres!$A$1:$I$89,3,0)*VLOOKUP('Données projet'!$B$16,Paramètres!$A$1:$I$89,5,0)</f>
        <v>0.82010052253693522</v>
      </c>
      <c r="FG4" s="14">
        <f>EXP(-1.0587+0.8836*LN(FF4)+0.284)</f>
        <v>0.38676309271340364</v>
      </c>
      <c r="FH4" s="22">
        <f t="shared" ref="FH4:FH67" si="22">(FF4+FG4)*0.475*44/12</f>
        <v>2.1019541298943403</v>
      </c>
      <c r="FI4" s="62">
        <f t="shared" ref="FI4:FI67" si="23">FH4+(EZ4+FA4)*44/12</f>
        <v>169.91438808281819</v>
      </c>
      <c r="FJ4" s="62">
        <f ca="1">AVERAGE(OFFSET($FI$3,0,0,'Données projet'!$E$16+1,1))-AVERAGE(OFFSET($H$3,0,0,'Données projet'!$E$16+1,1))</f>
        <v>235.88453308732235</v>
      </c>
      <c r="FK4" s="62">
        <f>$FK$3</f>
        <v>220.72810812053521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1.2241743829417828</v>
      </c>
      <c r="P5" s="14">
        <f t="shared" ref="P5:P68" si="33">EXP(-1.0587+0.8836*LN(O5)+0.284)</f>
        <v>0.55102384568700224</v>
      </c>
      <c r="Q5" s="22">
        <f t="shared" si="2"/>
        <v>3.0918035815284672</v>
      </c>
      <c r="R5" s="62">
        <f t="shared" si="0"/>
        <v>173.6890848690293</v>
      </c>
      <c r="S5" s="62">
        <f ca="1">AVERAGE(OFFSET($R$3,0,0,'Données projet'!$E$9+1,1))-AVERAGE(OFFSET($H$3,0,0,'Données projet'!$E$9+1,1))</f>
        <v>442.98179778678298</v>
      </c>
      <c r="T5" s="62">
        <f t="shared" ref="T5:T68" si="34">$T$3</f>
        <v>251.96153561746942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1.1000000000000001</v>
      </c>
      <c r="AI5" s="14">
        <f>IF('Données projet'!$A$62&gt;35,AI4+AH5-AQ4,IF(A5&lt;'Données projet'!$A$62,$AF$205^A5,IF(A5='Données projet'!$A$62,'Données projet'!$B$62,AI4+AH5-AQ4)))</f>
        <v>1.6153942662021783</v>
      </c>
      <c r="AJ5" s="14">
        <f>AI5*VLOOKUP('Données projet'!$B$10,Paramètres!$A$1:$I$89,3,0)*VLOOKUP('Données projet'!$B$10,Paramètres!$A$1:$I$89,5,0)</f>
        <v>1.0584063232156671</v>
      </c>
      <c r="AK5" s="14">
        <f t="shared" ref="AK5:AK68" si="35">EXP(-1.0587+0.8836*LN(AJ5)+0.284)</f>
        <v>0.48454592807852009</v>
      </c>
      <c r="AL5" s="22">
        <f t="shared" si="4"/>
        <v>2.6873085043373757</v>
      </c>
      <c r="AM5" s="62">
        <f t="shared" si="5"/>
        <v>173.28458979183821</v>
      </c>
      <c r="AN5" s="62">
        <f ca="1">AVERAGE(OFFSET($AM$3,0,0,'Données projet'!$E$10+1,1))-AVERAGE(OFFSET($H$3,0,0,'Données projet'!$E$10+1,1))</f>
        <v>304.35088214287919</v>
      </c>
      <c r="AO5" s="62">
        <f t="shared" ref="AO5:AO68" si="36">$AO$3</f>
        <v>288.72611053217599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4.7115384615384617</v>
      </c>
      <c r="BD5" s="13">
        <f>IF('Données projet'!$A$88&gt;35,BD4+BC5-BL4,IF(A5&lt;'Données projet'!$A$88,$BA$205^A5,IF(A5='Données projet'!$A$88,'Données projet'!$B$88,BD4+BC5-BL4)))</f>
        <v>1.5755031420803469</v>
      </c>
      <c r="BE5" s="14">
        <f>BD5*VLOOKUP('Données projet'!$B$11,Paramètres!$A$1:$I$89,3,0)*VLOOKUP('Données projet'!$B$11,Paramètres!$A$1:$I$89,5,0)</f>
        <v>1.0076918096745897</v>
      </c>
      <c r="BF5" s="14">
        <f t="shared" ref="BF5:BF68" si="37">EXP(-1.0587+0.8836*LN(BE5)+0.284)</f>
        <v>0.46397271965493531</v>
      </c>
      <c r="BG5" s="22">
        <f t="shared" si="7"/>
        <v>2.5631490552489224</v>
      </c>
      <c r="BH5" s="62">
        <f t="shared" si="8"/>
        <v>173.16043034274975</v>
      </c>
      <c r="BI5" s="62">
        <f ca="1">AVERAGE(OFFSET($BH$3,0,0,'Données projet'!$E$11+1,1))-AVERAGE(OFFSET($H$3,0,0,'Données projet'!$E$11+1,1))</f>
        <v>285.09561428624352</v>
      </c>
      <c r="BJ5" s="62">
        <f t="shared" ref="BJ5:BJ68" si="38">$BJ$3</f>
        <v>261.05678516705564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1.5518455739153598</v>
      </c>
      <c r="BZ5" s="14">
        <f>BY5*VLOOKUP('Données projet'!$B$12,Paramètres!$A$1:$I$89,3,0)*VLOOKUP('Données projet'!$B$12,Paramètres!$A$1:$I$89,5,0)</f>
        <v>1.2588571295601401</v>
      </c>
      <c r="CA5" s="14">
        <f t="shared" ref="CA5:CA68" si="39">EXP(-1.0587+0.8836*LN(BZ5)+0.284)</f>
        <v>0.56479552972512193</v>
      </c>
      <c r="CB5" s="22">
        <f t="shared" si="10"/>
        <v>3.1761950482551646</v>
      </c>
      <c r="CC5" s="62">
        <f t="shared" si="11"/>
        <v>173.77347633575599</v>
      </c>
      <c r="CD5" s="62">
        <f ca="1">AVERAGE(OFFSET($CC$3,0,0,'Données projet'!$E$12+1,1))-AVERAGE(OFFSET($H$3,0,0,'Données projet'!$E$12+1,1))</f>
        <v>272.69564942740931</v>
      </c>
      <c r="CE5" s="62">
        <f t="shared" ref="CE5:CE68" si="40">$CE$3</f>
        <v>316.57989180609252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1.0584063232156671</v>
      </c>
      <c r="CV5" s="14">
        <f t="shared" ref="CV5:CV68" si="41">EXP(-1.0587+0.8836*LN(CU5)+0.284)</f>
        <v>0.48454592807852009</v>
      </c>
      <c r="CW5" s="22">
        <f t="shared" si="13"/>
        <v>2.6873085043373757</v>
      </c>
      <c r="CX5" s="62">
        <f t="shared" si="14"/>
        <v>173.28458979183821</v>
      </c>
      <c r="CY5" s="62">
        <f ca="1">AVERAGE(OFFSET($CX$3,0,0,'Données projet'!$E$13+1,1))-AVERAGE(OFFSET($H$3,0,0,'Données projet'!$E$13+1,1))</f>
        <v>304.35088214287919</v>
      </c>
      <c r="CZ5" s="62">
        <f t="shared" ref="CZ5:CZ68" si="42">$CZ$3</f>
        <v>288.72611053217599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4.8076923076923075</v>
      </c>
      <c r="DO5" s="13">
        <f>IF('Données projet'!$A$166&gt;35,DO4+DN5-DW4,IF(A5&lt;'Données projet'!$A$166,$DL$205^A5,IF(A5='Données projet'!$A$166,'Données projet'!$B$166,DO4+DN5-DW4)))</f>
        <v>3.066874268982605</v>
      </c>
      <c r="DP5" s="18">
        <f>DO5*VLOOKUP('Données projet'!$B$14,Paramètres!$A$1:$I$89,3,0)*VLOOKUP('Données projet'!$B$14,Paramètres!$A$1:$I$89,5,0)</f>
        <v>1.7701998280567597</v>
      </c>
      <c r="DQ5" s="14">
        <f t="shared" ref="DQ5:DQ68" si="43">EXP(-1.0587+0.8836*LN(DP5)+0.284)</f>
        <v>0.76331634844478491</v>
      </c>
      <c r="DR5" s="22">
        <f t="shared" si="16"/>
        <v>4.4125406740735231</v>
      </c>
      <c r="DS5" s="62">
        <f t="shared" si="17"/>
        <v>175.00982196157435</v>
      </c>
      <c r="DT5" s="62">
        <f ca="1">AVERAGE(OFFSET($DS$3,0,0,'Données projet'!$E$14+1,1))-AVERAGE(OFFSET($H$3,0,0,'Données projet'!$E$14+1,1))</f>
        <v>172.86120068224633</v>
      </c>
      <c r="DU5" s="62">
        <f t="shared" ref="DU5:DU68" si="44">$DU$3</f>
        <v>269.4995727085078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1.2</v>
      </c>
      <c r="EJ5" s="13">
        <f>IF('Données projet'!$A$192&gt;35,EJ4+EI5-ER4,IF(A5&lt;'Données projet'!$A$192,$EG$205^A5,IF(A5='Données projet'!$A$192,'Données projet'!$B$192,EJ4+EI5-ER4)))</f>
        <v>1.312712740741764</v>
      </c>
      <c r="EK5" s="18">
        <f>EJ5*VLOOKUP('Données projet'!$B$15,Paramètres!$A$1:$I$89,3,0)*VLOOKUP('Données projet'!$B$15,Paramètres!$A$1:$I$89,5,0)</f>
        <v>1.105829212800862</v>
      </c>
      <c r="EL5" s="14">
        <f t="shared" ref="EL5:EL68" si="45">EXP(-1.0587+0.8836*LN(EK5)+0.284)</f>
        <v>0.50368014736662359</v>
      </c>
      <c r="EM5" s="22">
        <f t="shared" si="19"/>
        <v>2.803228802291704</v>
      </c>
      <c r="EN5" s="62">
        <f t="shared" si="20"/>
        <v>173.40051008979253</v>
      </c>
      <c r="EO5" s="62">
        <f ca="1">AVERAGE(OFFSET($EN$3,0,0,'Données projet'!$E$15+1,1))-AVERAGE(OFFSET($H$3,0,0,'Données projet'!$E$15+1,1))</f>
        <v>346.97972840139914</v>
      </c>
      <c r="EP5" s="62">
        <f t="shared" ref="EP5:EP68" si="46">$EP$3</f>
        <v>158.41433650660613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1.9333333333333333</v>
      </c>
      <c r="FE5" s="13">
        <f>IF('Données projet'!$A$218&gt;35,FE4+FD5-FM4,IF(A5&lt;'Données projet'!$A$218,$FB$205^A5,IF(A5='Données projet'!$A$218,'Données projet'!$B$218,FE4+FD5-FM4)))</f>
        <v>1.5667020068096027</v>
      </c>
      <c r="FF5" s="18">
        <f>FE5*VLOOKUP('Données projet'!$B$16,Paramètres!$A$1:$I$89,3,0)*VLOOKUP('Données projet'!$B$16,Paramètres!$A$1:$I$89,5,0)</f>
        <v>1.0265031548616517</v>
      </c>
      <c r="FG5" s="14">
        <f t="shared" ref="FG5:FG68" si="47">EXP(-1.0587+0.8836*LN(FF5)+0.284)</f>
        <v>0.4716176128966833</v>
      </c>
      <c r="FH5" s="22">
        <f t="shared" si="22"/>
        <v>2.6092270038457666</v>
      </c>
      <c r="FI5" s="62">
        <f t="shared" si="23"/>
        <v>173.20650829134661</v>
      </c>
      <c r="FJ5" s="62">
        <f ca="1">AVERAGE(OFFSET($FI$3,0,0,'Données projet'!$E$16+1,1))-AVERAGE(OFFSET($H$3,0,0,'Données projet'!$E$16+1,1))</f>
        <v>235.88453308732235</v>
      </c>
      <c r="FK5" s="62">
        <f t="shared" ref="FK5:FK68" si="48">$FK$3</f>
        <v>220.72810812053521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1.4757260774621526</v>
      </c>
      <c r="P6" s="14">
        <f t="shared" si="33"/>
        <v>0.64995837934402878</v>
      </c>
      <c r="Q6" s="22">
        <f t="shared" si="2"/>
        <v>3.7022337622707653</v>
      </c>
      <c r="R6" s="62">
        <f t="shared" si="0"/>
        <v>177.05725433215565</v>
      </c>
      <c r="S6" s="62">
        <f ca="1">AVERAGE(OFFSET($R$3,0,0,'Données projet'!$E$9+1,1))-AVERAGE(OFFSET($H$3,0,0,'Données projet'!$E$9+1,1))</f>
        <v>442.98179778678298</v>
      </c>
      <c r="T6" s="62">
        <f t="shared" si="34"/>
        <v>251.96153561746942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1.1000000000000001</v>
      </c>
      <c r="AI6" s="14">
        <f>IF('Données projet'!$A$62&gt;35,AI5+AH6-AQ5,IF(A6&lt;'Données projet'!$A$62,$AF$205^A6,IF(A6='Données projet'!$A$62,'Données projet'!$B$62,AI5+AH6-AQ5)))</f>
        <v>2.0531364136588448</v>
      </c>
      <c r="AJ6" s="14">
        <f>AI6*VLOOKUP('Données projet'!$B$10,Paramètres!$A$1:$I$89,3,0)*VLOOKUP('Données projet'!$B$10,Paramètres!$A$1:$I$89,5,0)</f>
        <v>1.3452149782292753</v>
      </c>
      <c r="AK6" s="14">
        <f t="shared" si="35"/>
        <v>0.59889737003693966</v>
      </c>
      <c r="AL6" s="22">
        <f t="shared" si="4"/>
        <v>3.3859956732303242</v>
      </c>
      <c r="AM6" s="62">
        <f t="shared" si="5"/>
        <v>176.74101624311521</v>
      </c>
      <c r="AN6" s="62">
        <f ca="1">AVERAGE(OFFSET($AM$3,0,0,'Données projet'!$E$10+1,1))-AVERAGE(OFFSET($H$3,0,0,'Données projet'!$E$10+1,1))</f>
        <v>304.35088214287919</v>
      </c>
      <c r="AO6" s="62">
        <f t="shared" si="36"/>
        <v>288.72611053217599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4.7115384615384617</v>
      </c>
      <c r="BD6" s="13">
        <f>IF('Données projet'!$A$88&gt;35,BD5+BC6-BL5,IF(A6&lt;'Données projet'!$A$88,$BA$205^A6,IF(A6='Données projet'!$A$88,'Données projet'!$B$88,BD5+BC6-BL5)))</f>
        <v>1.9775565457755009</v>
      </c>
      <c r="BE6" s="14">
        <f>BD6*VLOOKUP('Données projet'!$B$11,Paramètres!$A$1:$I$89,3,0)*VLOOKUP('Données projet'!$B$11,Paramètres!$A$1:$I$89,5,0)</f>
        <v>1.2648451666780103</v>
      </c>
      <c r="BF6" s="14">
        <f t="shared" si="37"/>
        <v>0.56716873312993621</v>
      </c>
      <c r="BG6" s="22">
        <f t="shared" si="7"/>
        <v>3.1907575421655068</v>
      </c>
      <c r="BH6" s="62">
        <f t="shared" si="8"/>
        <v>176.54577811205039</v>
      </c>
      <c r="BI6" s="62">
        <f ca="1">AVERAGE(OFFSET($BH$3,0,0,'Données projet'!$E$11+1,1))-AVERAGE(OFFSET($H$3,0,0,'Données projet'!$E$11+1,1))</f>
        <v>285.09561428624352</v>
      </c>
      <c r="BJ6" s="62">
        <f t="shared" si="38"/>
        <v>261.05678516705564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1.9331820449317632</v>
      </c>
      <c r="BZ6" s="14">
        <f>BY6*VLOOKUP('Données projet'!$B$12,Paramètres!$A$1:$I$89,3,0)*VLOOKUP('Données projet'!$B$12,Paramètres!$A$1:$I$89,5,0)</f>
        <v>1.5681972748486466</v>
      </c>
      <c r="CA6" s="14">
        <f t="shared" si="39"/>
        <v>0.68581679886281277</v>
      </c>
      <c r="CB6" s="22">
        <f t="shared" si="10"/>
        <v>3.9257411783807914</v>
      </c>
      <c r="CC6" s="62">
        <f t="shared" si="11"/>
        <v>177.28076174826569</v>
      </c>
      <c r="CD6" s="62">
        <f ca="1">AVERAGE(OFFSET($CC$3,0,0,'Données projet'!$E$12+1,1))-AVERAGE(OFFSET($H$3,0,0,'Données projet'!$E$12+1,1))</f>
        <v>272.69564942740931</v>
      </c>
      <c r="CE6" s="62">
        <f t="shared" si="40"/>
        <v>316.57989180609252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1.3452149782292753</v>
      </c>
      <c r="CV6" s="14">
        <f t="shared" si="41"/>
        <v>0.59889737003693966</v>
      </c>
      <c r="CW6" s="22">
        <f t="shared" si="13"/>
        <v>3.3859956732303242</v>
      </c>
      <c r="CX6" s="62">
        <f t="shared" si="14"/>
        <v>176.74101624311521</v>
      </c>
      <c r="CY6" s="62">
        <f ca="1">AVERAGE(OFFSET($CX$3,0,0,'Données projet'!$E$13+1,1))-AVERAGE(OFFSET($H$3,0,0,'Données projet'!$E$13+1,1))</f>
        <v>304.35088214287919</v>
      </c>
      <c r="CZ6" s="62">
        <f t="shared" si="42"/>
        <v>288.72611053217599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4.8076923076923075</v>
      </c>
      <c r="DO6" s="13">
        <f>IF('Données projet'!$A$166&gt;35,DO5+DN6-DW5,IF(A6&lt;'Données projet'!$A$166,$DL$205^A6,IF(A6='Données projet'!$A$166,'Données projet'!$B$166,DO5+DN6-DW5)))</f>
        <v>5.3708615552957442</v>
      </c>
      <c r="DP6" s="18">
        <f>DO6*VLOOKUP('Données projet'!$B$14,Paramètres!$A$1:$I$89,3,0)*VLOOKUP('Données projet'!$B$14,Paramètres!$A$1:$I$89,5,0)</f>
        <v>3.1000612897167037</v>
      </c>
      <c r="DQ6" s="14">
        <f t="shared" si="43"/>
        <v>1.2523532420392989</v>
      </c>
      <c r="DR6" s="22">
        <f t="shared" si="16"/>
        <v>7.5804553094750355</v>
      </c>
      <c r="DS6" s="62">
        <f t="shared" si="17"/>
        <v>180.93547587935993</v>
      </c>
      <c r="DT6" s="62">
        <f ca="1">AVERAGE(OFFSET($DS$3,0,0,'Données projet'!$E$14+1,1))-AVERAGE(OFFSET($H$3,0,0,'Données projet'!$E$14+1,1))</f>
        <v>172.86120068224633</v>
      </c>
      <c r="DU6" s="62">
        <f t="shared" si="44"/>
        <v>269.4995727085078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1.2</v>
      </c>
      <c r="EJ6" s="13">
        <f>IF('Données projet'!$A$192&gt;35,EJ5+EI6-ER5,IF(A6&lt;'Données projet'!$A$192,$EG$205^A6,IF(A6='Données projet'!$A$192,'Données projet'!$B$192,EJ5+EI6-ER5)))</f>
        <v>1.5040232524285473</v>
      </c>
      <c r="EK6" s="18">
        <f>EJ6*VLOOKUP('Données projet'!$B$15,Paramètres!$A$1:$I$89,3,0)*VLOOKUP('Données projet'!$B$15,Paramètres!$A$1:$I$89,5,0)</f>
        <v>1.2669891878458084</v>
      </c>
      <c r="EL6" s="14">
        <f t="shared" si="45"/>
        <v>0.5680181421558339</v>
      </c>
      <c r="EM6" s="22">
        <f t="shared" si="19"/>
        <v>3.1959710997528603</v>
      </c>
      <c r="EN6" s="62">
        <f t="shared" si="20"/>
        <v>176.55099166963774</v>
      </c>
      <c r="EO6" s="62">
        <f ca="1">AVERAGE(OFFSET($EN$3,0,0,'Données projet'!$E$15+1,1))-AVERAGE(OFFSET($H$3,0,0,'Données projet'!$E$15+1,1))</f>
        <v>346.97972840139914</v>
      </c>
      <c r="EP6" s="62">
        <f t="shared" si="46"/>
        <v>158.41433650660613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1.9333333333333333</v>
      </c>
      <c r="FE6" s="13">
        <f>IF('Données projet'!$A$218&gt;35,FE5+FD6-FM5,IF(A6&lt;'Données projet'!$A$218,$FB$205^A6,IF(A6='Données projet'!$A$218,'Données projet'!$B$218,FE5+FD6-FM5)))</f>
        <v>1.9610090574545487</v>
      </c>
      <c r="FF6" s="18">
        <f>FE6*VLOOKUP('Données projet'!$B$16,Paramètres!$A$1:$I$89,3,0)*VLOOKUP('Données projet'!$B$16,Paramètres!$A$1:$I$89,5,0)</f>
        <v>1.2848531344442202</v>
      </c>
      <c r="FG6" s="14">
        <f t="shared" si="47"/>
        <v>0.5750889290752057</v>
      </c>
      <c r="FH6" s="22">
        <f t="shared" si="22"/>
        <v>3.2393990939630002</v>
      </c>
      <c r="FI6" s="62">
        <f t="shared" si="23"/>
        <v>176.59441966384787</v>
      </c>
      <c r="FJ6" s="62">
        <f ca="1">AVERAGE(OFFSET($FI$3,0,0,'Données projet'!$E$16+1,1))-AVERAGE(OFFSET($H$3,0,0,'Données projet'!$E$16+1,1))</f>
        <v>235.88453308732235</v>
      </c>
      <c r="FK6" s="62">
        <f t="shared" si="48"/>
        <v>220.72810812053521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1.7789683284079942</v>
      </c>
      <c r="P7" s="14">
        <f t="shared" si="33"/>
        <v>0.76665628572357314</v>
      </c>
      <c r="Q7" s="22">
        <f t="shared" si="2"/>
        <v>4.4336295362791462</v>
      </c>
      <c r="R7" s="62">
        <f t="shared" si="0"/>
        <v>180.51975160045609</v>
      </c>
      <c r="S7" s="62">
        <f ca="1">AVERAGE(OFFSET($R$3,0,0,'Données projet'!$E$9+1,1))-AVERAGE(OFFSET($H$3,0,0,'Données projet'!$E$9+1,1))</f>
        <v>442.98179778678298</v>
      </c>
      <c r="T7" s="62">
        <f t="shared" si="34"/>
        <v>251.96153561746942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1.1000000000000001</v>
      </c>
      <c r="AI7" s="14">
        <f>IF('Données projet'!$A$62&gt;35,AI6+AH7-AQ6,IF(A7&lt;'Données projet'!$A$62,$AF$205^A7,IF(A7='Données projet'!$A$62,'Données projet'!$B$62,AI6+AH7-AQ6)))</f>
        <v>2.6094986352788743</v>
      </c>
      <c r="AJ7" s="14">
        <f>AI7*VLOOKUP('Données projet'!$B$10,Paramètres!$A$1:$I$89,3,0)*VLOOKUP('Données projet'!$B$10,Paramètres!$A$1:$I$89,5,0)</f>
        <v>1.7097435058347183</v>
      </c>
      <c r="AK7" s="14">
        <f t="shared" si="35"/>
        <v>0.74023542259349984</v>
      </c>
      <c r="AL7" s="22">
        <f t="shared" si="4"/>
        <v>4.2670466336791462</v>
      </c>
      <c r="AM7" s="62">
        <f t="shared" si="5"/>
        <v>180.35316869785609</v>
      </c>
      <c r="AN7" s="62">
        <f ca="1">AVERAGE(OFFSET($AM$3,0,0,'Données projet'!$E$10+1,1))-AVERAGE(OFFSET($H$3,0,0,'Données projet'!$E$10+1,1))</f>
        <v>304.35088214287919</v>
      </c>
      <c r="AO7" s="62">
        <f t="shared" si="36"/>
        <v>288.72611053217599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4.7115384615384617</v>
      </c>
      <c r="BD7" s="13">
        <f>IF('Données projet'!$A$88&gt;35,BD6+BC7-BL6,IF(A7&lt;'Données projet'!$A$88,$BA$205^A7,IF(A7='Données projet'!$A$88,'Données projet'!$B$88,BD6+BC7-BL6)))</f>
        <v>2.482210150705046</v>
      </c>
      <c r="BE7" s="14">
        <f>BD7*VLOOKUP('Données projet'!$B$11,Paramètres!$A$1:$I$89,3,0)*VLOOKUP('Données projet'!$B$11,Paramètres!$A$1:$I$89,5,0)</f>
        <v>1.5876216123909475</v>
      </c>
      <c r="BF7" s="14">
        <f t="shared" si="37"/>
        <v>0.69331742624750925</v>
      </c>
      <c r="BG7" s="22">
        <f t="shared" si="7"/>
        <v>3.972635492295312</v>
      </c>
      <c r="BH7" s="62">
        <f t="shared" si="8"/>
        <v>180.05875755647227</v>
      </c>
      <c r="BI7" s="62">
        <f ca="1">AVERAGE(OFFSET($BH$3,0,0,'Données projet'!$E$11+1,1))-AVERAGE(OFFSET($H$3,0,0,'Données projet'!$E$11+1,1))</f>
        <v>285.09561428624352</v>
      </c>
      <c r="BJ7" s="62">
        <f t="shared" si="38"/>
        <v>261.05678516705564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2.4082246852806923</v>
      </c>
      <c r="BZ7" s="14">
        <f>BY7*VLOOKUP('Données projet'!$B$12,Paramètres!$A$1:$I$89,3,0)*VLOOKUP('Données projet'!$B$12,Paramètres!$A$1:$I$89,5,0)</f>
        <v>1.9535518646996977</v>
      </c>
      <c r="CA7" s="14">
        <f t="shared" si="39"/>
        <v>0.83276983766381052</v>
      </c>
      <c r="CB7" s="22">
        <f t="shared" si="10"/>
        <v>4.8528436316164436</v>
      </c>
      <c r="CC7" s="62">
        <f t="shared" si="11"/>
        <v>180.9389656957934</v>
      </c>
      <c r="CD7" s="62">
        <f ca="1">AVERAGE(OFFSET($CC$3,0,0,'Données projet'!$E$12+1,1))-AVERAGE(OFFSET($H$3,0,0,'Données projet'!$E$12+1,1))</f>
        <v>272.69564942740931</v>
      </c>
      <c r="CE7" s="62">
        <f t="shared" si="40"/>
        <v>316.57989180609252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1.7097435058347183</v>
      </c>
      <c r="CV7" s="14">
        <f t="shared" si="41"/>
        <v>0.74023542259349984</v>
      </c>
      <c r="CW7" s="22">
        <f t="shared" si="13"/>
        <v>4.2670466336791462</v>
      </c>
      <c r="CX7" s="62">
        <f t="shared" si="14"/>
        <v>180.35316869785609</v>
      </c>
      <c r="CY7" s="62">
        <f ca="1">AVERAGE(OFFSET($CX$3,0,0,'Données projet'!$E$13+1,1))-AVERAGE(OFFSET($H$3,0,0,'Données projet'!$E$13+1,1))</f>
        <v>304.35088214287919</v>
      </c>
      <c r="CZ7" s="62">
        <f t="shared" si="42"/>
        <v>288.72611053217599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4.8076923076923075</v>
      </c>
      <c r="DO7" s="13">
        <f>IF('Données projet'!$A$166&gt;35,DO6+DN7-DW6,IF(A7&lt;'Données projet'!$A$166,$DL$205^A7,IF(A7='Données projet'!$A$166,'Données projet'!$B$166,DO6+DN7-DW6)))</f>
        <v>9.4057177817475868</v>
      </c>
      <c r="DP7" s="18">
        <f>DO7*VLOOKUP('Données projet'!$B$14,Paramètres!$A$1:$I$89,3,0)*VLOOKUP('Données projet'!$B$14,Paramètres!$A$1:$I$89,5,0)</f>
        <v>5.4289803036247077</v>
      </c>
      <c r="DQ7" s="14">
        <f t="shared" si="43"/>
        <v>2.0547033298079467</v>
      </c>
      <c r="DR7" s="22">
        <f t="shared" si="16"/>
        <v>13.034082328228541</v>
      </c>
      <c r="DS7" s="62">
        <f t="shared" si="17"/>
        <v>189.1202043924055</v>
      </c>
      <c r="DT7" s="62">
        <f ca="1">AVERAGE(OFFSET($DS$3,0,0,'Données projet'!$E$14+1,1))-AVERAGE(OFFSET($H$3,0,0,'Données projet'!$E$14+1,1))</f>
        <v>172.86120068224633</v>
      </c>
      <c r="DU7" s="62">
        <f t="shared" si="44"/>
        <v>269.4995727085078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1.2</v>
      </c>
      <c r="EJ7" s="13">
        <f>IF('Données projet'!$A$192&gt;35,EJ6+EI7-ER6,IF(A7&lt;'Données projet'!$A$192,$EG$205^A7,IF(A7='Données projet'!$A$192,'Données projet'!$B$192,EJ6+EI7-ER6)))</f>
        <v>1.7232147397057538</v>
      </c>
      <c r="EK7" s="18">
        <f>EJ7*VLOOKUP('Données projet'!$B$15,Paramètres!$A$1:$I$89,3,0)*VLOOKUP('Données projet'!$B$15,Paramètres!$A$1:$I$89,5,0)</f>
        <v>1.4516360967281272</v>
      </c>
      <c r="EL7" s="14">
        <f t="shared" si="45"/>
        <v>0.6405744032299836</v>
      </c>
      <c r="EM7" s="22">
        <f t="shared" si="19"/>
        <v>3.6439332874270431</v>
      </c>
      <c r="EN7" s="62">
        <f t="shared" si="20"/>
        <v>179.73005535160399</v>
      </c>
      <c r="EO7" s="62">
        <f ca="1">AVERAGE(OFFSET($EN$3,0,0,'Données projet'!$E$15+1,1))-AVERAGE(OFFSET($H$3,0,0,'Données projet'!$E$15+1,1))</f>
        <v>346.97972840139914</v>
      </c>
      <c r="EP7" s="62">
        <f t="shared" si="46"/>
        <v>158.41433650660613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1.9333333333333333</v>
      </c>
      <c r="FE7" s="13">
        <f>IF('Données projet'!$A$218&gt;35,FE6+FD7-FM6,IF(A7&lt;'Données projet'!$A$218,$FB$205^A7,IF(A7='Données projet'!$A$218,'Données projet'!$B$218,FE6+FD7-FM6)))</f>
        <v>2.4545551781412365</v>
      </c>
      <c r="FF7" s="18">
        <f>FE7*VLOOKUP('Données projet'!$B$16,Paramètres!$A$1:$I$89,3,0)*VLOOKUP('Données projet'!$B$16,Paramètres!$A$1:$I$89,5,0)</f>
        <v>1.608224552718138</v>
      </c>
      <c r="FG7" s="14">
        <f t="shared" si="47"/>
        <v>0.70126150360147599</v>
      </c>
      <c r="FH7" s="22">
        <f t="shared" si="22"/>
        <v>4.0223548814233281</v>
      </c>
      <c r="FI7" s="62">
        <f t="shared" si="23"/>
        <v>180.10847694560027</v>
      </c>
      <c r="FJ7" s="62">
        <f ca="1">AVERAGE(OFFSET($FI$3,0,0,'Données projet'!$E$16+1,1))-AVERAGE(OFFSET($H$3,0,0,'Données projet'!$E$16+1,1))</f>
        <v>235.88453308732235</v>
      </c>
      <c r="FK7" s="62">
        <f t="shared" si="48"/>
        <v>220.72810812053521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2.1445228635663907</v>
      </c>
      <c r="P8" s="14">
        <f t="shared" si="33"/>
        <v>0.90430692044106609</v>
      </c>
      <c r="Q8" s="22">
        <f t="shared" si="2"/>
        <v>5.3100452071463202</v>
      </c>
      <c r="R8" s="62">
        <f t="shared" si="0"/>
        <v>184.10109308359367</v>
      </c>
      <c r="S8" s="62">
        <f ca="1">AVERAGE(OFFSET($R$3,0,0,'Données projet'!$E$9+1,1))-AVERAGE(OFFSET($H$3,0,0,'Données projet'!$E$9+1,1))</f>
        <v>442.98179778678298</v>
      </c>
      <c r="T8" s="62">
        <f t="shared" si="34"/>
        <v>251.96153561746942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1.1000000000000001</v>
      </c>
      <c r="AI8" s="14">
        <f>IF('Données projet'!$A$62&gt;35,AI7+AH8-AQ7,IF(A8&lt;'Données projet'!$A$62,$AF$205^A8,IF(A8='Données projet'!$A$62,'Données projet'!$B$62,AI7+AH8-AQ7)))</f>
        <v>3.3166247903554016</v>
      </c>
      <c r="AJ8" s="14">
        <f>AI8*VLOOKUP('Données projet'!$B$10,Paramètres!$A$1:$I$89,3,0)*VLOOKUP('Données projet'!$B$10,Paramètres!$A$1:$I$89,5,0)</f>
        <v>2.173052562640859</v>
      </c>
      <c r="AK8" s="14">
        <f t="shared" si="35"/>
        <v>0.91492884804015795</v>
      </c>
      <c r="AL8" s="22">
        <f t="shared" si="4"/>
        <v>5.3782342902694369</v>
      </c>
      <c r="AM8" s="62">
        <f t="shared" si="5"/>
        <v>184.16928216671678</v>
      </c>
      <c r="AN8" s="62">
        <f ca="1">AVERAGE(OFFSET($AM$3,0,0,'Données projet'!$E$10+1,1))-AVERAGE(OFFSET($H$3,0,0,'Données projet'!$E$10+1,1))</f>
        <v>304.35088214287919</v>
      </c>
      <c r="AO8" s="62">
        <f t="shared" si="36"/>
        <v>288.72611053217599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4.7115384615384617</v>
      </c>
      <c r="BD8" s="13">
        <f>IF('Données projet'!$A$88&gt;35,BD7+BC8-BL7,IF(A8&lt;'Données projet'!$A$88,$BA$205^A8,IF(A8='Données projet'!$A$88,'Données projet'!$B$88,BD7+BC8-BL7)))</f>
        <v>3.1156465515108596</v>
      </c>
      <c r="BE8" s="14">
        <f>BD8*VLOOKUP('Données projet'!$B$11,Paramètres!$A$1:$I$89,3,0)*VLOOKUP('Données projet'!$B$11,Paramètres!$A$1:$I$89,5,0)</f>
        <v>1.9927675343463458</v>
      </c>
      <c r="BF8" s="14">
        <f t="shared" si="37"/>
        <v>0.84752389449569021</v>
      </c>
      <c r="BG8" s="22">
        <f t="shared" si="7"/>
        <v>4.9468409052332136</v>
      </c>
      <c r="BH8" s="62">
        <f t="shared" si="8"/>
        <v>183.73788878168057</v>
      </c>
      <c r="BI8" s="62">
        <f ca="1">AVERAGE(OFFSET($BH$3,0,0,'Données projet'!$E$11+1,1))-AVERAGE(OFFSET($H$3,0,0,'Données projet'!$E$11+1,1))</f>
        <v>285.09561428624352</v>
      </c>
      <c r="BJ8" s="62">
        <f t="shared" si="38"/>
        <v>261.05678516705564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3.0000000000000004</v>
      </c>
      <c r="BZ8" s="14">
        <f>BY8*VLOOKUP('Données projet'!$B$12,Paramètres!$A$1:$I$89,3,0)*VLOOKUP('Données projet'!$B$12,Paramètres!$A$1:$I$89,5,0)</f>
        <v>2.4336000000000007</v>
      </c>
      <c r="CA8" s="14">
        <f t="shared" si="39"/>
        <v>1.0112111626203177</v>
      </c>
      <c r="CB8" s="22">
        <f t="shared" si="10"/>
        <v>5.9997127748970547</v>
      </c>
      <c r="CC8" s="62">
        <f t="shared" si="11"/>
        <v>184.79076065134441</v>
      </c>
      <c r="CD8" s="62">
        <f ca="1">AVERAGE(OFFSET($CC$3,0,0,'Données projet'!$E$12+1,1))-AVERAGE(OFFSET($H$3,0,0,'Données projet'!$E$12+1,1))</f>
        <v>272.69564942740931</v>
      </c>
      <c r="CE8" s="62">
        <f t="shared" si="40"/>
        <v>316.57989180609252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2.173052562640859</v>
      </c>
      <c r="CV8" s="14">
        <f t="shared" si="41"/>
        <v>0.91492884804015795</v>
      </c>
      <c r="CW8" s="22">
        <f t="shared" si="13"/>
        <v>5.3782342902694369</v>
      </c>
      <c r="CX8" s="62">
        <f t="shared" si="14"/>
        <v>184.16928216671678</v>
      </c>
      <c r="CY8" s="62">
        <f ca="1">AVERAGE(OFFSET($CX$3,0,0,'Données projet'!$E$13+1,1))-AVERAGE(OFFSET($H$3,0,0,'Données projet'!$E$13+1,1))</f>
        <v>304.35088214287919</v>
      </c>
      <c r="CZ8" s="62">
        <f t="shared" si="42"/>
        <v>288.72611053217599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4.8076923076923075</v>
      </c>
      <c r="DO8" s="13">
        <f>IF('Données projet'!$A$166&gt;35,DO7+DN8-DW7,IF(A8&lt;'Données projet'!$A$166,$DL$205^A8,IF(A8='Données projet'!$A$166,'Données projet'!$B$166,DO7+DN8-DW7)))</f>
        <v>16.471757106204411</v>
      </c>
      <c r="DP8" s="18">
        <f>DO8*VLOOKUP('Données projet'!$B$14,Paramètres!$A$1:$I$89,3,0)*VLOOKUP('Données projet'!$B$14,Paramètres!$A$1:$I$89,5,0)</f>
        <v>9.5074982017011855</v>
      </c>
      <c r="DQ8" s="14">
        <f t="shared" si="43"/>
        <v>3.3710982107964895</v>
      </c>
      <c r="DR8" s="22">
        <f t="shared" si="16"/>
        <v>22.430222085100116</v>
      </c>
      <c r="DS8" s="62">
        <f t="shared" si="17"/>
        <v>201.22126996154748</v>
      </c>
      <c r="DT8" s="62">
        <f ca="1">AVERAGE(OFFSET($DS$3,0,0,'Données projet'!$E$14+1,1))-AVERAGE(OFFSET($H$3,0,0,'Données projet'!$E$14+1,1))</f>
        <v>172.86120068224633</v>
      </c>
      <c r="DU8" s="62">
        <f t="shared" si="44"/>
        <v>269.4995727085078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1.2</v>
      </c>
      <c r="EJ8" s="13">
        <f>IF('Données projet'!$A$192&gt;35,EJ7+EI8-ER7,IF(A8&lt;'Données projet'!$A$192,$EG$205^A8,IF(A8='Données projet'!$A$192,'Données projet'!$B$192,EJ7+EI8-ER7)))</f>
        <v>1.9743504858348202</v>
      </c>
      <c r="EK8" s="18">
        <f>EJ8*VLOOKUP('Données projet'!$B$15,Paramètres!$A$1:$I$89,3,0)*VLOOKUP('Données projet'!$B$15,Paramètres!$A$1:$I$89,5,0)</f>
        <v>1.6631928492672525</v>
      </c>
      <c r="EL8" s="14">
        <f t="shared" si="45"/>
        <v>0.72239869754173336</v>
      </c>
      <c r="EM8" s="22">
        <f t="shared" si="19"/>
        <v>4.1549052773589841</v>
      </c>
      <c r="EN8" s="62">
        <f t="shared" si="20"/>
        <v>182.94595315380633</v>
      </c>
      <c r="EO8" s="62">
        <f ca="1">AVERAGE(OFFSET($EN$3,0,0,'Données projet'!$E$15+1,1))-AVERAGE(OFFSET($H$3,0,0,'Données projet'!$E$15+1,1))</f>
        <v>346.97972840139914</v>
      </c>
      <c r="EP8" s="62">
        <f t="shared" si="46"/>
        <v>158.41433650660613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1.9333333333333333</v>
      </c>
      <c r="FE8" s="13">
        <f>IF('Données projet'!$A$218&gt;35,FE7+FD8-FM7,IF(A8&lt;'Données projet'!$A$218,$FB$205^A8,IF(A8='Données projet'!$A$218,'Données projet'!$B$218,FE7+FD8-FM7)))</f>
        <v>3.0723168256858489</v>
      </c>
      <c r="FF8" s="18">
        <f>FE8*VLOOKUP('Données projet'!$B$16,Paramètres!$A$1:$I$89,3,0)*VLOOKUP('Données projet'!$B$16,Paramètres!$A$1:$I$89,5,0)</f>
        <v>2.0129819841893681</v>
      </c>
      <c r="FG8" s="14">
        <f t="shared" si="47"/>
        <v>0.85511591611441595</v>
      </c>
      <c r="FH8" s="22">
        <f t="shared" si="22"/>
        <v>4.9952705096957573</v>
      </c>
      <c r="FI8" s="62">
        <f t="shared" si="23"/>
        <v>183.78631838614311</v>
      </c>
      <c r="FJ8" s="62">
        <f ca="1">AVERAGE(OFFSET($FI$3,0,0,'Données projet'!$E$16+1,1))-AVERAGE(OFFSET($H$3,0,0,'Données projet'!$E$16+1,1))</f>
        <v>235.88453308732235</v>
      </c>
      <c r="FK8" s="62">
        <f t="shared" si="48"/>
        <v>220.72810812053521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2.5851940357334171</v>
      </c>
      <c r="P9" s="14">
        <f t="shared" si="33"/>
        <v>1.0666722775067177</v>
      </c>
      <c r="Q9" s="22">
        <f t="shared" si="2"/>
        <v>6.3603338288932347</v>
      </c>
      <c r="R9" s="62">
        <f t="shared" si="0"/>
        <v>187.83058592515221</v>
      </c>
      <c r="S9" s="62">
        <f ca="1">AVERAGE(OFFSET($R$3,0,0,'Données projet'!$E$9+1,1))-AVERAGE(OFFSET($H$3,0,0,'Données projet'!$E$9+1,1))</f>
        <v>442.98179778678298</v>
      </c>
      <c r="T9" s="62">
        <f t="shared" si="34"/>
        <v>251.96153561746942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1.1000000000000001</v>
      </c>
      <c r="AI9" s="14">
        <f>IF('Données projet'!$A$62&gt;35,AI8+AH9-AQ8,IF(A9&lt;'Données projet'!$A$62,$AF$205^A9,IF(A9='Données projet'!$A$62,'Données projet'!$B$62,AI8+AH9-AQ8)))</f>
        <v>4.2153691330919028</v>
      </c>
      <c r="AJ9" s="14">
        <f>AI9*VLOOKUP('Données projet'!$B$10,Paramètres!$A$1:$I$89,3,0)*VLOOKUP('Données projet'!$B$10,Paramètres!$A$1:$I$89,5,0)</f>
        <v>2.7619098560018145</v>
      </c>
      <c r="AK9" s="14">
        <f t="shared" si="35"/>
        <v>1.1308494182070246</v>
      </c>
      <c r="AL9" s="22">
        <f t="shared" si="4"/>
        <v>6.7798890692470613</v>
      </c>
      <c r="AM9" s="62">
        <f t="shared" si="5"/>
        <v>188.25014116550602</v>
      </c>
      <c r="AN9" s="62">
        <f ca="1">AVERAGE(OFFSET($AM$3,0,0,'Données projet'!$E$10+1,1))-AVERAGE(OFFSET($H$3,0,0,'Données projet'!$E$10+1,1))</f>
        <v>304.35088214287919</v>
      </c>
      <c r="AO9" s="62">
        <f t="shared" si="36"/>
        <v>288.72611053217599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4.7115384615384617</v>
      </c>
      <c r="BD9" s="13">
        <f>IF('Données projet'!$A$88&gt;35,BD8+BC9-BL8,IF(A9&lt;'Données projet'!$A$88,$BA$205^A9,IF(A9='Données projet'!$A$88,'Données projet'!$B$88,BD8+BC9-BL8)))</f>
        <v>3.9107298917395314</v>
      </c>
      <c r="BE9" s="14">
        <f>BD9*VLOOKUP('Données projet'!$B$11,Paramètres!$A$1:$I$89,3,0)*VLOOKUP('Données projet'!$B$11,Paramètres!$A$1:$I$89,5,0)</f>
        <v>2.5013028387566041</v>
      </c>
      <c r="BF9" s="14">
        <f t="shared" si="37"/>
        <v>1.0360286999114241</v>
      </c>
      <c r="BG9" s="22">
        <f t="shared" si="7"/>
        <v>6.1608524298468161</v>
      </c>
      <c r="BH9" s="62">
        <f t="shared" si="8"/>
        <v>187.63110452610579</v>
      </c>
      <c r="BI9" s="62">
        <f ca="1">AVERAGE(OFFSET($BH$3,0,0,'Données projet'!$E$11+1,1))-AVERAGE(OFFSET($H$3,0,0,'Données projet'!$E$11+1,1))</f>
        <v>285.09561428624352</v>
      </c>
      <c r="BJ9" s="62">
        <f t="shared" si="38"/>
        <v>261.05678516705564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3.7371928188465526</v>
      </c>
      <c r="BZ9" s="14">
        <f>BY9*VLOOKUP('Données projet'!$B$12,Paramètres!$A$1:$I$89,3,0)*VLOOKUP('Données projet'!$B$12,Paramètres!$A$1:$I$89,5,0)</f>
        <v>3.0316108146483236</v>
      </c>
      <c r="CA9" s="14">
        <f t="shared" si="39"/>
        <v>1.2278879099133964</v>
      </c>
      <c r="CB9" s="22">
        <f t="shared" si="10"/>
        <v>7.4186269452783291</v>
      </c>
      <c r="CC9" s="62">
        <f t="shared" si="11"/>
        <v>188.88887904153731</v>
      </c>
      <c r="CD9" s="62">
        <f ca="1">AVERAGE(OFFSET($CC$3,0,0,'Données projet'!$E$12+1,1))-AVERAGE(OFFSET($H$3,0,0,'Données projet'!$E$12+1,1))</f>
        <v>272.69564942740931</v>
      </c>
      <c r="CE9" s="62">
        <f t="shared" si="40"/>
        <v>316.57989180609252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2.7619098560018145</v>
      </c>
      <c r="CV9" s="14">
        <f t="shared" si="41"/>
        <v>1.1308494182070246</v>
      </c>
      <c r="CW9" s="22">
        <f t="shared" si="13"/>
        <v>6.7798890692470613</v>
      </c>
      <c r="CX9" s="62">
        <f t="shared" si="14"/>
        <v>188.25014116550602</v>
      </c>
      <c r="CY9" s="62">
        <f ca="1">AVERAGE(OFFSET($CX$3,0,0,'Données projet'!$E$13+1,1))-AVERAGE(OFFSET($H$3,0,0,'Données projet'!$E$13+1,1))</f>
        <v>304.35088214287919</v>
      </c>
      <c r="CZ9" s="62">
        <f t="shared" si="42"/>
        <v>288.72611053217599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>
        <f>VLOOKUP(A9,'Données projet'!$A$165:$I$185,2,0)</f>
        <v>28.846153846153847</v>
      </c>
      <c r="DM9" s="13">
        <f>VLOOKUP(A9,'Données projet'!$A$165:$I$185,9,0)</f>
        <v>4.8076923076923075</v>
      </c>
      <c r="DN9" s="13">
        <f t="array" ref="DN9">INDEX(DM:DM,MIN(IF(ISNUMBER(DM9:DM205),ROW(DM9:DM205),"")))</f>
        <v>4.8076923076923075</v>
      </c>
      <c r="DO9" s="13">
        <f>IF('Données projet'!$A$166&gt;35,DO8+DN9-DW8,IF(A9&lt;'Données projet'!$A$166,$DL$205^A9,IF(A9='Données projet'!$A$166,'Données projet'!$B$166,DO8+DN9-DW8)))</f>
        <v>28.846153846153847</v>
      </c>
      <c r="DP9" s="18">
        <f>DO9*VLOOKUP('Données projet'!$B$14,Paramètres!$A$1:$I$89,3,0)*VLOOKUP('Données projet'!$B$14,Paramètres!$A$1:$I$89,5,0)</f>
        <v>16.650000000000002</v>
      </c>
      <c r="DQ9" s="14">
        <f t="shared" si="43"/>
        <v>5.5308729888015131</v>
      </c>
      <c r="DR9" s="22">
        <f t="shared" si="16"/>
        <v>38.631687122162631</v>
      </c>
      <c r="DS9" s="62">
        <f t="shared" si="17"/>
        <v>220.10193921842159</v>
      </c>
      <c r="DT9" s="62">
        <f ca="1">AVERAGE(OFFSET($DS$3,0,0,'Données projet'!$E$14+1,1))-AVERAGE(OFFSET($H$3,0,0,'Données projet'!$E$14+1,1))</f>
        <v>172.86120068224633</v>
      </c>
      <c r="DU9" s="62">
        <f t="shared" si="44"/>
        <v>269.4995727085078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1.2</v>
      </c>
      <c r="EJ9" s="13">
        <f>IF('Données projet'!$A$192&gt;35,EJ8+EI9-ER8,IF(A9&lt;'Données projet'!$A$192,$EG$205^A9,IF(A9='Données projet'!$A$192,'Données projet'!$B$192,EJ8+EI9-ER8)))</f>
        <v>2.2620859438457455</v>
      </c>
      <c r="EK9" s="18">
        <f>EJ9*VLOOKUP('Données projet'!$B$15,Paramètres!$A$1:$I$89,3,0)*VLOOKUP('Données projet'!$B$15,Paramètres!$A$1:$I$89,5,0)</f>
        <v>1.9055811990956562</v>
      </c>
      <c r="EL9" s="14">
        <f t="shared" si="45"/>
        <v>0.81467488488239048</v>
      </c>
      <c r="EM9" s="22">
        <f t="shared" si="19"/>
        <v>4.7377793462617648</v>
      </c>
      <c r="EN9" s="62">
        <f t="shared" si="20"/>
        <v>186.20803144252073</v>
      </c>
      <c r="EO9" s="62">
        <f ca="1">AVERAGE(OFFSET($EN$3,0,0,'Données projet'!$E$15+1,1))-AVERAGE(OFFSET($H$3,0,0,'Données projet'!$E$15+1,1))</f>
        <v>346.97972840139914</v>
      </c>
      <c r="EP9" s="62">
        <f t="shared" si="46"/>
        <v>158.41433650660613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1.9333333333333333</v>
      </c>
      <c r="FE9" s="13">
        <f>IF('Données projet'!$A$218&gt;35,FE8+FD9-FM8,IF(A9&lt;'Données projet'!$A$218,$FB$205^A9,IF(A9='Données projet'!$A$218,'Données projet'!$B$218,FE8+FD9-FM8)))</f>
        <v>3.845556523418777</v>
      </c>
      <c r="FF9" s="18">
        <f>FE9*VLOOKUP('Données projet'!$B$16,Paramètres!$A$1:$I$89,3,0)*VLOOKUP('Données projet'!$B$16,Paramètres!$A$1:$I$89,5,0)</f>
        <v>2.5196086341439825</v>
      </c>
      <c r="FG9" s="14">
        <f t="shared" si="47"/>
        <v>1.0427254686544836</v>
      </c>
      <c r="FH9" s="22">
        <f t="shared" si="22"/>
        <v>6.2043985623739948</v>
      </c>
      <c r="FI9" s="62">
        <f t="shared" si="23"/>
        <v>187.67465065863297</v>
      </c>
      <c r="FJ9" s="62">
        <f ca="1">AVERAGE(OFFSET($FI$3,0,0,'Données projet'!$E$16+1,1))-AVERAGE(OFFSET($H$3,0,0,'Données projet'!$E$16+1,1))</f>
        <v>235.88453308732235</v>
      </c>
      <c r="FK9" s="62">
        <f t="shared" si="48"/>
        <v>220.72810812053521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3.1164173233748005</v>
      </c>
      <c r="P10" s="14">
        <f t="shared" si="33"/>
        <v>1.2581898046809412</v>
      </c>
      <c r="Q10" s="22">
        <f t="shared" si="2"/>
        <v>7.6191074146970825</v>
      </c>
      <c r="R10" s="62">
        <f t="shared" si="0"/>
        <v>191.74328835043332</v>
      </c>
      <c r="S10" s="62">
        <f ca="1">AVERAGE(OFFSET($R$3,0,0,'Données projet'!$E$9+1,1))-AVERAGE(OFFSET($H$3,0,0,'Données projet'!$E$9+1,1))</f>
        <v>442.98179778678298</v>
      </c>
      <c r="T10" s="62">
        <f t="shared" si="34"/>
        <v>251.96153561746942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1.1000000000000001</v>
      </c>
      <c r="AI10" s="14">
        <f>IF('Données projet'!$A$62&gt;35,AI9+AH10-AQ9,IF(A10&lt;'Données projet'!$A$62,$AF$205^A10,IF(A10='Données projet'!$A$62,'Données projet'!$B$62,AI9+AH10-AQ9)))</f>
        <v>5.3576566694841175</v>
      </c>
      <c r="AJ10" s="14">
        <f>AI10*VLOOKUP('Données projet'!$B$10,Paramètres!$A$1:$I$89,3,0)*VLOOKUP('Données projet'!$B$10,Paramètres!$A$1:$I$89,5,0)</f>
        <v>3.510336649845994</v>
      </c>
      <c r="AK10" s="14">
        <f t="shared" si="35"/>
        <v>1.397726620379814</v>
      </c>
      <c r="AL10" s="22">
        <f t="shared" si="4"/>
        <v>8.5482101956432839</v>
      </c>
      <c r="AM10" s="62">
        <f t="shared" si="5"/>
        <v>192.67239113137953</v>
      </c>
      <c r="AN10" s="62">
        <f ca="1">AVERAGE(OFFSET($AM$3,0,0,'Données projet'!$E$10+1,1))-AVERAGE(OFFSET($H$3,0,0,'Données projet'!$E$10+1,1))</f>
        <v>304.35088214287919</v>
      </c>
      <c r="AO10" s="62">
        <f t="shared" si="36"/>
        <v>288.72611053217599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4.7115384615384617</v>
      </c>
      <c r="BD10" s="13">
        <f>IF('Données projet'!$A$88&gt;35,BD9+BC10-BL9,IF(A10&lt;'Données projet'!$A$88,$BA$205^A10,IF(A10='Données projet'!$A$88,'Données projet'!$B$88,BD9+BC10-BL9)))</f>
        <v>4.908710931517156</v>
      </c>
      <c r="BE10" s="14">
        <f>BD10*VLOOKUP('Données projet'!$B$11,Paramètres!$A$1:$I$89,3,0)*VLOOKUP('Données projet'!$B$11,Paramètres!$A$1:$I$89,5,0)</f>
        <v>3.1396115117983725</v>
      </c>
      <c r="BF10" s="14">
        <f t="shared" si="37"/>
        <v>1.2664604195954194</v>
      </c>
      <c r="BG10" s="22">
        <f t="shared" si="7"/>
        <v>7.673908613844187</v>
      </c>
      <c r="BH10" s="62">
        <f t="shared" si="8"/>
        <v>191.79808954958042</v>
      </c>
      <c r="BI10" s="62">
        <f ca="1">AVERAGE(OFFSET($BH$3,0,0,'Données projet'!$E$11+1,1))-AVERAGE(OFFSET($H$3,0,0,'Données projet'!$E$11+1,1))</f>
        <v>285.09561428624352</v>
      </c>
      <c r="BJ10" s="62">
        <f t="shared" si="38"/>
        <v>261.05678516705564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4.6555367217460804</v>
      </c>
      <c r="BZ10" s="14">
        <f>BY10*VLOOKUP('Données projet'!$B$12,Paramètres!$A$1:$I$89,3,0)*VLOOKUP('Données projet'!$B$12,Paramètres!$A$1:$I$89,5,0)</f>
        <v>3.7765713886804204</v>
      </c>
      <c r="CA10" s="14">
        <f t="shared" si="39"/>
        <v>1.490992954829151</v>
      </c>
      <c r="CB10" s="22">
        <f t="shared" si="10"/>
        <v>9.1743412316125035</v>
      </c>
      <c r="CC10" s="62">
        <f t="shared" si="11"/>
        <v>193.29852216734875</v>
      </c>
      <c r="CD10" s="62">
        <f ca="1">AVERAGE(OFFSET($CC$3,0,0,'Données projet'!$E$12+1,1))-AVERAGE(OFFSET($H$3,0,0,'Données projet'!$E$12+1,1))</f>
        <v>272.69564942740931</v>
      </c>
      <c r="CE10" s="62">
        <f t="shared" si="40"/>
        <v>316.57989180609252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3.510336649845994</v>
      </c>
      <c r="CV10" s="14">
        <f t="shared" si="41"/>
        <v>1.397726620379814</v>
      </c>
      <c r="CW10" s="22">
        <f t="shared" si="13"/>
        <v>8.5482101956432839</v>
      </c>
      <c r="CX10" s="62">
        <f t="shared" si="14"/>
        <v>192.67239113137953</v>
      </c>
      <c r="CY10" s="62">
        <f ca="1">AVERAGE(OFFSET($CX$3,0,0,'Données projet'!$E$13+1,1))-AVERAGE(OFFSET($H$3,0,0,'Données projet'!$E$13+1,1))</f>
        <v>304.35088214287919</v>
      </c>
      <c r="CZ10" s="62">
        <f t="shared" si="42"/>
        <v>288.72611053217599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10.897435897435898</v>
      </c>
      <c r="DO10" s="13">
        <f>IF('Données projet'!$A$166&gt;35,DO9+DN10-DW9,IF(A10&lt;'Données projet'!$A$166,$DL$205^A10,IF(A10='Données projet'!$A$166,'Données projet'!$B$166,DO9+DN10-DW9)))</f>
        <v>39.743589743589745</v>
      </c>
      <c r="DP10" s="18">
        <f>DO10*VLOOKUP('Données projet'!$B$14,Paramètres!$A$1:$I$89,3,0)*VLOOKUP('Données projet'!$B$14,Paramètres!$A$1:$I$89,5,0)</f>
        <v>22.94</v>
      </c>
      <c r="DQ10" s="14">
        <f t="shared" si="43"/>
        <v>7.3412904213612764</v>
      </c>
      <c r="DR10" s="22">
        <f t="shared" si="16"/>
        <v>52.739914150537551</v>
      </c>
      <c r="DS10" s="62">
        <f t="shared" si="17"/>
        <v>236.86409508627378</v>
      </c>
      <c r="DT10" s="62">
        <f ca="1">AVERAGE(OFFSET($DS$3,0,0,'Données projet'!$E$14+1,1))-AVERAGE(OFFSET($H$3,0,0,'Données projet'!$E$14+1,1))</f>
        <v>172.86120068224633</v>
      </c>
      <c r="DU10" s="62">
        <f t="shared" si="44"/>
        <v>269.4995727085078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1.2</v>
      </c>
      <c r="EJ10" s="13">
        <f>IF('Données projet'!$A$192&gt;35,EJ9+EI10-ER9,IF(A10&lt;'Données projet'!$A$192,$EG$205^A10,IF(A10='Données projet'!$A$192,'Données projet'!$B$192,EJ9+EI10-ER9)))</f>
        <v>2.5917550374450604</v>
      </c>
      <c r="EK10" s="18">
        <f>EJ10*VLOOKUP('Données projet'!$B$15,Paramètres!$A$1:$I$89,3,0)*VLOOKUP('Données projet'!$B$15,Paramètres!$A$1:$I$89,5,0)</f>
        <v>2.1832944435437192</v>
      </c>
      <c r="EL10" s="14">
        <f t="shared" si="45"/>
        <v>0.91873804634011569</v>
      </c>
      <c r="EM10" s="22">
        <f t="shared" si="19"/>
        <v>5.4027065865476773</v>
      </c>
      <c r="EN10" s="62">
        <f t="shared" si="20"/>
        <v>189.52688752228391</v>
      </c>
      <c r="EO10" s="62">
        <f ca="1">AVERAGE(OFFSET($EN$3,0,0,'Données projet'!$E$15+1,1))-AVERAGE(OFFSET($H$3,0,0,'Données projet'!$E$15+1,1))</f>
        <v>346.97972840139914</v>
      </c>
      <c r="EP10" s="62">
        <f t="shared" si="46"/>
        <v>158.41433650660613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1.9333333333333333</v>
      </c>
      <c r="FE10" s="13">
        <f>IF('Données projet'!$A$218&gt;35,FE9+FD10-FM9,IF(A10&lt;'Données projet'!$A$218,$FB$205^A10,IF(A10='Données projet'!$A$218,'Données projet'!$B$218,FE9+FD10-FM9)))</f>
        <v>4.8134049363569282</v>
      </c>
      <c r="FF10" s="18">
        <f>FE10*VLOOKUP('Données projet'!$B$16,Paramètres!$A$1:$I$89,3,0)*VLOOKUP('Données projet'!$B$16,Paramètres!$A$1:$I$89,5,0)</f>
        <v>3.1537429143010591</v>
      </c>
      <c r="FG10" s="14">
        <f t="shared" si="47"/>
        <v>1.2714959252790159</v>
      </c>
      <c r="FH10" s="22">
        <f t="shared" si="22"/>
        <v>7.7072909789352968</v>
      </c>
      <c r="FI10" s="62">
        <f t="shared" si="23"/>
        <v>191.83147191467154</v>
      </c>
      <c r="FJ10" s="62">
        <f ca="1">AVERAGE(OFFSET($FI$3,0,0,'Données projet'!$E$16+1,1))-AVERAGE(OFFSET($H$3,0,0,'Données projet'!$E$16+1,1))</f>
        <v>235.88453308732235</v>
      </c>
      <c r="FK10" s="62">
        <f t="shared" si="48"/>
        <v>220.72810812053521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3.7567999922587045</v>
      </c>
      <c r="P11" s="14">
        <f t="shared" si="33"/>
        <v>1.4840936789913857</v>
      </c>
      <c r="Q11" s="22">
        <f t="shared" si="2"/>
        <v>9.127889810760573</v>
      </c>
      <c r="R11" s="62">
        <f t="shared" si="0"/>
        <v>195.88116267698112</v>
      </c>
      <c r="S11" s="62">
        <f ca="1">AVERAGE(OFFSET($R$3,0,0,'Données projet'!$E$9+1,1))-AVERAGE(OFFSET($H$3,0,0,'Données projet'!$E$9+1,1))</f>
        <v>442.98179778678298</v>
      </c>
      <c r="T11" s="62">
        <f t="shared" si="34"/>
        <v>251.96153561746942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1.1000000000000001</v>
      </c>
      <c r="AI11" s="14">
        <f>IF('Données projet'!$A$62&gt;35,AI10+AH11-AQ10,IF(A11&lt;'Données projet'!$A$62,$AF$205^A11,IF(A11='Données projet'!$A$62,'Données projet'!$B$62,AI10+AH11-AQ10)))</f>
        <v>6.8094831275223076</v>
      </c>
      <c r="AJ11" s="14">
        <f>AI11*VLOOKUP('Données projet'!$B$10,Paramètres!$A$1:$I$89,3,0)*VLOOKUP('Données projet'!$B$10,Paramètres!$A$1:$I$89,5,0)</f>
        <v>4.4615733451526163</v>
      </c>
      <c r="AK11" s="14">
        <f t="shared" si="35"/>
        <v>1.7275860727911023</v>
      </c>
      <c r="AL11" s="22">
        <f t="shared" si="4"/>
        <v>10.779452652918643</v>
      </c>
      <c r="AM11" s="62">
        <f t="shared" si="5"/>
        <v>197.53272551913921</v>
      </c>
      <c r="AN11" s="62">
        <f ca="1">AVERAGE(OFFSET($AM$3,0,0,'Données projet'!$E$10+1,1))-AVERAGE(OFFSET($H$3,0,0,'Données projet'!$E$10+1,1))</f>
        <v>304.35088214287919</v>
      </c>
      <c r="AO11" s="62">
        <f t="shared" si="36"/>
        <v>288.72611053217599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4.7115384615384617</v>
      </c>
      <c r="BD11" s="13">
        <f>IF('Données projet'!$A$88&gt;35,BD10+BC11-BL10,IF(A11&lt;'Données projet'!$A$88,$BA$205^A11,IF(A11='Données projet'!$A$88,'Données projet'!$B$88,BD10+BC11-BL10)))</f>
        <v>6.1613672322631672</v>
      </c>
      <c r="BE11" s="14">
        <f>BD11*VLOOKUP('Données projet'!$B$11,Paramètres!$A$1:$I$89,3,0)*VLOOKUP('Données projet'!$B$11,Paramètres!$A$1:$I$89,5,0)</f>
        <v>3.9408104817555212</v>
      </c>
      <c r="BF11" s="14">
        <f t="shared" si="37"/>
        <v>1.5481443656328577</v>
      </c>
      <c r="BG11" s="22">
        <f t="shared" si="7"/>
        <v>9.5599296925347588</v>
      </c>
      <c r="BH11" s="62">
        <f t="shared" si="8"/>
        <v>196.31320255875531</v>
      </c>
      <c r="BI11" s="62">
        <f ca="1">AVERAGE(OFFSET($BH$3,0,0,'Données projet'!$E$11+1,1))-AVERAGE(OFFSET($H$3,0,0,'Données projet'!$E$11+1,1))</f>
        <v>285.09561428624352</v>
      </c>
      <c r="BJ11" s="62">
        <f t="shared" si="38"/>
        <v>261.05678516705564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5.7995461347952899</v>
      </c>
      <c r="BZ11" s="14">
        <f>BY11*VLOOKUP('Données projet'!$B$12,Paramètres!$A$1:$I$89,3,0)*VLOOKUP('Données projet'!$B$12,Paramètres!$A$1:$I$89,5,0)</f>
        <v>4.7045918245459397</v>
      </c>
      <c r="CA11" s="14">
        <f t="shared" si="39"/>
        <v>1.8104746967554695</v>
      </c>
      <c r="CB11" s="22">
        <f t="shared" si="10"/>
        <v>11.347074191266621</v>
      </c>
      <c r="CC11" s="62">
        <f t="shared" si="11"/>
        <v>198.10034705748717</v>
      </c>
      <c r="CD11" s="62">
        <f ca="1">AVERAGE(OFFSET($CC$3,0,0,'Données projet'!$E$12+1,1))-AVERAGE(OFFSET($H$3,0,0,'Données projet'!$E$12+1,1))</f>
        <v>272.69564942740931</v>
      </c>
      <c r="CE11" s="62">
        <f t="shared" si="40"/>
        <v>316.57989180609252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4.4615733451526163</v>
      </c>
      <c r="CV11" s="14">
        <f t="shared" si="41"/>
        <v>1.7275860727911023</v>
      </c>
      <c r="CW11" s="22">
        <f t="shared" si="13"/>
        <v>10.779452652918643</v>
      </c>
      <c r="CX11" s="62">
        <f t="shared" si="14"/>
        <v>197.53272551913921</v>
      </c>
      <c r="CY11" s="62">
        <f ca="1">AVERAGE(OFFSET($CX$3,0,0,'Données projet'!$E$13+1,1))-AVERAGE(OFFSET($H$3,0,0,'Données projet'!$E$13+1,1))</f>
        <v>304.35088214287919</v>
      </c>
      <c r="CZ11" s="62">
        <f t="shared" si="42"/>
        <v>288.72611053217599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>
        <f>VLOOKUP(A11,'Données projet'!$A$165:$I$185,2,0)</f>
        <v>50.641025641025642</v>
      </c>
      <c r="DM11" s="13">
        <f>VLOOKUP(A11,'Données projet'!$A$165:$I$185,9,0)</f>
        <v>10.897435897435898</v>
      </c>
      <c r="DN11" s="13">
        <f t="array" ref="DN11">INDEX(DM:DM,MIN(IF(ISNUMBER(DM11:DM207),ROW(DM11:DM207),"")))</f>
        <v>10.897435897435898</v>
      </c>
      <c r="DO11" s="13">
        <f>IF('Données projet'!$A$166&gt;35,DO10+DN11-DW10,IF(A11&lt;'Données projet'!$A$166,$DL$205^A11,IF(A11='Données projet'!$A$166,'Données projet'!$B$166,DO10+DN11-DW10)))</f>
        <v>50.641025641025642</v>
      </c>
      <c r="DP11" s="18">
        <f>DO11*VLOOKUP('Données projet'!$B$14,Paramètres!$A$1:$I$89,3,0)*VLOOKUP('Données projet'!$B$14,Paramètres!$A$1:$I$89,5,0)</f>
        <v>29.230000000000004</v>
      </c>
      <c r="DQ11" s="14">
        <f t="shared" si="43"/>
        <v>9.0940723731627653</v>
      </c>
      <c r="DR11" s="22">
        <f t="shared" si="16"/>
        <v>66.747759383258497</v>
      </c>
      <c r="DS11" s="62">
        <f t="shared" si="17"/>
        <v>253.50103224947907</v>
      </c>
      <c r="DT11" s="62">
        <f ca="1">AVERAGE(OFFSET($DS$3,0,0,'Données projet'!$E$14+1,1))-AVERAGE(OFFSET($H$3,0,0,'Données projet'!$E$14+1,1))</f>
        <v>172.86120068224633</v>
      </c>
      <c r="DU11" s="62">
        <f t="shared" si="44"/>
        <v>269.4995727085078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1.2</v>
      </c>
      <c r="EJ11" s="13">
        <f>IF('Données projet'!$A$192&gt;35,EJ10+EI11-ER10,IF(A11&lt;'Données projet'!$A$192,$EG$205^A11,IF(A11='Données projet'!$A$192,'Données projet'!$B$192,EJ10+EI11-ER10)))</f>
        <v>2.9694690391391689</v>
      </c>
      <c r="EK11" s="18">
        <f>EJ11*VLOOKUP('Données projet'!$B$15,Paramètres!$A$1:$I$89,3,0)*VLOOKUP('Données projet'!$B$15,Paramètres!$A$1:$I$89,5,0)</f>
        <v>2.5014807185708361</v>
      </c>
      <c r="EL11" s="14">
        <f t="shared" si="45"/>
        <v>1.0360938006757223</v>
      </c>
      <c r="EM11" s="22">
        <f t="shared" si="19"/>
        <v>6.1612756210210895</v>
      </c>
      <c r="EN11" s="62">
        <f t="shared" si="20"/>
        <v>192.91454848724163</v>
      </c>
      <c r="EO11" s="62">
        <f ca="1">AVERAGE(OFFSET($EN$3,0,0,'Données projet'!$E$15+1,1))-AVERAGE(OFFSET($H$3,0,0,'Données projet'!$E$15+1,1))</f>
        <v>346.97972840139914</v>
      </c>
      <c r="EP11" s="62">
        <f t="shared" si="46"/>
        <v>158.41433650660613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1.9333333333333333</v>
      </c>
      <c r="FE11" s="13">
        <f>IF('Données projet'!$A$218&gt;35,FE10+FD11-FM10,IF(A11&lt;'Données projet'!$A$218,$FB$205^A11,IF(A11='Données projet'!$A$218,'Données projet'!$B$218,FE10+FD11-FM10)))</f>
        <v>6.0248411225399572</v>
      </c>
      <c r="FF11" s="18">
        <f>FE11*VLOOKUP('Données projet'!$B$16,Paramètres!$A$1:$I$89,3,0)*VLOOKUP('Données projet'!$B$16,Paramètres!$A$1:$I$89,5,0)</f>
        <v>3.9474759034881797</v>
      </c>
      <c r="FG11" s="14">
        <f t="shared" si="47"/>
        <v>1.5504578497418948</v>
      </c>
      <c r="FH11" s="22">
        <f t="shared" si="22"/>
        <v>9.5755679535423806</v>
      </c>
      <c r="FI11" s="62">
        <f t="shared" si="23"/>
        <v>196.32884081976295</v>
      </c>
      <c r="FJ11" s="62">
        <f ca="1">AVERAGE(OFFSET($FI$3,0,0,'Données projet'!$E$16+1,1))-AVERAGE(OFFSET($H$3,0,0,'Données projet'!$E$16+1,1))</f>
        <v>235.88453308732235</v>
      </c>
      <c r="FK11" s="62">
        <f t="shared" si="48"/>
        <v>220.72810812053521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4.5287728559252471</v>
      </c>
      <c r="P12" s="14">
        <f t="shared" si="33"/>
        <v>1.7505578568733651</v>
      </c>
      <c r="Q12" s="22">
        <f t="shared" si="2"/>
        <v>10.93650099145758</v>
      </c>
      <c r="R12" s="62">
        <f t="shared" si="0"/>
        <v>200.29445974401366</v>
      </c>
      <c r="S12" s="62">
        <f ca="1">AVERAGE(OFFSET($R$3,0,0,'Données projet'!$E$9+1,1))-AVERAGE(OFFSET($H$3,0,0,'Données projet'!$E$9+1,1))</f>
        <v>442.98179778678298</v>
      </c>
      <c r="T12" s="62">
        <f t="shared" si="34"/>
        <v>251.96153561746942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1.1000000000000001</v>
      </c>
      <c r="AI12" s="14">
        <f>IF('Données projet'!$A$62&gt;35,AI11+AH12-AQ11,IF(A12&lt;'Données projet'!$A$62,$AF$205^A12,IF(A12='Données projet'!$A$62,'Données projet'!$B$62,AI11+AH12-AQ11)))</f>
        <v>8.6547278641645029</v>
      </c>
      <c r="AJ12" s="14">
        <f>AI12*VLOOKUP('Données projet'!$B$10,Paramètres!$A$1:$I$89,3,0)*VLOOKUP('Données projet'!$B$10,Paramètres!$A$1:$I$89,5,0)</f>
        <v>5.6705776966005823</v>
      </c>
      <c r="AK12" s="14">
        <f t="shared" si="35"/>
        <v>2.1352914049034637</v>
      </c>
      <c r="AL12" s="22">
        <f t="shared" si="4"/>
        <v>13.59522201845288</v>
      </c>
      <c r="AM12" s="62">
        <f t="shared" si="5"/>
        <v>202.95318077100896</v>
      </c>
      <c r="AN12" s="62">
        <f ca="1">AVERAGE(OFFSET($AM$3,0,0,'Données projet'!$E$10+1,1))-AVERAGE(OFFSET($H$3,0,0,'Données projet'!$E$10+1,1))</f>
        <v>304.35088214287919</v>
      </c>
      <c r="AO12" s="62">
        <f t="shared" si="36"/>
        <v>288.72611053217599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4.7115384615384617</v>
      </c>
      <c r="BD12" s="13">
        <f>IF('Données projet'!$A$88&gt;35,BD11+BC12-BL11,IF(A12&lt;'Données projet'!$A$88,$BA$205^A12,IF(A12='Données projet'!$A$88,'Données projet'!$B$88,BD11+BC12-BL11)))</f>
        <v>7.7336894961694274</v>
      </c>
      <c r="BE12" s="14">
        <f>BD12*VLOOKUP('Données projet'!$B$11,Paramètres!$A$1:$I$89,3,0)*VLOOKUP('Données projet'!$B$11,Paramètres!$A$1:$I$89,5,0)</f>
        <v>4.9464678017499661</v>
      </c>
      <c r="BF12" s="14">
        <f t="shared" si="37"/>
        <v>1.8924799699673398</v>
      </c>
      <c r="BG12" s="22">
        <f t="shared" si="7"/>
        <v>11.911167369074306</v>
      </c>
      <c r="BH12" s="62">
        <f t="shared" si="8"/>
        <v>201.26912612163039</v>
      </c>
      <c r="BI12" s="62">
        <f ca="1">AVERAGE(OFFSET($BH$3,0,0,'Données projet'!$E$11+1,1))-AVERAGE(OFFSET($H$3,0,0,'Données projet'!$E$11+1,1))</f>
        <v>285.09561428624352</v>
      </c>
      <c r="BJ12" s="62">
        <f t="shared" si="38"/>
        <v>261.05678516705564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7.2246740558420788</v>
      </c>
      <c r="BZ12" s="14">
        <f>BY12*VLOOKUP('Données projet'!$B$12,Paramètres!$A$1:$I$89,3,0)*VLOOKUP('Données projet'!$B$12,Paramètres!$A$1:$I$89,5,0)</f>
        <v>5.8606555940990948</v>
      </c>
      <c r="CA12" s="14">
        <f t="shared" si="39"/>
        <v>2.1984132231982314</v>
      </c>
      <c r="CB12" s="22">
        <f t="shared" si="10"/>
        <v>14.036211523459508</v>
      </c>
      <c r="CC12" s="62">
        <f t="shared" si="11"/>
        <v>203.39417027601559</v>
      </c>
      <c r="CD12" s="62">
        <f ca="1">AVERAGE(OFFSET($CC$3,0,0,'Données projet'!$E$12+1,1))-AVERAGE(OFFSET($H$3,0,0,'Données projet'!$E$12+1,1))</f>
        <v>272.69564942740931</v>
      </c>
      <c r="CE12" s="62">
        <f t="shared" si="40"/>
        <v>316.57989180609252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5.6705776966005823</v>
      </c>
      <c r="CV12" s="14">
        <f t="shared" si="41"/>
        <v>2.1352914049034637</v>
      </c>
      <c r="CW12" s="22">
        <f t="shared" si="13"/>
        <v>13.59522201845288</v>
      </c>
      <c r="CX12" s="62">
        <f t="shared" si="14"/>
        <v>202.95318077100896</v>
      </c>
      <c r="CY12" s="62">
        <f ca="1">AVERAGE(OFFSET($CX$3,0,0,'Données projet'!$E$13+1,1))-AVERAGE(OFFSET($H$3,0,0,'Données projet'!$E$13+1,1))</f>
        <v>304.35088214287919</v>
      </c>
      <c r="CZ12" s="62">
        <f t="shared" si="42"/>
        <v>288.72611053217599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11.217948717948719</v>
      </c>
      <c r="DO12" s="13">
        <f>IF('Données projet'!$A$166&gt;35,DO11+DN12-DW11,IF(A12&lt;'Données projet'!$A$166,$DL$205^A12,IF(A12='Données projet'!$A$166,'Données projet'!$B$166,DO11+DN12-DW11)))</f>
        <v>61.858974358974365</v>
      </c>
      <c r="DP12" s="18">
        <f>DO12*VLOOKUP('Données projet'!$B$14,Paramètres!$A$1:$I$89,3,0)*VLOOKUP('Données projet'!$B$14,Paramètres!$A$1:$I$89,5,0)</f>
        <v>35.705000000000005</v>
      </c>
      <c r="DQ12" s="14">
        <f t="shared" si="43"/>
        <v>10.852841047942279</v>
      </c>
      <c r="DR12" s="22">
        <f t="shared" si="16"/>
        <v>81.088239825166127</v>
      </c>
      <c r="DS12" s="62">
        <f t="shared" si="17"/>
        <v>270.44619857772221</v>
      </c>
      <c r="DT12" s="62">
        <f ca="1">AVERAGE(OFFSET($DS$3,0,0,'Données projet'!$E$14+1,1))-AVERAGE(OFFSET($H$3,0,0,'Données projet'!$E$14+1,1))</f>
        <v>172.86120068224633</v>
      </c>
      <c r="DU12" s="62">
        <f t="shared" si="44"/>
        <v>269.4995727085078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1.2</v>
      </c>
      <c r="EJ12" s="13">
        <f>IF('Données projet'!$A$192&gt;35,EJ11+EI12-ER11,IF(A12&lt;'Données projet'!$A$192,$EG$205^A12,IF(A12='Données projet'!$A$192,'Données projet'!$B$192,EJ11+EI12-ER11)))</f>
        <v>3.4022298585357786</v>
      </c>
      <c r="EK12" s="18">
        <f>EJ12*VLOOKUP('Données projet'!$B$15,Paramètres!$A$1:$I$89,3,0)*VLOOKUP('Données projet'!$B$15,Paramètres!$A$1:$I$89,5,0)</f>
        <v>2.8660384328305404</v>
      </c>
      <c r="EL12" s="14">
        <f t="shared" si="45"/>
        <v>1.1684400880915065</v>
      </c>
      <c r="EM12" s="22">
        <f t="shared" si="19"/>
        <v>7.0267167572725642</v>
      </c>
      <c r="EN12" s="62">
        <f t="shared" si="20"/>
        <v>196.38467550982864</v>
      </c>
      <c r="EO12" s="62">
        <f ca="1">AVERAGE(OFFSET($EN$3,0,0,'Données projet'!$E$15+1,1))-AVERAGE(OFFSET($H$3,0,0,'Données projet'!$E$15+1,1))</f>
        <v>346.97972840139914</v>
      </c>
      <c r="EP12" s="62">
        <f t="shared" si="46"/>
        <v>158.41433650660613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1.9333333333333333</v>
      </c>
      <c r="FE12" s="13">
        <f>IF('Données projet'!$A$218&gt;35,FE11+FD12-FM11,IF(A12&lt;'Données projet'!$A$218,$FB$205^A12,IF(A12='Données projet'!$A$218,'Données projet'!$B$218,FE11+FD12-FM11)))</f>
        <v>7.5411711733776468</v>
      </c>
      <c r="FF12" s="18">
        <f>FE12*VLOOKUP('Données projet'!$B$16,Paramètres!$A$1:$I$89,3,0)*VLOOKUP('Données projet'!$B$16,Paramètres!$A$1:$I$89,5,0)</f>
        <v>4.9409753527970341</v>
      </c>
      <c r="FG12" s="14">
        <f t="shared" si="47"/>
        <v>1.8906230810757392</v>
      </c>
      <c r="FH12" s="22">
        <f t="shared" si="22"/>
        <v>11.898367272328414</v>
      </c>
      <c r="FI12" s="62">
        <f t="shared" si="23"/>
        <v>201.25632602488449</v>
      </c>
      <c r="FJ12" s="62">
        <f ca="1">AVERAGE(OFFSET($FI$3,0,0,'Données projet'!$E$16+1,1))-AVERAGE(OFFSET($H$3,0,0,'Données projet'!$E$16+1,1))</f>
        <v>235.88453308732235</v>
      </c>
      <c r="FK12" s="62">
        <f t="shared" si="48"/>
        <v>220.72810812053521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5.4593759643387862</v>
      </c>
      <c r="P13" s="14">
        <f t="shared" si="33"/>
        <v>2.0648648084962673</v>
      </c>
      <c r="Q13" s="22">
        <f t="shared" si="2"/>
        <v>13.104719346021051</v>
      </c>
      <c r="R13" s="62">
        <f t="shared" si="0"/>
        <v>205.04338133106594</v>
      </c>
      <c r="S13" s="62">
        <f ca="1">AVERAGE(OFFSET($R$3,0,0,'Données projet'!$E$9+1,1))-AVERAGE(OFFSET($H$3,0,0,'Données projet'!$E$9+1,1))</f>
        <v>442.98179778678298</v>
      </c>
      <c r="T13" s="62">
        <f t="shared" si="34"/>
        <v>251.96153561746942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</v>
      </c>
      <c r="AG13" s="13">
        <f>VLOOKUP(A13,'Données projet'!$A$61:$I$81,9,0)</f>
        <v>1.1000000000000001</v>
      </c>
      <c r="AH13" s="13">
        <f t="array" ref="AH13">INDEX(AG:AG,MIN(IF(ISNUMBER(AG13:AG209),ROW(AG13:AG209),"")))</f>
        <v>1.1000000000000001</v>
      </c>
      <c r="AI13" s="14">
        <f>IF('Données projet'!$A$62&gt;35,AI12+AH13-AQ12,IF(A13&lt;'Données projet'!$A$62,$AF$205^A13,IF(A13='Données projet'!$A$62,'Données projet'!$B$62,AI12+AH13-AQ12)))</f>
        <v>11</v>
      </c>
      <c r="AJ13" s="14">
        <f>AI13*VLOOKUP('Données projet'!$B$10,Paramètres!$A$1:$I$89,3,0)*VLOOKUP('Données projet'!$B$10,Paramètres!$A$1:$I$89,5,0)</f>
        <v>7.2072000000000003</v>
      </c>
      <c r="AK13" s="14">
        <f t="shared" si="35"/>
        <v>2.6392140198770462</v>
      </c>
      <c r="AL13" s="22">
        <f t="shared" si="4"/>
        <v>17.149171084619187</v>
      </c>
      <c r="AM13" s="62">
        <f t="shared" si="5"/>
        <v>209.08783306966407</v>
      </c>
      <c r="AN13" s="62">
        <f ca="1">AVERAGE(OFFSET($AM$3,0,0,'Données projet'!$E$10+1,1))-AVERAGE(OFFSET($H$3,0,0,'Données projet'!$E$10+1,1))</f>
        <v>304.35088214287919</v>
      </c>
      <c r="AO13" s="62">
        <f t="shared" si="36"/>
        <v>288.72611053217599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4.7115384615384617</v>
      </c>
      <c r="BD13" s="13">
        <f>IF('Données projet'!$A$88&gt;35,BD12+BC13-BL12,IF(A13&lt;'Données projet'!$A$88,$BA$205^A13,IF(A13='Données projet'!$A$88,'Données projet'!$B$88,BD12+BC13-BL12)))</f>
        <v>9.70725343394151</v>
      </c>
      <c r="BE13" s="14">
        <f>BD13*VLOOKUP('Données projet'!$B$11,Paramètres!$A$1:$I$89,3,0)*VLOOKUP('Données projet'!$B$11,Paramètres!$A$1:$I$89,5,0)</f>
        <v>6.2087592963489895</v>
      </c>
      <c r="BF13" s="14">
        <f t="shared" si="37"/>
        <v>2.3134021065687422</v>
      </c>
      <c r="BG13" s="22">
        <f t="shared" si="7"/>
        <v>14.842764443415049</v>
      </c>
      <c r="BH13" s="62">
        <f t="shared" si="8"/>
        <v>206.78142642845995</v>
      </c>
      <c r="BI13" s="62">
        <f ca="1">AVERAGE(OFFSET($BH$3,0,0,'Données projet'!$E$11+1,1))-AVERAGE(OFFSET($H$3,0,0,'Données projet'!$E$11+1,1))</f>
        <v>285.09561428624352</v>
      </c>
      <c r="BJ13" s="62">
        <f t="shared" si="38"/>
        <v>261.05678516705564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9</v>
      </c>
      <c r="BW13" s="13">
        <f>VLOOKUP(A13,'Données projet'!$A$113:$I$133,9,0)</f>
        <v>0.9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9</v>
      </c>
      <c r="BZ13" s="14">
        <f>BY13*VLOOKUP('Données projet'!$B$12,Paramètres!$A$1:$I$89,3,0)*VLOOKUP('Données projet'!$B$12,Paramètres!$A$1:$I$89,5,0)</f>
        <v>7.3007999999999997</v>
      </c>
      <c r="CA13" s="14">
        <f t="shared" si="39"/>
        <v>2.6694770761469542</v>
      </c>
      <c r="CB13" s="22">
        <f t="shared" si="10"/>
        <v>17.364899240955943</v>
      </c>
      <c r="CC13" s="62">
        <f t="shared" si="11"/>
        <v>209.30356122600082</v>
      </c>
      <c r="CD13" s="62">
        <f ca="1">AVERAGE(OFFSET($CC$3,0,0,'Données projet'!$E$12+1,1))-AVERAGE(OFFSET($H$3,0,0,'Données projet'!$E$12+1,1))</f>
        <v>272.69564942740931</v>
      </c>
      <c r="CE13" s="62">
        <f t="shared" si="40"/>
        <v>316.57989180609252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7.2072000000000003</v>
      </c>
      <c r="CV13" s="14">
        <f t="shared" si="41"/>
        <v>2.6392140198770462</v>
      </c>
      <c r="CW13" s="22">
        <f t="shared" si="13"/>
        <v>17.149171084619187</v>
      </c>
      <c r="CX13" s="62">
        <f t="shared" si="14"/>
        <v>209.08783306966407</v>
      </c>
      <c r="CY13" s="62">
        <f ca="1">AVERAGE(OFFSET($CX$3,0,0,'Données projet'!$E$13+1,1))-AVERAGE(OFFSET($H$3,0,0,'Données projet'!$E$13+1,1))</f>
        <v>304.35088214287919</v>
      </c>
      <c r="CZ13" s="62">
        <f t="shared" si="42"/>
        <v>288.72611053217599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73.07692307692308</v>
      </c>
      <c r="DM13" s="13">
        <f>VLOOKUP(A13,'Données projet'!$A$165:$I$185,9,0)</f>
        <v>11.217948717948719</v>
      </c>
      <c r="DN13" s="13">
        <f t="array" ref="DN13">INDEX(DM:DM,MIN(IF(ISNUMBER(DM13:DM209),ROW(DM13:DM209),"")))</f>
        <v>11.217948717948719</v>
      </c>
      <c r="DO13" s="13">
        <f>IF('Données projet'!$A$166&gt;35,DO12+DN13-DW12,IF(A13&lt;'Données projet'!$A$166,$DL$205^A13,IF(A13='Données projet'!$A$166,'Données projet'!$B$166,DO12+DN13-DW12)))</f>
        <v>73.07692307692308</v>
      </c>
      <c r="DP13" s="18">
        <f>DO13*VLOOKUP('Données projet'!$B$14,Paramètres!$A$1:$I$89,3,0)*VLOOKUP('Données projet'!$B$14,Paramètres!$A$1:$I$89,5,0)</f>
        <v>42.180000000000007</v>
      </c>
      <c r="DQ13" s="14">
        <f t="shared" si="43"/>
        <v>12.574659527542616</v>
      </c>
      <c r="DR13" s="22">
        <f t="shared" si="16"/>
        <v>95.364365343803399</v>
      </c>
      <c r="DS13" s="62">
        <f t="shared" si="17"/>
        <v>287.30302732884832</v>
      </c>
      <c r="DT13" s="62">
        <f ca="1">AVERAGE(OFFSET($DS$3,0,0,'Données projet'!$E$14+1,1))-AVERAGE(OFFSET($H$3,0,0,'Données projet'!$E$14+1,1))</f>
        <v>172.86120068224633</v>
      </c>
      <c r="DU13" s="62">
        <f t="shared" si="44"/>
        <v>269.4995727085078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15.384615384615383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1.2</v>
      </c>
      <c r="EJ13" s="13">
        <f>IF('Données projet'!$A$192&gt;35,EJ12+EI13-ER12,IF(A13&lt;'Données projet'!$A$192,$EG$205^A13,IF(A13='Données projet'!$A$192,'Données projet'!$B$192,EJ12+EI13-ER12)))</f>
        <v>3.8980598409161908</v>
      </c>
      <c r="EK13" s="18">
        <f>EJ13*VLOOKUP('Données projet'!$B$15,Paramètres!$A$1:$I$89,3,0)*VLOOKUP('Données projet'!$B$15,Paramètres!$A$1:$I$89,5,0)</f>
        <v>3.2837256099877994</v>
      </c>
      <c r="EL13" s="14">
        <f t="shared" si="45"/>
        <v>1.3176917365675709</v>
      </c>
      <c r="EM13" s="22">
        <f t="shared" si="19"/>
        <v>8.0141352119172691</v>
      </c>
      <c r="EN13" s="62">
        <f t="shared" si="20"/>
        <v>199.95279719696217</v>
      </c>
      <c r="EO13" s="62">
        <f ca="1">AVERAGE(OFFSET($EN$3,0,0,'Données projet'!$E$15+1,1))-AVERAGE(OFFSET($H$3,0,0,'Données projet'!$E$15+1,1))</f>
        <v>346.97972840139914</v>
      </c>
      <c r="EP13" s="62">
        <f t="shared" si="46"/>
        <v>158.41433650660613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1.9333333333333333</v>
      </c>
      <c r="FE13" s="13">
        <f>IF('Données projet'!$A$218&gt;35,FE12+FD13-FM12,IF(A13&lt;'Données projet'!$A$218,$FB$205^A13,IF(A13='Données projet'!$A$218,'Données projet'!$B$218,FE12+FD13-FM12)))</f>
        <v>9.4391306773923702</v>
      </c>
      <c r="FF13" s="18">
        <f>FE13*VLOOKUP('Données projet'!$B$16,Paramètres!$A$1:$I$89,3,0)*VLOOKUP('Données projet'!$B$16,Paramètres!$A$1:$I$89,5,0)</f>
        <v>6.184518419827481</v>
      </c>
      <c r="FG13" s="14">
        <f t="shared" si="47"/>
        <v>2.3054194187164532</v>
      </c>
      <c r="FH13" s="22">
        <f t="shared" si="22"/>
        <v>14.786641735464018</v>
      </c>
      <c r="FI13" s="62">
        <f t="shared" si="23"/>
        <v>206.72530372050892</v>
      </c>
      <c r="FJ13" s="62">
        <f ca="1">AVERAGE(OFFSET($FI$3,0,0,'Données projet'!$E$16+1,1))-AVERAGE(OFFSET($H$3,0,0,'Données projet'!$E$16+1,1))</f>
        <v>235.88453308732235</v>
      </c>
      <c r="FK13" s="62">
        <f t="shared" si="48"/>
        <v>220.72810812053521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6.5812057411986977</v>
      </c>
      <c r="P14" s="14">
        <f t="shared" si="33"/>
        <v>2.4356045477877388</v>
      </c>
      <c r="Q14" s="22">
        <f t="shared" si="2"/>
        <v>15.70427791998471</v>
      </c>
      <c r="R14" s="62">
        <f t="shared" si="0"/>
        <v>210.20007652909885</v>
      </c>
      <c r="S14" s="62">
        <f ca="1">AVERAGE(OFFSET($R$3,0,0,'Données projet'!$E$9+1,1))-AVERAGE(OFFSET($H$3,0,0,'Données projet'!$E$9+1,1))</f>
        <v>442.98179778678298</v>
      </c>
      <c r="T14" s="62">
        <f t="shared" si="34"/>
        <v>251.96153561746942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6.8</v>
      </c>
      <c r="AI14" s="14">
        <f>IF('Données projet'!$A$62&gt;35,AI13+AH14-AQ13,IF(A14&lt;'Données projet'!$A$62,$AF$205^A14,IF(A14='Données projet'!$A$62,'Données projet'!$B$62,AI13+AH14-AQ13)))</f>
        <v>17.8</v>
      </c>
      <c r="AJ14" s="14">
        <f>AI14*VLOOKUP('Données projet'!$B$10,Paramètres!$A$1:$I$89,3,0)*VLOOKUP('Données projet'!$B$10,Paramètres!$A$1:$I$89,5,0)</f>
        <v>11.662560000000001</v>
      </c>
      <c r="AK14" s="14">
        <f t="shared" si="35"/>
        <v>4.0380449311592468</v>
      </c>
      <c r="AL14" s="22">
        <f t="shared" si="4"/>
        <v>27.345220255102358</v>
      </c>
      <c r="AM14" s="62">
        <f t="shared" si="5"/>
        <v>221.84101886421649</v>
      </c>
      <c r="AN14" s="62">
        <f ca="1">AVERAGE(OFFSET($AM$3,0,0,'Données projet'!$E$10+1,1))-AVERAGE(OFFSET($H$3,0,0,'Données projet'!$E$10+1,1))</f>
        <v>304.35088214287919</v>
      </c>
      <c r="AO14" s="62">
        <f t="shared" si="36"/>
        <v>288.72611053217599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4.7115384615384617</v>
      </c>
      <c r="BD14" s="13">
        <f>IF('Données projet'!$A$88&gt;35,BD13+BC14-BL13,IF(A14&lt;'Données projet'!$A$88,$BA$205^A14,IF(A14='Données projet'!$A$88,'Données projet'!$B$88,BD13+BC14-BL13)))</f>
        <v>12.184452101088707</v>
      </c>
      <c r="BE14" s="14">
        <f>BD14*VLOOKUP('Données projet'!$B$11,Paramètres!$A$1:$I$89,3,0)*VLOOKUP('Données projet'!$B$11,Paramètres!$A$1:$I$89,5,0)</f>
        <v>7.7931755638563374</v>
      </c>
      <c r="BF14" s="14">
        <f t="shared" si="37"/>
        <v>2.8279450200833858</v>
      </c>
      <c r="BG14" s="22">
        <f t="shared" si="7"/>
        <v>18.498451683695013</v>
      </c>
      <c r="BH14" s="62">
        <f t="shared" si="8"/>
        <v>212.99425029280914</v>
      </c>
      <c r="BI14" s="62">
        <f ca="1">AVERAGE(OFFSET($BH$3,0,0,'Données projet'!$E$11+1,1))-AVERAGE(OFFSET($H$3,0,0,'Données projet'!$E$11+1,1))</f>
        <v>285.09561428624352</v>
      </c>
      <c r="BJ14" s="62">
        <f t="shared" si="38"/>
        <v>261.05678516705564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8</v>
      </c>
      <c r="BY14" s="13">
        <f>IF('Données projet'!$A$114&gt;35,BY13+BX14-CG13,IF(A14&lt;'Données projet'!$A$114,$BV$205^A14,IF(A14='Données projet'!$A$114,'Données projet'!$B$114,BY13+BX14-CG13)))</f>
        <v>17</v>
      </c>
      <c r="BZ14" s="14">
        <f>BY14*VLOOKUP('Données projet'!$B$12,Paramètres!$A$1:$I$89,3,0)*VLOOKUP('Données projet'!$B$12,Paramètres!$A$1:$I$89,5,0)</f>
        <v>13.7904</v>
      </c>
      <c r="CA14" s="14">
        <f t="shared" si="39"/>
        <v>4.6825473896592289</v>
      </c>
      <c r="CB14" s="22">
        <f t="shared" si="10"/>
        <v>32.173716703656488</v>
      </c>
      <c r="CC14" s="62">
        <f t="shared" si="11"/>
        <v>226.66951531277061</v>
      </c>
      <c r="CD14" s="62">
        <f ca="1">AVERAGE(OFFSET($CC$3,0,0,'Données projet'!$E$12+1,1))-AVERAGE(OFFSET($H$3,0,0,'Données projet'!$E$12+1,1))</f>
        <v>272.69564942740931</v>
      </c>
      <c r="CE14" s="62">
        <f t="shared" si="40"/>
        <v>316.57989180609252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6.8</v>
      </c>
      <c r="CT14" s="13">
        <f>IF('Données projet'!$A$140&gt;35,CT13+CS14-DB13,IF(A14&lt;'Données projet'!$A$140,$CQ$205^A14,IF(A14='Données projet'!$A$140,'Données projet'!$B$140,CT13+CS14-DB13)))</f>
        <v>17.8</v>
      </c>
      <c r="CU14" s="18">
        <f>CT14*VLOOKUP('Données projet'!$B$13,Paramètres!$A$1:$I$89,3,0)*VLOOKUP('Données projet'!$B$13,Paramètres!$A$1:$I$89,5,0)</f>
        <v>11.662560000000001</v>
      </c>
      <c r="CV14" s="14">
        <f t="shared" si="41"/>
        <v>4.0380449311592468</v>
      </c>
      <c r="CW14" s="22">
        <f t="shared" si="13"/>
        <v>27.345220255102358</v>
      </c>
      <c r="CX14" s="62">
        <f t="shared" si="14"/>
        <v>221.84101886421649</v>
      </c>
      <c r="CY14" s="62">
        <f ca="1">AVERAGE(OFFSET($CX$3,0,0,'Données projet'!$E$13+1,1))-AVERAGE(OFFSET($H$3,0,0,'Données projet'!$E$13+1,1))</f>
        <v>304.35088214287919</v>
      </c>
      <c r="CZ14" s="62">
        <f t="shared" si="42"/>
        <v>288.72611053217599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11.217948717948715</v>
      </c>
      <c r="DO14" s="13">
        <f>IF('Données projet'!$A$166&gt;35,DO13+DN14-DW13,IF(A14&lt;'Données projet'!$A$166,$DL$205^A14,IF(A14='Données projet'!$A$166,'Données projet'!$B$166,DO13+DN14-DW13)))</f>
        <v>68.910256410256409</v>
      </c>
      <c r="DP14" s="18">
        <f>DO14*VLOOKUP('Données projet'!$B$14,Paramètres!$A$1:$I$89,3,0)*VLOOKUP('Données projet'!$B$14,Paramètres!$A$1:$I$89,5,0)</f>
        <v>39.774999999999999</v>
      </c>
      <c r="DQ14" s="14">
        <f t="shared" si="43"/>
        <v>11.938991067493578</v>
      </c>
      <c r="DR14" s="22">
        <f t="shared" si="16"/>
        <v>90.068534442551311</v>
      </c>
      <c r="DS14" s="62">
        <f t="shared" si="17"/>
        <v>284.56433305166547</v>
      </c>
      <c r="DT14" s="62">
        <f ca="1">AVERAGE(OFFSET($DS$3,0,0,'Données projet'!$E$14+1,1))-AVERAGE(OFFSET($H$3,0,0,'Données projet'!$E$14+1,1))</f>
        <v>172.86120068224633</v>
      </c>
      <c r="DU14" s="62">
        <f t="shared" si="44"/>
        <v>269.4995727085078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1.2</v>
      </c>
      <c r="EJ14" s="13">
        <f>IF('Données projet'!$A$192&gt;35,EJ13+EI14-ER13,IF(A14&lt;'Données projet'!$A$192,$EG$205^A14,IF(A14='Données projet'!$A$192,'Données projet'!$B$192,EJ13+EI14-ER13)))</f>
        <v>4.4661504822319662</v>
      </c>
      <c r="EK14" s="18">
        <f>EJ14*VLOOKUP('Données projet'!$B$15,Paramètres!$A$1:$I$89,3,0)*VLOOKUP('Données projet'!$B$15,Paramètres!$A$1:$I$89,5,0)</f>
        <v>3.7622851662322083</v>
      </c>
      <c r="EL14" s="14">
        <f t="shared" si="45"/>
        <v>1.4860081661991742</v>
      </c>
      <c r="EM14" s="22">
        <f t="shared" si="19"/>
        <v>9.1407775539846572</v>
      </c>
      <c r="EN14" s="62">
        <f t="shared" si="20"/>
        <v>203.63657616309879</v>
      </c>
      <c r="EO14" s="62">
        <f ca="1">AVERAGE(OFFSET($EN$3,0,0,'Données projet'!$E$15+1,1))-AVERAGE(OFFSET($H$3,0,0,'Données projet'!$E$15+1,1))</f>
        <v>346.97972840139914</v>
      </c>
      <c r="EP14" s="62">
        <f t="shared" si="46"/>
        <v>158.41433650660613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1.9333333333333333</v>
      </c>
      <c r="FE14" s="13">
        <f>IF('Données projet'!$A$218&gt;35,FE13+FD14-FM13,IF(A14&lt;'Données projet'!$A$218,$FB$205^A14,IF(A14='Données projet'!$A$218,'Données projet'!$B$218,FE13+FD14-FM13)))</f>
        <v>11.814768011025487</v>
      </c>
      <c r="FF14" s="18">
        <f>FE14*VLOOKUP('Données projet'!$B$16,Paramètres!$A$1:$I$89,3,0)*VLOOKUP('Données projet'!$B$16,Paramètres!$A$1:$I$89,5,0)</f>
        <v>7.7410360008238994</v>
      </c>
      <c r="FG14" s="14">
        <f t="shared" si="47"/>
        <v>2.8112206760803793</v>
      </c>
      <c r="FH14" s="22">
        <f t="shared" si="22"/>
        <v>18.378513712274948</v>
      </c>
      <c r="FI14" s="62">
        <f t="shared" si="23"/>
        <v>212.87431232138908</v>
      </c>
      <c r="FJ14" s="62">
        <f ca="1">AVERAGE(OFFSET($FI$3,0,0,'Données projet'!$E$16+1,1))-AVERAGE(OFFSET($H$3,0,0,'Données projet'!$E$16+1,1))</f>
        <v>235.88453308732235</v>
      </c>
      <c r="FK14" s="62">
        <f t="shared" si="48"/>
        <v>220.72810812053521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7.9335567454791462</v>
      </c>
      <c r="P15" s="14">
        <f t="shared" si="33"/>
        <v>2.8729093976493338</v>
      </c>
      <c r="Q15" s="22">
        <f t="shared" si="2"/>
        <v>18.82126186594877</v>
      </c>
      <c r="R15" s="62">
        <f t="shared" si="0"/>
        <v>215.85103931868164</v>
      </c>
      <c r="S15" s="62">
        <f ca="1">AVERAGE(OFFSET($R$3,0,0,'Données projet'!$E$9+1,1))-AVERAGE(OFFSET($H$3,0,0,'Données projet'!$E$9+1,1))</f>
        <v>442.98179778678298</v>
      </c>
      <c r="T15" s="62">
        <f t="shared" si="34"/>
        <v>251.96153561746942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6.8</v>
      </c>
      <c r="AI15" s="14">
        <f>IF('Données projet'!$A$62&gt;35,AI14+AH15-AQ14,IF(A15&lt;'Données projet'!$A$62,$AF$205^A15,IF(A15='Données projet'!$A$62,'Données projet'!$B$62,AI14+AH15-AQ14)))</f>
        <v>24.6</v>
      </c>
      <c r="AJ15" s="14">
        <f>AI15*VLOOKUP('Données projet'!$B$10,Paramètres!$A$1:$I$89,3,0)*VLOOKUP('Données projet'!$B$10,Paramètres!$A$1:$I$89,5,0)</f>
        <v>16.117920000000002</v>
      </c>
      <c r="AK15" s="14">
        <f t="shared" si="35"/>
        <v>5.3744038004928587</v>
      </c>
      <c r="AL15" s="22">
        <f t="shared" si="4"/>
        <v>37.432463952525062</v>
      </c>
      <c r="AM15" s="62">
        <f t="shared" si="5"/>
        <v>234.46224140525794</v>
      </c>
      <c r="AN15" s="62">
        <f ca="1">AVERAGE(OFFSET($AM$3,0,0,'Données projet'!$E$10+1,1))-AVERAGE(OFFSET($H$3,0,0,'Données projet'!$E$10+1,1))</f>
        <v>304.35088214287919</v>
      </c>
      <c r="AO15" s="62">
        <f t="shared" si="36"/>
        <v>288.72611053217599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4.7115384615384617</v>
      </c>
      <c r="BD15" s="13">
        <f>IF('Données projet'!$A$88&gt;35,BD14+BC15-BL14,IF(A15&lt;'Données projet'!$A$88,$BA$205^A15,IF(A15='Données projet'!$A$88,'Données projet'!$B$88,BD14+BC15-BL14)))</f>
        <v>15.293808286145088</v>
      </c>
      <c r="BE15" s="14">
        <f>BD15*VLOOKUP('Données projet'!$B$11,Paramètres!$A$1:$I$89,3,0)*VLOOKUP('Données projet'!$B$11,Paramètres!$A$1:$I$89,5,0)</f>
        <v>9.7819197798183986</v>
      </c>
      <c r="BF15" s="14">
        <f t="shared" si="37"/>
        <v>3.4569316825236438</v>
      </c>
      <c r="BG15" s="22">
        <f t="shared" si="7"/>
        <v>23.057666296912391</v>
      </c>
      <c r="BH15" s="62">
        <f t="shared" si="8"/>
        <v>220.08744374964527</v>
      </c>
      <c r="BI15" s="62">
        <f ca="1">AVERAGE(OFFSET($BH$3,0,0,'Données projet'!$E$11+1,1))-AVERAGE(OFFSET($H$3,0,0,'Données projet'!$E$11+1,1))</f>
        <v>285.09561428624352</v>
      </c>
      <c r="BJ15" s="62">
        <f t="shared" si="38"/>
        <v>261.05678516705564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8</v>
      </c>
      <c r="BY15" s="13">
        <f>IF('Données projet'!$A$114&gt;35,BY14+BX15-CG14,IF(A15&lt;'Données projet'!$A$114,$BV$205^A15,IF(A15='Données projet'!$A$114,'Données projet'!$B$114,BY14+BX15-CG14)))</f>
        <v>25</v>
      </c>
      <c r="BZ15" s="14">
        <f>BY15*VLOOKUP('Données projet'!$B$12,Paramètres!$A$1:$I$89,3,0)*VLOOKUP('Données projet'!$B$12,Paramètres!$A$1:$I$89,5,0)</f>
        <v>20.28</v>
      </c>
      <c r="CA15" s="14">
        <f t="shared" si="39"/>
        <v>6.5838102554415308</v>
      </c>
      <c r="CB15" s="22">
        <f t="shared" si="10"/>
        <v>46.787802861560664</v>
      </c>
      <c r="CC15" s="62">
        <f t="shared" si="11"/>
        <v>243.81758031429354</v>
      </c>
      <c r="CD15" s="62">
        <f ca="1">AVERAGE(OFFSET($CC$3,0,0,'Données projet'!$E$12+1,1))-AVERAGE(OFFSET($H$3,0,0,'Données projet'!$E$12+1,1))</f>
        <v>272.69564942740931</v>
      </c>
      <c r="CE15" s="62">
        <f t="shared" si="40"/>
        <v>316.57989180609252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6.8</v>
      </c>
      <c r="CT15" s="13">
        <f>IF('Données projet'!$A$140&gt;35,CT14+CS15-DB14,IF(A15&lt;'Données projet'!$A$140,$CQ$205^A15,IF(A15='Données projet'!$A$140,'Données projet'!$B$140,CT14+CS15-DB14)))</f>
        <v>24.6</v>
      </c>
      <c r="CU15" s="18">
        <f>CT15*VLOOKUP('Données projet'!$B$13,Paramètres!$A$1:$I$89,3,0)*VLOOKUP('Données projet'!$B$13,Paramètres!$A$1:$I$89,5,0)</f>
        <v>16.117920000000002</v>
      </c>
      <c r="CV15" s="14">
        <f t="shared" si="41"/>
        <v>5.3744038004928587</v>
      </c>
      <c r="CW15" s="22">
        <f t="shared" si="13"/>
        <v>37.432463952525062</v>
      </c>
      <c r="CX15" s="62">
        <f t="shared" si="14"/>
        <v>234.46224140525794</v>
      </c>
      <c r="CY15" s="62">
        <f ca="1">AVERAGE(OFFSET($CX$3,0,0,'Données projet'!$E$13+1,1))-AVERAGE(OFFSET($H$3,0,0,'Données projet'!$E$13+1,1))</f>
        <v>304.35088214287919</v>
      </c>
      <c r="CZ15" s="62">
        <f t="shared" si="42"/>
        <v>288.72611053217599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>
        <f>VLOOKUP(A15,'Données projet'!$A$165:$I$185,2,0)</f>
        <v>80.128205128205124</v>
      </c>
      <c r="DM15" s="13">
        <f>VLOOKUP(A15,'Données projet'!$A$165:$I$185,9,0)</f>
        <v>11.217948717948715</v>
      </c>
      <c r="DN15" s="13">
        <f t="array" ref="DN15">INDEX(DM:DM,MIN(IF(ISNUMBER(DM15:DM211),ROW(DM15:DM211),"")))</f>
        <v>11.217948717948715</v>
      </c>
      <c r="DO15" s="13">
        <f>IF('Données projet'!$A$166&gt;35,DO14+DN15-DW14,IF(A15&lt;'Données projet'!$A$166,$DL$205^A15,IF(A15='Données projet'!$A$166,'Données projet'!$B$166,DO14+DN15-DW14)))</f>
        <v>80.128205128205124</v>
      </c>
      <c r="DP15" s="18">
        <f>DO15*VLOOKUP('Données projet'!$B$14,Paramètres!$A$1:$I$89,3,0)*VLOOKUP('Données projet'!$B$14,Paramètres!$A$1:$I$89,5,0)</f>
        <v>46.25</v>
      </c>
      <c r="DQ15" s="14">
        <f t="shared" si="43"/>
        <v>13.640955612840537</v>
      </c>
      <c r="DR15" s="22">
        <f t="shared" si="16"/>
        <v>104.31008102569727</v>
      </c>
      <c r="DS15" s="62">
        <f t="shared" si="17"/>
        <v>301.33985847843013</v>
      </c>
      <c r="DT15" s="62">
        <f ca="1">AVERAGE(OFFSET($DS$3,0,0,'Données projet'!$E$14+1,1))-AVERAGE(OFFSET($H$3,0,0,'Données projet'!$E$14+1,1))</f>
        <v>172.86120068224633</v>
      </c>
      <c r="DU15" s="62">
        <f t="shared" si="44"/>
        <v>269.4995727085078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1.2</v>
      </c>
      <c r="EJ15" s="13">
        <f>IF('Données projet'!$A$192&gt;35,EJ14+EI15-ER14,IF(A15&lt;'Données projet'!$A$192,$EG$205^A15,IF(A15='Données projet'!$A$192,'Données projet'!$B$192,EJ14+EI15-ER14)))</f>
        <v>5.1170328173444979</v>
      </c>
      <c r="EK15" s="18">
        <f>EJ15*VLOOKUP('Données projet'!$B$15,Paramètres!$A$1:$I$89,3,0)*VLOOKUP('Données projet'!$B$15,Paramètres!$A$1:$I$89,5,0)</f>
        <v>4.310588445331005</v>
      </c>
      <c r="EL15" s="14">
        <f t="shared" si="45"/>
        <v>1.6758246323702244</v>
      </c>
      <c r="EM15" s="22">
        <f t="shared" si="19"/>
        <v>10.426336110329641</v>
      </c>
      <c r="EN15" s="62">
        <f t="shared" si="20"/>
        <v>207.4561135630625</v>
      </c>
      <c r="EO15" s="62">
        <f ca="1">AVERAGE(OFFSET($EN$3,0,0,'Données projet'!$E$15+1,1))-AVERAGE(OFFSET($H$3,0,0,'Données projet'!$E$15+1,1))</f>
        <v>346.97972840139914</v>
      </c>
      <c r="EP15" s="62">
        <f t="shared" si="46"/>
        <v>158.41433650660613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1.9333333333333333</v>
      </c>
      <c r="FE15" s="13">
        <f>IF('Données projet'!$A$218&gt;35,FE14+FD15-FM14,IF(A15&lt;'Données projet'!$A$218,$FB$205^A15,IF(A15='Données projet'!$A$218,'Données projet'!$B$218,FE14+FD15-FM14)))</f>
        <v>14.788304974808712</v>
      </c>
      <c r="FF15" s="18">
        <f>FE15*VLOOKUP('Données projet'!$B$16,Paramètres!$A$1:$I$89,3,0)*VLOOKUP('Données projet'!$B$16,Paramètres!$A$1:$I$89,5,0)</f>
        <v>9.6892974194946682</v>
      </c>
      <c r="FG15" s="14">
        <f t="shared" si="47"/>
        <v>3.4279930261114098</v>
      </c>
      <c r="FH15" s="22">
        <f t="shared" si="22"/>
        <v>22.845947526097252</v>
      </c>
      <c r="FI15" s="62">
        <f t="shared" si="23"/>
        <v>219.87572497883014</v>
      </c>
      <c r="FJ15" s="62">
        <f ca="1">AVERAGE(OFFSET($FI$3,0,0,'Données projet'!$E$16+1,1))-AVERAGE(OFFSET($H$3,0,0,'Données projet'!$E$16+1,1))</f>
        <v>235.88453308732235</v>
      </c>
      <c r="FK15" s="62">
        <f t="shared" si="48"/>
        <v>220.72810812053521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9.5637980499107691</v>
      </c>
      <c r="P16" s="14">
        <f t="shared" si="33"/>
        <v>3.3887309065006521</v>
      </c>
      <c r="Q16" s="22">
        <f t="shared" si="2"/>
        <v>22.558987932416557</v>
      </c>
      <c r="R16" s="62">
        <f t="shared" si="0"/>
        <v>222.09998818403537</v>
      </c>
      <c r="S16" s="62">
        <f ca="1">AVERAGE(OFFSET($R$3,0,0,'Données projet'!$E$9+1,1))-AVERAGE(OFFSET($H$3,0,0,'Données projet'!$E$9+1,1))</f>
        <v>442.98179778678298</v>
      </c>
      <c r="T16" s="62">
        <f t="shared" si="34"/>
        <v>251.96153561746942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6.8</v>
      </c>
      <c r="AI16" s="14">
        <f>IF('Données projet'!$A$62&gt;35,AI15+AH16-AQ15,IF(A16&lt;'Données projet'!$A$62,$AF$205^A16,IF(A16='Données projet'!$A$62,'Données projet'!$B$62,AI15+AH16-AQ15)))</f>
        <v>31.400000000000002</v>
      </c>
      <c r="AJ16" s="14">
        <f>AI16*VLOOKUP('Données projet'!$B$10,Paramètres!$A$1:$I$89,3,0)*VLOOKUP('Données projet'!$B$10,Paramètres!$A$1:$I$89,5,0)</f>
        <v>20.57328</v>
      </c>
      <c r="AK16" s="14">
        <f t="shared" si="35"/>
        <v>6.6678691706770401</v>
      </c>
      <c r="AL16" s="22">
        <f t="shared" si="4"/>
        <v>47.445001472262504</v>
      </c>
      <c r="AM16" s="62">
        <f t="shared" si="5"/>
        <v>246.98600172388132</v>
      </c>
      <c r="AN16" s="62">
        <f ca="1">AVERAGE(OFFSET($AM$3,0,0,'Données projet'!$E$10+1,1))-AVERAGE(OFFSET($H$3,0,0,'Données projet'!$E$10+1,1))</f>
        <v>304.35088214287919</v>
      </c>
      <c r="AO16" s="62">
        <f t="shared" si="36"/>
        <v>288.72611053217599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4.7115384615384617</v>
      </c>
      <c r="BD16" s="13">
        <f>IF('Données projet'!$A$88&gt;35,BD15+BC16-BL15,IF(A16&lt;'Données projet'!$A$88,$BA$205^A16,IF(A16='Données projet'!$A$88,'Données projet'!$B$88,BD15+BC16-BL15)))</f>
        <v>19.196642569792747</v>
      </c>
      <c r="BE16" s="14">
        <f>BD16*VLOOKUP('Données projet'!$B$11,Paramètres!$A$1:$I$89,3,0)*VLOOKUP('Données projet'!$B$11,Paramètres!$A$1:$I$89,5,0)</f>
        <v>12.278172587639441</v>
      </c>
      <c r="BF16" s="14">
        <f t="shared" si="37"/>
        <v>4.2258164754855736</v>
      </c>
      <c r="BG16" s="22">
        <f t="shared" si="7"/>
        <v>28.744447618276066</v>
      </c>
      <c r="BH16" s="62">
        <f t="shared" si="8"/>
        <v>228.28544786989488</v>
      </c>
      <c r="BI16" s="62">
        <f ca="1">AVERAGE(OFFSET($BH$3,0,0,'Données projet'!$E$11+1,1))-AVERAGE(OFFSET($H$3,0,0,'Données projet'!$E$11+1,1))</f>
        <v>285.09561428624352</v>
      </c>
      <c r="BJ16" s="62">
        <f t="shared" si="38"/>
        <v>261.05678516705564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8</v>
      </c>
      <c r="BY16" s="13">
        <f>IF('Données projet'!$A$114&gt;35,BY15+BX16-CG15,IF(A16&lt;'Données projet'!$A$114,$BV$205^A16,IF(A16='Données projet'!$A$114,'Données projet'!$B$114,BY15+BX16-CG15)))</f>
        <v>33</v>
      </c>
      <c r="BZ16" s="14">
        <f>BY16*VLOOKUP('Données projet'!$B$12,Paramètres!$A$1:$I$89,3,0)*VLOOKUP('Données projet'!$B$12,Paramètres!$A$1:$I$89,5,0)</f>
        <v>26.769600000000001</v>
      </c>
      <c r="CA16" s="14">
        <f t="shared" si="39"/>
        <v>8.4142697673415618</v>
      </c>
      <c r="CB16" s="22">
        <f t="shared" si="10"/>
        <v>61.278573178119878</v>
      </c>
      <c r="CC16" s="62">
        <f t="shared" si="11"/>
        <v>260.81957342973868</v>
      </c>
      <c r="CD16" s="62">
        <f ca="1">AVERAGE(OFFSET($CC$3,0,0,'Données projet'!$E$12+1,1))-AVERAGE(OFFSET($H$3,0,0,'Données projet'!$E$12+1,1))</f>
        <v>272.69564942740931</v>
      </c>
      <c r="CE16" s="62">
        <f t="shared" si="40"/>
        <v>316.57989180609252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6.8</v>
      </c>
      <c r="CT16" s="13">
        <f>IF('Données projet'!$A$140&gt;35,CT15+CS16-DB15,IF(A16&lt;'Données projet'!$A$140,$CQ$205^A16,IF(A16='Données projet'!$A$140,'Données projet'!$B$140,CT15+CS16-DB15)))</f>
        <v>31.400000000000002</v>
      </c>
      <c r="CU16" s="18">
        <f>CT16*VLOOKUP('Données projet'!$B$13,Paramètres!$A$1:$I$89,3,0)*VLOOKUP('Données projet'!$B$13,Paramètres!$A$1:$I$89,5,0)</f>
        <v>20.57328</v>
      </c>
      <c r="CV16" s="14">
        <f t="shared" si="41"/>
        <v>6.6678691706770401</v>
      </c>
      <c r="CW16" s="22">
        <f t="shared" si="13"/>
        <v>47.445001472262504</v>
      </c>
      <c r="CX16" s="62">
        <f t="shared" si="14"/>
        <v>246.98600172388132</v>
      </c>
      <c r="CY16" s="62">
        <f ca="1">AVERAGE(OFFSET($CX$3,0,0,'Données projet'!$E$13+1,1))-AVERAGE(OFFSET($H$3,0,0,'Données projet'!$E$13+1,1))</f>
        <v>304.35088214287919</v>
      </c>
      <c r="CZ16" s="62">
        <f t="shared" si="42"/>
        <v>288.72611053217599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10.57692307692308</v>
      </c>
      <c r="DO16" s="13">
        <f>IF('Données projet'!$A$166&gt;35,DO15+DN16-DW15,IF(A16&lt;'Données projet'!$A$166,$DL$205^A16,IF(A16='Données projet'!$A$166,'Données projet'!$B$166,DO15+DN16-DW15)))</f>
        <v>90.705128205128204</v>
      </c>
      <c r="DP16" s="18">
        <f>DO16*VLOOKUP('Données projet'!$B$14,Paramètres!$A$1:$I$89,3,0)*VLOOKUP('Données projet'!$B$14,Paramètres!$A$1:$I$89,5,0)</f>
        <v>52.355000000000004</v>
      </c>
      <c r="DQ16" s="14">
        <f t="shared" si="43"/>
        <v>15.220310017124602</v>
      </c>
      <c r="DR16" s="22">
        <f t="shared" si="16"/>
        <v>117.69366494649201</v>
      </c>
      <c r="DS16" s="62">
        <f t="shared" si="17"/>
        <v>317.2346651981108</v>
      </c>
      <c r="DT16" s="62">
        <f ca="1">AVERAGE(OFFSET($DS$3,0,0,'Données projet'!$E$14+1,1))-AVERAGE(OFFSET($H$3,0,0,'Données projet'!$E$14+1,1))</f>
        <v>172.86120068224633</v>
      </c>
      <c r="DU16" s="62">
        <f t="shared" si="44"/>
        <v>269.4995727085078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1.2</v>
      </c>
      <c r="EJ16" s="13">
        <f>IF('Données projet'!$A$192&gt;35,EJ15+EI16-ER15,IF(A16&lt;'Données projet'!$A$192,$EG$205^A16,IF(A16='Données projet'!$A$192,'Données projet'!$B$192,EJ15+EI16-ER15)))</f>
        <v>5.8627726400958746</v>
      </c>
      <c r="EK16" s="18">
        <f>EJ16*VLOOKUP('Données projet'!$B$15,Paramètres!$A$1:$I$89,3,0)*VLOOKUP('Données projet'!$B$15,Paramètres!$A$1:$I$89,5,0)</f>
        <v>4.9387996720167653</v>
      </c>
      <c r="EL16" s="14">
        <f t="shared" si="45"/>
        <v>1.8898874597990478</v>
      </c>
      <c r="EM16" s="22">
        <f t="shared" si="19"/>
        <v>11.893296754579206</v>
      </c>
      <c r="EN16" s="62">
        <f t="shared" si="20"/>
        <v>211.43429700619802</v>
      </c>
      <c r="EO16" s="62">
        <f ca="1">AVERAGE(OFFSET($EN$3,0,0,'Données projet'!$E$15+1,1))-AVERAGE(OFFSET($H$3,0,0,'Données projet'!$E$15+1,1))</f>
        <v>346.97972840139914</v>
      </c>
      <c r="EP16" s="62">
        <f t="shared" si="46"/>
        <v>158.41433650660613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1.9333333333333333</v>
      </c>
      <c r="FE16" s="13">
        <f>IF('Données projet'!$A$218&gt;35,FE15+FD16-FM15,IF(A16&lt;'Données projet'!$A$218,$FB$205^A16,IF(A16='Données projet'!$A$218,'Données projet'!$B$218,FE15+FD16-FM15)))</f>
        <v>18.510220752863528</v>
      </c>
      <c r="FF16" s="18">
        <f>FE16*VLOOKUP('Données projet'!$B$16,Paramètres!$A$1:$I$89,3,0)*VLOOKUP('Données projet'!$B$16,Paramètres!$A$1:$I$89,5,0)</f>
        <v>12.127896637276184</v>
      </c>
      <c r="FG16" s="14">
        <f t="shared" si="47"/>
        <v>4.1800831528646842</v>
      </c>
      <c r="FH16" s="22">
        <f t="shared" si="22"/>
        <v>28.403064801162014</v>
      </c>
      <c r="FI16" s="62">
        <f t="shared" si="23"/>
        <v>227.94406505278081</v>
      </c>
      <c r="FJ16" s="62">
        <f ca="1">AVERAGE(OFFSET($FI$3,0,0,'Données projet'!$E$16+1,1))-AVERAGE(OFFSET($H$3,0,0,'Données projet'!$E$16+1,1))</f>
        <v>235.88453308732235</v>
      </c>
      <c r="FK16" s="62">
        <f t="shared" si="48"/>
        <v>220.72810812053521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11.529032447092296</v>
      </c>
      <c r="P17" s="14">
        <f t="shared" si="33"/>
        <v>3.9971664842854926</v>
      </c>
      <c r="Q17" s="22">
        <f t="shared" si="2"/>
        <v>27.041463138816312</v>
      </c>
      <c r="R17" s="62">
        <f t="shared" si="0"/>
        <v>229.0713249110895</v>
      </c>
      <c r="S17" s="62">
        <f ca="1">AVERAGE(OFFSET($R$3,0,0,'Données projet'!$E$9+1,1))-AVERAGE(OFFSET($H$3,0,0,'Données projet'!$E$9+1,1))</f>
        <v>442.98179778678298</v>
      </c>
      <c r="T17" s="62">
        <f t="shared" si="34"/>
        <v>251.96153561746942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6.8</v>
      </c>
      <c r="AI17" s="14">
        <f>IF('Données projet'!$A$62&gt;35,AI16+AH17-AQ16,IF(A17&lt;'Données projet'!$A$62,$AF$205^A17,IF(A17='Données projet'!$A$62,'Données projet'!$B$62,AI16+AH17-AQ16)))</f>
        <v>38.200000000000003</v>
      </c>
      <c r="AJ17" s="14">
        <f>AI17*VLOOKUP('Données projet'!$B$10,Paramètres!$A$1:$I$89,3,0)*VLOOKUP('Données projet'!$B$10,Paramètres!$A$1:$I$89,5,0)</f>
        <v>25.028640000000003</v>
      </c>
      <c r="AK17" s="14">
        <f t="shared" si="35"/>
        <v>7.9288685965286847</v>
      </c>
      <c r="AL17" s="22">
        <f t="shared" si="4"/>
        <v>57.400994138954132</v>
      </c>
      <c r="AM17" s="62">
        <f t="shared" si="5"/>
        <v>259.43085591122735</v>
      </c>
      <c r="AN17" s="62">
        <f ca="1">AVERAGE(OFFSET($AM$3,0,0,'Données projet'!$E$10+1,1))-AVERAGE(OFFSET($H$3,0,0,'Données projet'!$E$10+1,1))</f>
        <v>304.35088214287919</v>
      </c>
      <c r="AO17" s="62">
        <f t="shared" si="36"/>
        <v>288.72611053217599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4.7115384615384617</v>
      </c>
      <c r="BD17" s="13">
        <f>IF('Données projet'!$A$88&gt;35,BD16+BC17-BL16,IF(A17&lt;'Données projet'!$A$88,$BA$205^A17,IF(A17='Données projet'!$A$88,'Données projet'!$B$88,BD16+BC17-BL16)))</f>
        <v>24.095443009196032</v>
      </c>
      <c r="BE17" s="14">
        <f>BD17*VLOOKUP('Données projet'!$B$11,Paramètres!$A$1:$I$89,3,0)*VLOOKUP('Données projet'!$B$11,Paramètres!$A$1:$I$89,5,0)</f>
        <v>15.411445348681781</v>
      </c>
      <c r="BF17" s="14">
        <f t="shared" si="37"/>
        <v>5.1657153002945293</v>
      </c>
      <c r="BG17" s="22">
        <f t="shared" si="7"/>
        <v>35.838554796967067</v>
      </c>
      <c r="BH17" s="62">
        <f t="shared" si="8"/>
        <v>237.86841656924025</v>
      </c>
      <c r="BI17" s="62">
        <f ca="1">AVERAGE(OFFSET($BH$3,0,0,'Données projet'!$E$11+1,1))-AVERAGE(OFFSET($H$3,0,0,'Données projet'!$E$11+1,1))</f>
        <v>285.09561428624352</v>
      </c>
      <c r="BJ17" s="62">
        <f t="shared" si="38"/>
        <v>261.05678516705564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8</v>
      </c>
      <c r="BY17" s="13">
        <f>IF('Données projet'!$A$114&gt;35,BY16+BX17-CG16,IF(A17&lt;'Données projet'!$A$114,$BV$205^A17,IF(A17='Données projet'!$A$114,'Données projet'!$B$114,BY16+BX17-CG16)))</f>
        <v>41</v>
      </c>
      <c r="BZ17" s="14">
        <f>BY17*VLOOKUP('Données projet'!$B$12,Paramètres!$A$1:$I$89,3,0)*VLOOKUP('Données projet'!$B$12,Paramètres!$A$1:$I$89,5,0)</f>
        <v>33.2592</v>
      </c>
      <c r="CA17" s="14">
        <f t="shared" si="39"/>
        <v>10.193265358024187</v>
      </c>
      <c r="CB17" s="22">
        <f t="shared" si="10"/>
        <v>75.679710498558791</v>
      </c>
      <c r="CC17" s="62">
        <f t="shared" si="11"/>
        <v>277.70957227083198</v>
      </c>
      <c r="CD17" s="62">
        <f ca="1">AVERAGE(OFFSET($CC$3,0,0,'Données projet'!$E$12+1,1))-AVERAGE(OFFSET($H$3,0,0,'Données projet'!$E$12+1,1))</f>
        <v>272.69564942740931</v>
      </c>
      <c r="CE17" s="62">
        <f t="shared" si="40"/>
        <v>316.57989180609252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6.8</v>
      </c>
      <c r="CT17" s="13">
        <f>IF('Données projet'!$A$140&gt;35,CT16+CS17-DB16,IF(A17&lt;'Données projet'!$A$140,$CQ$205^A17,IF(A17='Données projet'!$A$140,'Données projet'!$B$140,CT16+CS17-DB16)))</f>
        <v>38.200000000000003</v>
      </c>
      <c r="CU17" s="18">
        <f>CT17*VLOOKUP('Données projet'!$B$13,Paramètres!$A$1:$I$89,3,0)*VLOOKUP('Données projet'!$B$13,Paramètres!$A$1:$I$89,5,0)</f>
        <v>25.028640000000003</v>
      </c>
      <c r="CV17" s="14">
        <f t="shared" si="41"/>
        <v>7.9288685965286847</v>
      </c>
      <c r="CW17" s="22">
        <f t="shared" si="13"/>
        <v>57.400994138954132</v>
      </c>
      <c r="CX17" s="62">
        <f t="shared" si="14"/>
        <v>259.43085591122735</v>
      </c>
      <c r="CY17" s="62">
        <f ca="1">AVERAGE(OFFSET($CX$3,0,0,'Données projet'!$E$13+1,1))-AVERAGE(OFFSET($H$3,0,0,'Données projet'!$E$13+1,1))</f>
        <v>304.35088214287919</v>
      </c>
      <c r="CZ17" s="62">
        <f t="shared" si="42"/>
        <v>288.72611053217599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>
        <f>VLOOKUP(A17,'Données projet'!$A$165:$I$185,2,0)</f>
        <v>101.28205128205128</v>
      </c>
      <c r="DM17" s="13">
        <f>VLOOKUP(A17,'Données projet'!$A$165:$I$185,9,0)</f>
        <v>10.57692307692308</v>
      </c>
      <c r="DN17" s="13">
        <f t="array" ref="DN17">INDEX(DM:DM,MIN(IF(ISNUMBER(DM17:DM213),ROW(DM17:DM213),"")))</f>
        <v>10.57692307692308</v>
      </c>
      <c r="DO17" s="13">
        <f>IF('Données projet'!$A$166&gt;35,DO16+DN17-DW16,IF(A17&lt;'Données projet'!$A$166,$DL$205^A17,IF(A17='Données projet'!$A$166,'Données projet'!$B$166,DO16+DN17-DW16)))</f>
        <v>101.28205128205128</v>
      </c>
      <c r="DP17" s="18">
        <f>DO17*VLOOKUP('Données projet'!$B$14,Paramètres!$A$1:$I$89,3,0)*VLOOKUP('Données projet'!$B$14,Paramètres!$A$1:$I$89,5,0)</f>
        <v>58.460000000000008</v>
      </c>
      <c r="DQ17" s="14">
        <f t="shared" si="43"/>
        <v>16.778321436537986</v>
      </c>
      <c r="DR17" s="22">
        <f t="shared" si="16"/>
        <v>131.04007650197033</v>
      </c>
      <c r="DS17" s="62">
        <f t="shared" si="17"/>
        <v>333.06993827424355</v>
      </c>
      <c r="DT17" s="62">
        <f ca="1">AVERAGE(OFFSET($DS$3,0,0,'Données projet'!$E$14+1,1))-AVERAGE(OFFSET($H$3,0,0,'Données projet'!$E$14+1,1))</f>
        <v>172.86120068224633</v>
      </c>
      <c r="DU17" s="62">
        <f t="shared" si="44"/>
        <v>269.4995727085078</v>
      </c>
      <c r="DV17" s="16">
        <f>IF(ISNA(VLOOKUP(A17,'Données projet'!$A$165:$I$185,3,0)),0,VLOOKUP(A17,'Données projet'!$A$165:$I$185,3,0))</f>
        <v>2</v>
      </c>
      <c r="DW17" s="16">
        <f>IF(ISNA(VLOOKUP(A17,'Données projet'!$A$165:$I$185,4,0)),0,VLOOKUP(A17,'Données projet'!$A$165:$I$185,4,0))</f>
        <v>16.025641025641026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1.2</v>
      </c>
      <c r="EJ17" s="13">
        <f>IF('Données projet'!$A$192&gt;35,EJ16+EI17-ER16,IF(A17&lt;'Données projet'!$A$192,$EG$205^A17,IF(A17='Données projet'!$A$192,'Données projet'!$B$192,EJ16+EI17-ER16)))</f>
        <v>6.7171941741218459</v>
      </c>
      <c r="EK17" s="18">
        <f>EJ17*VLOOKUP('Données projet'!$B$15,Paramètres!$A$1:$I$89,3,0)*VLOOKUP('Données projet'!$B$15,Paramètres!$A$1:$I$89,5,0)</f>
        <v>5.6585643722802441</v>
      </c>
      <c r="EL17" s="14">
        <f t="shared" si="45"/>
        <v>2.1312937772337501</v>
      </c>
      <c r="EM17" s="22">
        <f t="shared" si="19"/>
        <v>13.567336277070206</v>
      </c>
      <c r="EN17" s="62">
        <f t="shared" si="20"/>
        <v>215.5971980493434</v>
      </c>
      <c r="EO17" s="62">
        <f ca="1">AVERAGE(OFFSET($EN$3,0,0,'Données projet'!$E$15+1,1))-AVERAGE(OFFSET($H$3,0,0,'Données projet'!$E$15+1,1))</f>
        <v>346.97972840139914</v>
      </c>
      <c r="EP17" s="62">
        <f t="shared" si="46"/>
        <v>158.41433650660613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1.9333333333333333</v>
      </c>
      <c r="FE17" s="13">
        <f>IF('Données projet'!$A$218&gt;35,FE16+FD17-FM16,IF(A17&lt;'Données projet'!$A$218,$FB$205^A17,IF(A17='Données projet'!$A$218,'Données projet'!$B$218,FE16+FD17-FM16)))</f>
        <v>23.16886708134524</v>
      </c>
      <c r="FF17" s="18">
        <f>FE17*VLOOKUP('Données projet'!$B$16,Paramètres!$A$1:$I$89,3,0)*VLOOKUP('Données projet'!$B$16,Paramètres!$A$1:$I$89,5,0)</f>
        <v>15.180241711697402</v>
      </c>
      <c r="FG17" s="14">
        <f t="shared" si="47"/>
        <v>5.0971793208937788</v>
      </c>
      <c r="FH17" s="22">
        <f t="shared" si="22"/>
        <v>35.316508298429639</v>
      </c>
      <c r="FI17" s="62">
        <f t="shared" si="23"/>
        <v>237.34637007070285</v>
      </c>
      <c r="FJ17" s="62">
        <f ca="1">AVERAGE(OFFSET($FI$3,0,0,'Données projet'!$E$16+1,1))-AVERAGE(OFFSET($H$3,0,0,'Données projet'!$E$16+1,1))</f>
        <v>235.88453308732235</v>
      </c>
      <c r="FK17" s="62">
        <f t="shared" si="48"/>
        <v>220.72810812053521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13.898096600580887</v>
      </c>
      <c r="P18" s="14">
        <f t="shared" si="33"/>
        <v>4.7148446849071632</v>
      </c>
      <c r="Q18" s="22">
        <f t="shared" si="2"/>
        <v>32.417539405558351</v>
      </c>
      <c r="R18" s="62">
        <f t="shared" si="0"/>
        <v>236.9142893384394</v>
      </c>
      <c r="S18" s="62">
        <f ca="1">AVERAGE(OFFSET($R$3,0,0,'Données projet'!$E$9+1,1))-AVERAGE(OFFSET($H$3,0,0,'Données projet'!$E$9+1,1))</f>
        <v>442.98179778678298</v>
      </c>
      <c r="T18" s="62">
        <f t="shared" si="34"/>
        <v>251.96153561746942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45</v>
      </c>
      <c r="AG18" s="13">
        <f>VLOOKUP(A18,'Données projet'!$A$61:$I$81,9,0)</f>
        <v>6.8</v>
      </c>
      <c r="AH18" s="13">
        <f t="array" ref="AH18">INDEX(AG:AG,MIN(IF(ISNUMBER(AG18:AG214),ROW(AG18:AG214),"")))</f>
        <v>6.8</v>
      </c>
      <c r="AI18" s="14">
        <f>IF('Données projet'!$A$62&gt;35,AI17+AH18-AQ17,IF(A18&lt;'Données projet'!$A$62,$AF$205^A18,IF(A18='Données projet'!$A$62,'Données projet'!$B$62,AI17+AH18-AQ17)))</f>
        <v>45</v>
      </c>
      <c r="AJ18" s="14">
        <f>AI18*VLOOKUP('Données projet'!$B$10,Paramètres!$A$1:$I$89,3,0)*VLOOKUP('Données projet'!$B$10,Paramètres!$A$1:$I$89,5,0)</f>
        <v>29.483999999999998</v>
      </c>
      <c r="AK18" s="14">
        <f t="shared" si="35"/>
        <v>9.1638634703614379</v>
      </c>
      <c r="AL18" s="22">
        <f t="shared" si="4"/>
        <v>67.311695544212839</v>
      </c>
      <c r="AM18" s="62">
        <f t="shared" si="5"/>
        <v>271.80844547709387</v>
      </c>
      <c r="AN18" s="62">
        <f ca="1">AVERAGE(OFFSET($AM$3,0,0,'Données projet'!$E$10+1,1))-AVERAGE(OFFSET($H$3,0,0,'Données projet'!$E$10+1,1))</f>
        <v>304.35088214287919</v>
      </c>
      <c r="AO18" s="62">
        <f t="shared" si="36"/>
        <v>288.72611053217599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4.7115384615384617</v>
      </c>
      <c r="BD18" s="13">
        <f>IF('Données projet'!$A$88&gt;35,BD17+BC18-BL17,IF(A18&lt;'Données projet'!$A$88,$BA$205^A18,IF(A18='Données projet'!$A$88,'Données projet'!$B$88,BD17+BC18-BL17)))</f>
        <v>30.244370686101814</v>
      </c>
      <c r="BE18" s="14">
        <f>BD18*VLOOKUP('Données projet'!$B$11,Paramètres!$A$1:$I$89,3,0)*VLOOKUP('Données projet'!$B$11,Paramètres!$A$1:$I$89,5,0)</f>
        <v>19.344299490830721</v>
      </c>
      <c r="BF18" s="14">
        <f t="shared" si="37"/>
        <v>6.3146648034758286</v>
      </c>
      <c r="BG18" s="22">
        <f t="shared" si="7"/>
        <v>44.689362812583909</v>
      </c>
      <c r="BH18" s="62">
        <f t="shared" si="8"/>
        <v>249.18611274546495</v>
      </c>
      <c r="BI18" s="62">
        <f ca="1">AVERAGE(OFFSET($BH$3,0,0,'Données projet'!$E$11+1,1))-AVERAGE(OFFSET($H$3,0,0,'Données projet'!$E$11+1,1))</f>
        <v>285.09561428624352</v>
      </c>
      <c r="BJ18" s="62">
        <f t="shared" si="38"/>
        <v>261.05678516705564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49</v>
      </c>
      <c r="BW18" s="13">
        <f>VLOOKUP(A18,'Données projet'!$A$113:$I$133,9,0)</f>
        <v>8</v>
      </c>
      <c r="BX18" s="13">
        <f t="array" ref="BX18">INDEX(BW:BW,MIN(IF(ISNUMBER(BW18:BW214),ROW(BW18:BW214),"")))</f>
        <v>8</v>
      </c>
      <c r="BY18" s="13">
        <f>IF('Données projet'!$A$114&gt;35,BY17+BX18-CG17,IF(A18&lt;'Données projet'!$A$114,$BV$205^A18,IF(A18='Données projet'!$A$114,'Données projet'!$B$114,BY17+BX18-CG17)))</f>
        <v>49</v>
      </c>
      <c r="BZ18" s="14">
        <f>BY18*VLOOKUP('Données projet'!$B$12,Paramètres!$A$1:$I$89,3,0)*VLOOKUP('Données projet'!$B$12,Paramètres!$A$1:$I$89,5,0)</f>
        <v>39.748800000000003</v>
      </c>
      <c r="CA18" s="14">
        <f t="shared" si="39"/>
        <v>11.932041927023215</v>
      </c>
      <c r="CB18" s="22">
        <f t="shared" si="10"/>
        <v>90.010799689565431</v>
      </c>
      <c r="CC18" s="62">
        <f t="shared" si="11"/>
        <v>294.5075496224465</v>
      </c>
      <c r="CD18" s="62">
        <f ca="1">AVERAGE(OFFSET($CC$3,0,0,'Données projet'!$E$12+1,1))-AVERAGE(OFFSET($H$3,0,0,'Données projet'!$E$12+1,1))</f>
        <v>272.69564942740931</v>
      </c>
      <c r="CE18" s="62">
        <f t="shared" si="40"/>
        <v>316.57989180609252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45</v>
      </c>
      <c r="CR18" s="13">
        <f>VLOOKUP(A18,'Données projet'!$A$139:$I$159,9,0)</f>
        <v>6.8</v>
      </c>
      <c r="CS18" s="13">
        <f t="array" ref="CS18">INDEX(CR:CR,MIN(IF(ISNUMBER(CR18:CR214),ROW(CR18:CR214),"")))</f>
        <v>6.8</v>
      </c>
      <c r="CT18" s="13">
        <f>IF('Données projet'!$A$140&gt;35,CT17+CS18-DB17,IF(A18&lt;'Données projet'!$A$140,$CQ$205^A18,IF(A18='Données projet'!$A$140,'Données projet'!$B$140,CT17+CS18-DB17)))</f>
        <v>45</v>
      </c>
      <c r="CU18" s="18">
        <f>CT18*VLOOKUP('Données projet'!$B$13,Paramètres!$A$1:$I$89,3,0)*VLOOKUP('Données projet'!$B$13,Paramètres!$A$1:$I$89,5,0)</f>
        <v>29.483999999999998</v>
      </c>
      <c r="CV18" s="14">
        <f t="shared" si="41"/>
        <v>9.1638634703614379</v>
      </c>
      <c r="CW18" s="22">
        <f t="shared" si="13"/>
        <v>67.311695544212839</v>
      </c>
      <c r="CX18" s="62">
        <f t="shared" si="14"/>
        <v>271.80844547709387</v>
      </c>
      <c r="CY18" s="62">
        <f ca="1">AVERAGE(OFFSET($CX$3,0,0,'Données projet'!$E$13+1,1))-AVERAGE(OFFSET($H$3,0,0,'Données projet'!$E$13+1,1))</f>
        <v>304.35088214287919</v>
      </c>
      <c r="CZ18" s="62">
        <f t="shared" si="42"/>
        <v>288.72611053217599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10.256410256410248</v>
      </c>
      <c r="DO18" s="13">
        <f>IF('Données projet'!$A$166&gt;35,DO17+DN18-DW17,IF(A18&lt;'Données projet'!$A$166,$DL$205^A18,IF(A18='Données projet'!$A$166,'Données projet'!$B$166,DO17+DN18-DW17)))</f>
        <v>95.512820512820511</v>
      </c>
      <c r="DP18" s="18">
        <f>DO18*VLOOKUP('Données projet'!$B$14,Paramètres!$A$1:$I$89,3,0)*VLOOKUP('Données projet'!$B$14,Paramètres!$A$1:$I$89,5,0)</f>
        <v>55.13</v>
      </c>
      <c r="DQ18" s="14">
        <f t="shared" si="43"/>
        <v>15.930980096076073</v>
      </c>
      <c r="DR18" s="22">
        <f t="shared" si="16"/>
        <v>123.76454033399916</v>
      </c>
      <c r="DS18" s="62">
        <f t="shared" si="17"/>
        <v>328.26129026688022</v>
      </c>
      <c r="DT18" s="62">
        <f ca="1">AVERAGE(OFFSET($DS$3,0,0,'Données projet'!$E$14+1,1))-AVERAGE(OFFSET($H$3,0,0,'Données projet'!$E$14+1,1))</f>
        <v>172.86120068224633</v>
      </c>
      <c r="DU18" s="62">
        <f t="shared" si="44"/>
        <v>269.4995727085078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1.2</v>
      </c>
      <c r="EJ18" s="13">
        <f>IF('Données projet'!$A$192&gt;35,EJ17+EI18-ER17,IF(A18&lt;'Données projet'!$A$192,$EG$205^A18,IF(A18='Données projet'!$A$192,'Données projet'!$B$192,EJ17+EI18-ER17)))</f>
        <v>7.6961363407260848</v>
      </c>
      <c r="EK18" s="18">
        <f>EJ18*VLOOKUP('Données projet'!$B$15,Paramètres!$A$1:$I$89,3,0)*VLOOKUP('Données projet'!$B$15,Paramètres!$A$1:$I$89,5,0)</f>
        <v>6.4832252534276549</v>
      </c>
      <c r="EL18" s="14">
        <f t="shared" si="45"/>
        <v>2.4035363276913344</v>
      </c>
      <c r="EM18" s="22">
        <f t="shared" si="19"/>
        <v>15.477776420448906</v>
      </c>
      <c r="EN18" s="62">
        <f t="shared" si="20"/>
        <v>219.97452635332996</v>
      </c>
      <c r="EO18" s="62">
        <f ca="1">AVERAGE(OFFSET($EN$3,0,0,'Données projet'!$E$15+1,1))-AVERAGE(OFFSET($H$3,0,0,'Données projet'!$E$15+1,1))</f>
        <v>346.97972840139914</v>
      </c>
      <c r="EP18" s="62">
        <f t="shared" si="46"/>
        <v>158.41433650660613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29</v>
      </c>
      <c r="FC18" s="13">
        <f>VLOOKUP(A18,'Données projet'!$A$217:$I$237,9,0)</f>
        <v>1.9333333333333333</v>
      </c>
      <c r="FD18" s="13">
        <f t="array" ref="FD18">INDEX(FC:FC,MIN(IF(ISNUMBER(FC18:FC214),ROW(FC18:FC214),"")))</f>
        <v>1.9333333333333333</v>
      </c>
      <c r="FE18" s="13">
        <f>IF('Données projet'!$A$218&gt;35,FE17+FD18-FM17,IF(A18&lt;'Données projet'!$A$218,$FB$205^A18,IF(A18='Données projet'!$A$218,'Données projet'!$B$218,FE17+FD18-FM17)))</f>
        <v>29</v>
      </c>
      <c r="FF18" s="18">
        <f>FE18*VLOOKUP('Données projet'!$B$16,Paramètres!$A$1:$I$89,3,0)*VLOOKUP('Données projet'!$B$16,Paramètres!$A$1:$I$89,5,0)</f>
        <v>19.000800000000002</v>
      </c>
      <c r="FG18" s="14">
        <f t="shared" si="47"/>
        <v>6.2154833000252001</v>
      </c>
      <c r="FH18" s="22">
        <f t="shared" si="22"/>
        <v>43.918360080877228</v>
      </c>
      <c r="FI18" s="62">
        <f t="shared" si="23"/>
        <v>248.41511001375827</v>
      </c>
      <c r="FJ18" s="62">
        <f ca="1">AVERAGE(OFFSET($FI$3,0,0,'Données projet'!$E$16+1,1))-AVERAGE(OFFSET($H$3,0,0,'Données projet'!$E$16+1,1))</f>
        <v>235.88453308732235</v>
      </c>
      <c r="FK18" s="62">
        <f t="shared" si="48"/>
        <v>220.72810812053521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16.753972200658836</v>
      </c>
      <c r="P19" s="14">
        <f t="shared" si="33"/>
        <v>5.5613796648680189</v>
      </c>
      <c r="Q19" s="22">
        <f t="shared" si="2"/>
        <v>38.865904499125939</v>
      </c>
      <c r="R19" s="62">
        <f t="shared" si="0"/>
        <v>245.80795042124001</v>
      </c>
      <c r="S19" s="62">
        <f ca="1">AVERAGE(OFFSET($R$3,0,0,'Données projet'!$E$9+1,1))-AVERAGE(OFFSET($H$3,0,0,'Données projet'!$E$9+1,1))</f>
        <v>442.98179778678298</v>
      </c>
      <c r="T19" s="62">
        <f t="shared" si="34"/>
        <v>251.96153561746942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</v>
      </c>
      <c r="AI19" s="14">
        <f>IF('Données projet'!$A$62&gt;35,AI18+AH19-AQ18,IF(A19&lt;'Données projet'!$A$62,$AF$205^A19,IF(A19='Données projet'!$A$62,'Données projet'!$B$62,AI18+AH19-AQ18)))</f>
        <v>57</v>
      </c>
      <c r="AJ19" s="14">
        <f>AI19*VLOOKUP('Données projet'!$B$10,Paramètres!$A$1:$I$89,3,0)*VLOOKUP('Données projet'!$B$10,Paramètres!$A$1:$I$89,5,0)</f>
        <v>37.346399999999996</v>
      </c>
      <c r="AK19" s="14">
        <f t="shared" si="35"/>
        <v>11.292524863342392</v>
      </c>
      <c r="AL19" s="22">
        <f t="shared" si="4"/>
        <v>84.712794136987995</v>
      </c>
      <c r="AM19" s="62">
        <f t="shared" si="5"/>
        <v>291.65484005910207</v>
      </c>
      <c r="AN19" s="62">
        <f ca="1">AVERAGE(OFFSET($AM$3,0,0,'Données projet'!$E$10+1,1))-AVERAGE(OFFSET($H$3,0,0,'Données projet'!$E$10+1,1))</f>
        <v>304.35088214287919</v>
      </c>
      <c r="AO19" s="62">
        <f t="shared" si="36"/>
        <v>288.72611053217599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4.7115384615384617</v>
      </c>
      <c r="BD19" s="13">
        <f>IF('Données projet'!$A$88&gt;35,BD18+BC19-BL18,IF(A19&lt;'Données projet'!$A$88,$BA$205^A19,IF(A19='Données projet'!$A$88,'Données projet'!$B$88,BD18+BC19-BL18)))</f>
        <v>37.962446170806281</v>
      </c>
      <c r="BE19" s="14">
        <f>BD19*VLOOKUP('Données projet'!$B$11,Paramètres!$A$1:$I$89,3,0)*VLOOKUP('Données projet'!$B$11,Paramètres!$A$1:$I$89,5,0)</f>
        <v>24.280780570847696</v>
      </c>
      <c r="BF19" s="14">
        <f t="shared" si="37"/>
        <v>7.7191616769865101</v>
      </c>
      <c r="BG19" s="22">
        <f t="shared" si="7"/>
        <v>55.733232748311231</v>
      </c>
      <c r="BH19" s="62">
        <f t="shared" si="8"/>
        <v>262.67527867042531</v>
      </c>
      <c r="BI19" s="62">
        <f ca="1">AVERAGE(OFFSET($BH$3,0,0,'Données projet'!$E$11+1,1))-AVERAGE(OFFSET($H$3,0,0,'Données projet'!$E$11+1,1))</f>
        <v>285.09561428624352</v>
      </c>
      <c r="BJ19" s="62">
        <f t="shared" si="38"/>
        <v>261.05678516705564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</v>
      </c>
      <c r="BY19" s="13">
        <f>IF('Données projet'!$A$114&gt;35,BY18+BX19-CG18,IF(A19&lt;'Données projet'!$A$114,$BV$205^A19,IF(A19='Données projet'!$A$114,'Données projet'!$B$114,BY18+BX19-CG18)))</f>
        <v>59</v>
      </c>
      <c r="BZ19" s="14">
        <f>BY19*VLOOKUP('Données projet'!$B$12,Paramètres!$A$1:$I$89,3,0)*VLOOKUP('Données projet'!$B$12,Paramètres!$A$1:$I$89,5,0)</f>
        <v>47.860800000000005</v>
      </c>
      <c r="CA19" s="14">
        <f t="shared" si="39"/>
        <v>14.059903887836867</v>
      </c>
      <c r="CB19" s="22">
        <f t="shared" si="10"/>
        <v>107.84522593798255</v>
      </c>
      <c r="CC19" s="62">
        <f t="shared" si="11"/>
        <v>314.78727186009661</v>
      </c>
      <c r="CD19" s="62">
        <f ca="1">AVERAGE(OFFSET($CC$3,0,0,'Données projet'!$E$12+1,1))-AVERAGE(OFFSET($H$3,0,0,'Données projet'!$E$12+1,1))</f>
        <v>272.69564942740931</v>
      </c>
      <c r="CE19" s="62">
        <f t="shared" si="40"/>
        <v>316.57989180609252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</v>
      </c>
      <c r="CT19" s="13">
        <f>IF('Données projet'!$A$140&gt;35,CT18+CS19-DB18,IF(A19&lt;'Données projet'!$A$140,$CQ$205^A19,IF(A19='Données projet'!$A$140,'Données projet'!$B$140,CT18+CS19-DB18)))</f>
        <v>57</v>
      </c>
      <c r="CU19" s="18">
        <f>CT19*VLOOKUP('Données projet'!$B$13,Paramètres!$A$1:$I$89,3,0)*VLOOKUP('Données projet'!$B$13,Paramètres!$A$1:$I$89,5,0)</f>
        <v>37.346399999999996</v>
      </c>
      <c r="CV19" s="14">
        <f t="shared" si="41"/>
        <v>11.292524863342392</v>
      </c>
      <c r="CW19" s="22">
        <f t="shared" si="13"/>
        <v>84.712794136987995</v>
      </c>
      <c r="CX19" s="62">
        <f t="shared" si="14"/>
        <v>291.65484005910207</v>
      </c>
      <c r="CY19" s="62">
        <f ca="1">AVERAGE(OFFSET($CX$3,0,0,'Données projet'!$E$13+1,1))-AVERAGE(OFFSET($H$3,0,0,'Données projet'!$E$13+1,1))</f>
        <v>304.35088214287919</v>
      </c>
      <c r="CZ19" s="62">
        <f t="shared" si="42"/>
        <v>288.72611053217599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>
        <f>VLOOKUP(A19,'Données projet'!$A$165:$I$185,2,0)</f>
        <v>105.76923076923076</v>
      </c>
      <c r="DM19" s="13">
        <f>VLOOKUP(A19,'Données projet'!$A$165:$I$185,9,0)</f>
        <v>10.256410256410248</v>
      </c>
      <c r="DN19" s="13">
        <f t="array" ref="DN19">INDEX(DM:DM,MIN(IF(ISNUMBER(DM19:DM215),ROW(DM19:DM215),"")))</f>
        <v>10.256410256410248</v>
      </c>
      <c r="DO19" s="13">
        <f>IF('Données projet'!$A$166&gt;35,DO18+DN19-DW18,IF(A19&lt;'Données projet'!$A$166,$DL$205^A19,IF(A19='Données projet'!$A$166,'Données projet'!$B$166,DO18+DN19-DW18)))</f>
        <v>105.76923076923076</v>
      </c>
      <c r="DP19" s="18">
        <f>DO19*VLOOKUP('Données projet'!$B$14,Paramètres!$A$1:$I$89,3,0)*VLOOKUP('Données projet'!$B$14,Paramètres!$A$1:$I$89,5,0)</f>
        <v>61.05</v>
      </c>
      <c r="DQ19" s="14">
        <f t="shared" si="43"/>
        <v>17.433473316748092</v>
      </c>
      <c r="DR19" s="22">
        <f t="shared" si="16"/>
        <v>136.69204936000293</v>
      </c>
      <c r="DS19" s="62">
        <f t="shared" si="17"/>
        <v>343.63409528211696</v>
      </c>
      <c r="DT19" s="62">
        <f ca="1">AVERAGE(OFFSET($DS$3,0,0,'Données projet'!$E$14+1,1))-AVERAGE(OFFSET($H$3,0,0,'Données projet'!$E$14+1,1))</f>
        <v>172.86120068224633</v>
      </c>
      <c r="DU19" s="62">
        <f t="shared" si="44"/>
        <v>269.4995727085078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1.2</v>
      </c>
      <c r="EJ19" s="13">
        <f>IF('Données projet'!$A$192&gt;35,EJ18+EI19-ER18,IF(A19&lt;'Données projet'!$A$192,$EG$205^A19,IF(A19='Données projet'!$A$192,'Données projet'!$B$192,EJ18+EI19-ER18)))</f>
        <v>8.8177463744060987</v>
      </c>
      <c r="EK19" s="18">
        <f>EJ19*VLOOKUP('Données projet'!$B$15,Paramètres!$A$1:$I$89,3,0)*VLOOKUP('Données projet'!$B$15,Paramètres!$A$1:$I$89,5,0)</f>
        <v>7.4280695457996986</v>
      </c>
      <c r="EL19" s="14">
        <f t="shared" si="45"/>
        <v>2.7105540025692809</v>
      </c>
      <c r="EM19" s="22">
        <f t="shared" si="19"/>
        <v>17.658102680075974</v>
      </c>
      <c r="EN19" s="62">
        <f t="shared" si="20"/>
        <v>224.60014860219005</v>
      </c>
      <c r="EO19" s="62">
        <f ca="1">AVERAGE(OFFSET($EN$3,0,0,'Données projet'!$E$15+1,1))-AVERAGE(OFFSET($H$3,0,0,'Données projet'!$E$15+1,1))</f>
        <v>346.97972840139914</v>
      </c>
      <c r="EP19" s="62">
        <f t="shared" si="46"/>
        <v>158.41433650660613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8.4</v>
      </c>
      <c r="FE19" s="13">
        <f>IF('Données projet'!$A$218&gt;35,FE18+FD19-FM18,IF(A19&lt;'Données projet'!$A$218,$FB$205^A19,IF(A19='Données projet'!$A$218,'Données projet'!$B$218,FE18+FD19-FM18)))</f>
        <v>37.4</v>
      </c>
      <c r="FF19" s="18">
        <f>FE19*VLOOKUP('Données projet'!$B$16,Paramètres!$A$1:$I$89,3,0)*VLOOKUP('Données projet'!$B$16,Paramètres!$A$1:$I$89,5,0)</f>
        <v>24.504479999999997</v>
      </c>
      <c r="FG19" s="14">
        <f t="shared" si="47"/>
        <v>7.7819669258411093</v>
      </c>
      <c r="FH19" s="22">
        <f t="shared" si="22"/>
        <v>56.232228395839918</v>
      </c>
      <c r="FI19" s="62">
        <f t="shared" si="23"/>
        <v>263.17427431795397</v>
      </c>
      <c r="FJ19" s="62">
        <f ca="1">AVERAGE(OFFSET($FI$3,0,0,'Données projet'!$E$16+1,1))-AVERAGE(OFFSET($H$3,0,0,'Données projet'!$E$16+1,1))</f>
        <v>235.88453308732235</v>
      </c>
      <c r="FK19" s="62">
        <f t="shared" si="48"/>
        <v>220.72810812053521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20.196692580818372</v>
      </c>
      <c r="P20" s="14">
        <f t="shared" si="33"/>
        <v>6.5599072384749233</v>
      </c>
      <c r="Q20" s="22">
        <f t="shared" si="2"/>
        <v>46.601078018602493</v>
      </c>
      <c r="R20" s="62">
        <f t="shared" si="0"/>
        <v>255.96720233447522</v>
      </c>
      <c r="S20" s="62">
        <f ca="1">AVERAGE(OFFSET($R$3,0,0,'Données projet'!$E$9+1,1))-AVERAGE(OFFSET($H$3,0,0,'Données projet'!$E$9+1,1))</f>
        <v>442.98179778678298</v>
      </c>
      <c r="T20" s="62">
        <f t="shared" si="34"/>
        <v>251.96153561746942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</v>
      </c>
      <c r="AI20" s="14">
        <f>IF('Données projet'!$A$62&gt;35,AI19+AH20-AQ19,IF(A20&lt;'Données projet'!$A$62,$AF$205^A20,IF(A20='Données projet'!$A$62,'Données projet'!$B$62,AI19+AH20-AQ19)))</f>
        <v>69</v>
      </c>
      <c r="AJ20" s="14">
        <f>AI20*VLOOKUP('Données projet'!$B$10,Paramètres!$A$1:$I$89,3,0)*VLOOKUP('Données projet'!$B$10,Paramètres!$A$1:$I$89,5,0)</f>
        <v>45.208800000000004</v>
      </c>
      <c r="AK20" s="14">
        <f t="shared" si="35"/>
        <v>13.369251386406743</v>
      </c>
      <c r="AL20" s="22">
        <f t="shared" si="4"/>
        <v>102.02343949799173</v>
      </c>
      <c r="AM20" s="62">
        <f t="shared" si="5"/>
        <v>311.38956381386447</v>
      </c>
      <c r="AN20" s="62">
        <f ca="1">AVERAGE(OFFSET($AM$3,0,0,'Données projet'!$E$10+1,1))-AVERAGE(OFFSET($H$3,0,0,'Données projet'!$E$10+1,1))</f>
        <v>304.35088214287919</v>
      </c>
      <c r="AO20" s="62">
        <f t="shared" si="36"/>
        <v>288.72611053217599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4.7115384615384617</v>
      </c>
      <c r="BD20" s="13">
        <f>IF('Données projet'!$A$88&gt;35,BD19+BC20-BL19,IF(A20&lt;'Données projet'!$A$88,$BA$205^A20,IF(A20='Données projet'!$A$88,'Données projet'!$B$88,BD19+BC20-BL19)))</f>
        <v>47.650101046196156</v>
      </c>
      <c r="BE20" s="14">
        <f>BD20*VLOOKUP('Données projet'!$B$11,Paramètres!$A$1:$I$89,3,0)*VLOOKUP('Données projet'!$B$11,Paramètres!$A$1:$I$89,5,0)</f>
        <v>30.477004629147064</v>
      </c>
      <c r="BF20" s="14">
        <f t="shared" si="37"/>
        <v>9.436044326954482</v>
      </c>
      <c r="BG20" s="22">
        <f t="shared" si="7"/>
        <v>69.515226931876853</v>
      </c>
      <c r="BH20" s="62">
        <f t="shared" si="8"/>
        <v>278.88135124774959</v>
      </c>
      <c r="BI20" s="62">
        <f ca="1">AVERAGE(OFFSET($BH$3,0,0,'Données projet'!$E$11+1,1))-AVERAGE(OFFSET($H$3,0,0,'Données projet'!$E$11+1,1))</f>
        <v>285.09561428624352</v>
      </c>
      <c r="BJ20" s="62">
        <f t="shared" si="38"/>
        <v>261.05678516705564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10</v>
      </c>
      <c r="BY20" s="13">
        <f>IF('Données projet'!$A$114&gt;35,BY19+BX20-CG19,IF(A20&lt;'Données projet'!$A$114,$BV$205^A20,IF(A20='Données projet'!$A$114,'Données projet'!$B$114,BY19+BX20-CG19)))</f>
        <v>69</v>
      </c>
      <c r="BZ20" s="14">
        <f>BY20*VLOOKUP('Données projet'!$B$12,Paramètres!$A$1:$I$89,3,0)*VLOOKUP('Données projet'!$B$12,Paramètres!$A$1:$I$89,5,0)</f>
        <v>55.972800000000007</v>
      </c>
      <c r="CA20" s="14">
        <f t="shared" si="39"/>
        <v>16.145985978099571</v>
      </c>
      <c r="CB20" s="22">
        <f t="shared" si="10"/>
        <v>125.60688557852342</v>
      </c>
      <c r="CC20" s="62">
        <f t="shared" si="11"/>
        <v>334.97300989439611</v>
      </c>
      <c r="CD20" s="62">
        <f ca="1">AVERAGE(OFFSET($CC$3,0,0,'Données projet'!$E$12+1,1))-AVERAGE(OFFSET($H$3,0,0,'Données projet'!$E$12+1,1))</f>
        <v>272.69564942740931</v>
      </c>
      <c r="CE20" s="62">
        <f t="shared" si="40"/>
        <v>316.57989180609252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</v>
      </c>
      <c r="CT20" s="13">
        <f>IF('Données projet'!$A$140&gt;35,CT19+CS20-DB19,IF(A20&lt;'Données projet'!$A$140,$CQ$205^A20,IF(A20='Données projet'!$A$140,'Données projet'!$B$140,CT19+CS20-DB19)))</f>
        <v>69</v>
      </c>
      <c r="CU20" s="18">
        <f>CT20*VLOOKUP('Données projet'!$B$13,Paramètres!$A$1:$I$89,3,0)*VLOOKUP('Données projet'!$B$13,Paramètres!$A$1:$I$89,5,0)</f>
        <v>45.208800000000004</v>
      </c>
      <c r="CV20" s="14">
        <f t="shared" si="41"/>
        <v>13.369251386406743</v>
      </c>
      <c r="CW20" s="22">
        <f t="shared" si="13"/>
        <v>102.02343949799173</v>
      </c>
      <c r="CX20" s="62">
        <f t="shared" si="14"/>
        <v>311.38956381386447</v>
      </c>
      <c r="CY20" s="62">
        <f ca="1">AVERAGE(OFFSET($CX$3,0,0,'Données projet'!$E$13+1,1))-AVERAGE(OFFSET($H$3,0,0,'Données projet'!$E$13+1,1))</f>
        <v>304.35088214287919</v>
      </c>
      <c r="CZ20" s="62">
        <f t="shared" si="42"/>
        <v>288.72611053217599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9.2948717948717956</v>
      </c>
      <c r="DO20" s="13">
        <f>IF('Données projet'!$A$166&gt;35,DO19+DN20-DW19,IF(A20&lt;'Données projet'!$A$166,$DL$205^A20,IF(A20='Données projet'!$A$166,'Données projet'!$B$166,DO19+DN20-DW19)))</f>
        <v>115.06410256410255</v>
      </c>
      <c r="DP20" s="18">
        <f>DO20*VLOOKUP('Données projet'!$B$14,Paramètres!$A$1:$I$89,3,0)*VLOOKUP('Données projet'!$B$14,Paramètres!$A$1:$I$89,5,0)</f>
        <v>66.414999999999992</v>
      </c>
      <c r="DQ20" s="14">
        <f t="shared" si="43"/>
        <v>18.78047009217098</v>
      </c>
      <c r="DR20" s="22">
        <f t="shared" si="16"/>
        <v>148.38211041053111</v>
      </c>
      <c r="DS20" s="62">
        <f t="shared" si="17"/>
        <v>357.74823472640384</v>
      </c>
      <c r="DT20" s="62">
        <f ca="1">AVERAGE(OFFSET($DS$3,0,0,'Données projet'!$E$14+1,1))-AVERAGE(OFFSET($H$3,0,0,'Données projet'!$E$14+1,1))</f>
        <v>172.86120068224633</v>
      </c>
      <c r="DU20" s="62">
        <f t="shared" si="44"/>
        <v>269.4995727085078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1.2</v>
      </c>
      <c r="EJ20" s="13">
        <f>IF('Données projet'!$A$192&gt;35,EJ19+EI20-ER19,IF(A20&lt;'Données projet'!$A$192,$EG$205^A20,IF(A20='Données projet'!$A$192,'Données projet'!$B$192,EJ19+EI20-ER19)))</f>
        <v>10.102816228956828</v>
      </c>
      <c r="EK20" s="18">
        <f>EJ20*VLOOKUP('Données projet'!$B$15,Paramètres!$A$1:$I$89,3,0)*VLOOKUP('Données projet'!$B$15,Paramètres!$A$1:$I$89,5,0)</f>
        <v>8.5106123912732325</v>
      </c>
      <c r="EL20" s="14">
        <f t="shared" si="45"/>
        <v>3.0567888307731366</v>
      </c>
      <c r="EM20" s="22">
        <f t="shared" si="19"/>
        <v>20.146557128397426</v>
      </c>
      <c r="EN20" s="62">
        <f t="shared" si="20"/>
        <v>229.51268144427016</v>
      </c>
      <c r="EO20" s="62">
        <f ca="1">AVERAGE(OFFSET($EN$3,0,0,'Données projet'!$E$15+1,1))-AVERAGE(OFFSET($H$3,0,0,'Données projet'!$E$15+1,1))</f>
        <v>346.97972840139914</v>
      </c>
      <c r="EP20" s="62">
        <f t="shared" si="46"/>
        <v>158.41433650660613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8.4</v>
      </c>
      <c r="FE20" s="13">
        <f>IF('Données projet'!$A$218&gt;35,FE19+FD20-FM19,IF(A20&lt;'Données projet'!$A$218,$FB$205^A20,IF(A20='Données projet'!$A$218,'Données projet'!$B$218,FE19+FD20-FM19)))</f>
        <v>45.8</v>
      </c>
      <c r="FF20" s="18">
        <f>FE20*VLOOKUP('Données projet'!$B$16,Paramètres!$A$1:$I$89,3,0)*VLOOKUP('Données projet'!$B$16,Paramètres!$A$1:$I$89,5,0)</f>
        <v>30.008159999999997</v>
      </c>
      <c r="FG20" s="14">
        <f t="shared" si="47"/>
        <v>9.3076655464518403</v>
      </c>
      <c r="FH20" s="22">
        <f t="shared" si="22"/>
        <v>68.475062826736931</v>
      </c>
      <c r="FI20" s="62">
        <f t="shared" si="23"/>
        <v>277.84118714260967</v>
      </c>
      <c r="FJ20" s="62">
        <f ca="1">AVERAGE(OFFSET($FI$3,0,0,'Données projet'!$E$16+1,1))-AVERAGE(OFFSET($H$3,0,0,'Données projet'!$E$16+1,1))</f>
        <v>235.88453308732235</v>
      </c>
      <c r="FK20" s="62">
        <f t="shared" si="48"/>
        <v>220.72810812053521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24.346846605609343</v>
      </c>
      <c r="P21" s="14">
        <f t="shared" si="33"/>
        <v>7.7377171800078735</v>
      </c>
      <c r="Q21" s="22">
        <f t="shared" si="2"/>
        <v>55.880615259949991</v>
      </c>
      <c r="R21" s="62">
        <f t="shared" si="0"/>
        <v>267.6499684519531</v>
      </c>
      <c r="S21" s="62">
        <f ca="1">AVERAGE(OFFSET($R$3,0,0,'Données projet'!$E$9+1,1))-AVERAGE(OFFSET($H$3,0,0,'Données projet'!$E$9+1,1))</f>
        <v>442.98179778678298</v>
      </c>
      <c r="T21" s="62">
        <f t="shared" si="34"/>
        <v>251.96153561746942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12</v>
      </c>
      <c r="AI21" s="14">
        <f>IF('Données projet'!$A$62&gt;35,AI20+AH21-AQ20,IF(A21&lt;'Données projet'!$A$62,$AF$205^A21,IF(A21='Données projet'!$A$62,'Données projet'!$B$62,AI20+AH21-AQ20)))</f>
        <v>81</v>
      </c>
      <c r="AJ21" s="14">
        <f>AI21*VLOOKUP('Données projet'!$B$10,Paramètres!$A$1:$I$89,3,0)*VLOOKUP('Données projet'!$B$10,Paramètres!$A$1:$I$89,5,0)</f>
        <v>53.071199999999997</v>
      </c>
      <c r="AK21" s="14">
        <f t="shared" si="35"/>
        <v>15.404137822648016</v>
      </c>
      <c r="AL21" s="22">
        <f t="shared" si="4"/>
        <v>119.26121337444529</v>
      </c>
      <c r="AM21" s="62">
        <f t="shared" si="5"/>
        <v>331.03056656644839</v>
      </c>
      <c r="AN21" s="62">
        <f ca="1">AVERAGE(OFFSET($AM$3,0,0,'Données projet'!$E$10+1,1))-AVERAGE(OFFSET($H$3,0,0,'Données projet'!$E$10+1,1))</f>
        <v>304.35088214287919</v>
      </c>
      <c r="AO21" s="62">
        <f t="shared" si="36"/>
        <v>288.72611053217599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4.7115384615384617</v>
      </c>
      <c r="BD21" s="13">
        <f>IF('Données projet'!$A$88&gt;35,BD20+BC21-BL20,IF(A21&lt;'Données projet'!$A$88,$BA$205^A21,IF(A21='Données projet'!$A$88,'Données projet'!$B$88,BD20+BC21-BL20)))</f>
        <v>59.80995322316133</v>
      </c>
      <c r="BE21" s="14">
        <f>BD21*VLOOKUP('Données projet'!$B$11,Paramètres!$A$1:$I$89,3,0)*VLOOKUP('Données projet'!$B$11,Paramètres!$A$1:$I$89,5,0)</f>
        <v>38.254446081533985</v>
      </c>
      <c r="BF21" s="14">
        <f t="shared" si="37"/>
        <v>11.534793059938831</v>
      </c>
      <c r="BG21" s="22">
        <f t="shared" si="7"/>
        <v>86.716258171398479</v>
      </c>
      <c r="BH21" s="62">
        <f t="shared" si="8"/>
        <v>298.48561136340157</v>
      </c>
      <c r="BI21" s="62">
        <f ca="1">AVERAGE(OFFSET($BH$3,0,0,'Données projet'!$E$11+1,1))-AVERAGE(OFFSET($H$3,0,0,'Données projet'!$E$11+1,1))</f>
        <v>285.09561428624352</v>
      </c>
      <c r="BJ21" s="62">
        <f t="shared" si="38"/>
        <v>261.05678516705564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10</v>
      </c>
      <c r="BY21" s="13">
        <f>IF('Données projet'!$A$114&gt;35,BY20+BX21-CG20,IF(A21&lt;'Données projet'!$A$114,$BV$205^A21,IF(A21='Données projet'!$A$114,'Données projet'!$B$114,BY20+BX21-CG20)))</f>
        <v>79</v>
      </c>
      <c r="BZ21" s="14">
        <f>BY21*VLOOKUP('Données projet'!$B$12,Paramètres!$A$1:$I$89,3,0)*VLOOKUP('Données projet'!$B$12,Paramètres!$A$1:$I$89,5,0)</f>
        <v>64.084800000000001</v>
      </c>
      <c r="CA21" s="14">
        <f t="shared" si="39"/>
        <v>18.197042620605469</v>
      </c>
      <c r="CB21" s="22">
        <f t="shared" si="10"/>
        <v>143.30754256422119</v>
      </c>
      <c r="CC21" s="62">
        <f t="shared" si="11"/>
        <v>355.0768957562243</v>
      </c>
      <c r="CD21" s="62">
        <f ca="1">AVERAGE(OFFSET($CC$3,0,0,'Données projet'!$E$12+1,1))-AVERAGE(OFFSET($H$3,0,0,'Données projet'!$E$12+1,1))</f>
        <v>272.69564942740931</v>
      </c>
      <c r="CE21" s="62">
        <f t="shared" si="40"/>
        <v>316.57989180609252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</v>
      </c>
      <c r="CT21" s="13">
        <f>IF('Données projet'!$A$140&gt;35,CT20+CS21-DB20,IF(A21&lt;'Données projet'!$A$140,$CQ$205^A21,IF(A21='Données projet'!$A$140,'Données projet'!$B$140,CT20+CS21-DB20)))</f>
        <v>81</v>
      </c>
      <c r="CU21" s="18">
        <f>CT21*VLOOKUP('Données projet'!$B$13,Paramètres!$A$1:$I$89,3,0)*VLOOKUP('Données projet'!$B$13,Paramètres!$A$1:$I$89,5,0)</f>
        <v>53.071199999999997</v>
      </c>
      <c r="CV21" s="14">
        <f t="shared" si="41"/>
        <v>15.404137822648016</v>
      </c>
      <c r="CW21" s="22">
        <f t="shared" si="13"/>
        <v>119.26121337444529</v>
      </c>
      <c r="CX21" s="62">
        <f t="shared" si="14"/>
        <v>331.03056656644839</v>
      </c>
      <c r="CY21" s="62">
        <f ca="1">AVERAGE(OFFSET($CX$3,0,0,'Données projet'!$E$13+1,1))-AVERAGE(OFFSET($H$3,0,0,'Données projet'!$E$13+1,1))</f>
        <v>304.35088214287919</v>
      </c>
      <c r="CZ21" s="62">
        <f t="shared" si="42"/>
        <v>288.72611053217599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>
        <f>VLOOKUP(A21,'Données projet'!$A$165:$I$185,2,0)</f>
        <v>124.35897435897435</v>
      </c>
      <c r="DM21" s="13">
        <f>VLOOKUP(A21,'Données projet'!$A$165:$I$185,9,0)</f>
        <v>9.2948717948717956</v>
      </c>
      <c r="DN21" s="13">
        <f t="array" ref="DN21">INDEX(DM:DM,MIN(IF(ISNUMBER(DM21:DM217),ROW(DM21:DM217),"")))</f>
        <v>9.2948717948717956</v>
      </c>
      <c r="DO21" s="13">
        <f>IF('Données projet'!$A$166&gt;35,DO20+DN21-DW20,IF(A21&lt;'Données projet'!$A$166,$DL$205^A21,IF(A21='Données projet'!$A$166,'Données projet'!$B$166,DO20+DN21-DW20)))</f>
        <v>124.35897435897435</v>
      </c>
      <c r="DP21" s="18">
        <f>DO21*VLOOKUP('Données projet'!$B$14,Paramètres!$A$1:$I$89,3,0)*VLOOKUP('Données projet'!$B$14,Paramètres!$A$1:$I$89,5,0)</f>
        <v>71.78</v>
      </c>
      <c r="DQ21" s="14">
        <f t="shared" si="43"/>
        <v>20.114846225837368</v>
      </c>
      <c r="DR21" s="22">
        <f t="shared" si="16"/>
        <v>160.05019051000008</v>
      </c>
      <c r="DS21" s="62">
        <f t="shared" si="17"/>
        <v>371.81954370200322</v>
      </c>
      <c r="DT21" s="62">
        <f ca="1">AVERAGE(OFFSET($DS$3,0,0,'Données projet'!$E$14+1,1))-AVERAGE(OFFSET($H$3,0,0,'Données projet'!$E$14+1,1))</f>
        <v>172.86120068224633</v>
      </c>
      <c r="DU21" s="62">
        <f t="shared" si="44"/>
        <v>269.4995727085078</v>
      </c>
      <c r="DV21" s="16">
        <f>IF(ISNA(VLOOKUP(A21,'Données projet'!$A$165:$I$185,3,0)),0,VLOOKUP(A21,'Données projet'!$A$165:$I$185,3,0))</f>
        <v>3</v>
      </c>
      <c r="DW21" s="16">
        <f>IF(ISNA(VLOOKUP(A21,'Données projet'!$A$165:$I$185,4,0)),0,VLOOKUP(A21,'Données projet'!$A$165:$I$185,4,0))</f>
        <v>16.666666666666668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1.2</v>
      </c>
      <c r="EJ21" s="13">
        <f>IF('Données projet'!$A$192&gt;35,EJ20+EI21-ER20,IF(A21&lt;'Données projet'!$A$192,$EG$205^A21,IF(A21='Données projet'!$A$192,'Données projet'!$B$192,EJ20+EI21-ER20)))</f>
        <v>11.575168010312384</v>
      </c>
      <c r="EK21" s="18">
        <f>EJ21*VLOOKUP('Données projet'!$B$15,Paramètres!$A$1:$I$89,3,0)*VLOOKUP('Données projet'!$B$15,Paramètres!$A$1:$I$89,5,0)</f>
        <v>9.7509215318871529</v>
      </c>
      <c r="EL21" s="14">
        <f t="shared" si="45"/>
        <v>3.4472502473968221</v>
      </c>
      <c r="EM21" s="22">
        <f t="shared" si="19"/>
        <v>22.986815848919587</v>
      </c>
      <c r="EN21" s="62">
        <f t="shared" si="20"/>
        <v>234.75616904092269</v>
      </c>
      <c r="EO21" s="62">
        <f ca="1">AVERAGE(OFFSET($EN$3,0,0,'Données projet'!$E$15+1,1))-AVERAGE(OFFSET($H$3,0,0,'Données projet'!$E$15+1,1))</f>
        <v>346.97972840139914</v>
      </c>
      <c r="EP21" s="62">
        <f t="shared" si="46"/>
        <v>158.41433650660613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8.4</v>
      </c>
      <c r="FE21" s="13">
        <f>IF('Données projet'!$A$218&gt;35,FE20+FD21-FM20,IF(A21&lt;'Données projet'!$A$218,$FB$205^A21,IF(A21='Données projet'!$A$218,'Données projet'!$B$218,FE20+FD21-FM20)))</f>
        <v>54.199999999999996</v>
      </c>
      <c r="FF21" s="18">
        <f>FE21*VLOOKUP('Données projet'!$B$16,Paramètres!$A$1:$I$89,3,0)*VLOOKUP('Données projet'!$B$16,Paramètres!$A$1:$I$89,5,0)</f>
        <v>35.511839999999992</v>
      </c>
      <c r="FG21" s="14">
        <f t="shared" si="47"/>
        <v>10.800946192888619</v>
      </c>
      <c r="FH21" s="22">
        <f t="shared" si="22"/>
        <v>80.661435952614326</v>
      </c>
      <c r="FI21" s="62">
        <f t="shared" si="23"/>
        <v>292.43078914461745</v>
      </c>
      <c r="FJ21" s="62">
        <f ca="1">AVERAGE(OFFSET($FI$3,0,0,'Données projet'!$E$16+1,1))-AVERAGE(OFFSET($H$3,0,0,'Données projet'!$E$16+1,1))</f>
        <v>235.88453308732235</v>
      </c>
      <c r="FK21" s="62">
        <f t="shared" si="48"/>
        <v>220.72810812053521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29.349802561239567</v>
      </c>
      <c r="P22" s="14">
        <f t="shared" si="33"/>
        <v>9.1269990536799668</v>
      </c>
      <c r="Q22" s="22">
        <f t="shared" si="2"/>
        <v>67.013762812651535</v>
      </c>
      <c r="R22" s="62">
        <f t="shared" si="0"/>
        <v>281.16585705567508</v>
      </c>
      <c r="S22" s="62">
        <f ca="1">AVERAGE(OFFSET($R$3,0,0,'Données projet'!$E$9+1,1))-AVERAGE(OFFSET($H$3,0,0,'Données projet'!$E$9+1,1))</f>
        <v>442.98179778678298</v>
      </c>
      <c r="T22" s="62">
        <f t="shared" si="34"/>
        <v>251.96153561746942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12</v>
      </c>
      <c r="AI22" s="14">
        <f>IF('Données projet'!$A$62&gt;35,AI21+AH22-AQ21,IF(A22&lt;'Données projet'!$A$62,$AF$205^A22,IF(A22='Données projet'!$A$62,'Données projet'!$B$62,AI21+AH22-AQ21)))</f>
        <v>93</v>
      </c>
      <c r="AJ22" s="14">
        <f>AI22*VLOOKUP('Données projet'!$B$10,Paramètres!$A$1:$I$89,3,0)*VLOOKUP('Données projet'!$B$10,Paramètres!$A$1:$I$89,5,0)</f>
        <v>60.933599999999991</v>
      </c>
      <c r="AK22" s="14">
        <f t="shared" si="35"/>
        <v>17.404099852856145</v>
      </c>
      <c r="AL22" s="22">
        <f t="shared" si="4"/>
        <v>136.43816057705777</v>
      </c>
      <c r="AM22" s="62">
        <f t="shared" si="5"/>
        <v>350.59025482008133</v>
      </c>
      <c r="AN22" s="62">
        <f ca="1">AVERAGE(OFFSET($AM$3,0,0,'Données projet'!$E$10+1,1))-AVERAGE(OFFSET($H$3,0,0,'Données projet'!$E$10+1,1))</f>
        <v>304.35088214287919</v>
      </c>
      <c r="AO22" s="62">
        <f t="shared" si="36"/>
        <v>288.72611053217599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4.7115384615384617</v>
      </c>
      <c r="BD22" s="13">
        <f>IF('Données projet'!$A$88&gt;35,BD21+BC22-BL21,IF(A22&lt;'Données projet'!$A$88,$BA$205^A22,IF(A22='Données projet'!$A$88,'Données projet'!$B$88,BD21+BC22-BL21)))</f>
        <v>75.072883918728053</v>
      </c>
      <c r="BE22" s="14">
        <f>BD22*VLOOKUP('Données projet'!$B$11,Paramètres!$A$1:$I$89,3,0)*VLOOKUP('Données projet'!$B$11,Paramètres!$A$1:$I$89,5,0)</f>
        <v>48.016616554418462</v>
      </c>
      <c r="BF22" s="14">
        <f t="shared" si="37"/>
        <v>14.100341872657989</v>
      </c>
      <c r="BG22" s="22">
        <f t="shared" si="7"/>
        <v>108.18703592715815</v>
      </c>
      <c r="BH22" s="62">
        <f t="shared" si="8"/>
        <v>322.33913017018165</v>
      </c>
      <c r="BI22" s="62">
        <f ca="1">AVERAGE(OFFSET($BH$3,0,0,'Données projet'!$E$11+1,1))-AVERAGE(OFFSET($H$3,0,0,'Données projet'!$E$11+1,1))</f>
        <v>285.09561428624352</v>
      </c>
      <c r="BJ22" s="62">
        <f t="shared" si="38"/>
        <v>261.05678516705564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10</v>
      </c>
      <c r="BY22" s="13">
        <f>IF('Données projet'!$A$114&gt;35,BY21+BX22-CG21,IF(A22&lt;'Données projet'!$A$114,$BV$205^A22,IF(A22='Données projet'!$A$114,'Données projet'!$B$114,BY21+BX22-CG21)))</f>
        <v>89</v>
      </c>
      <c r="BZ22" s="14">
        <f>BY22*VLOOKUP('Données projet'!$B$12,Paramètres!$A$1:$I$89,3,0)*VLOOKUP('Données projet'!$B$12,Paramètres!$A$1:$I$89,5,0)</f>
        <v>72.19680000000001</v>
      </c>
      <c r="CA22" s="14">
        <f t="shared" si="39"/>
        <v>20.218015459285922</v>
      </c>
      <c r="CB22" s="22">
        <f t="shared" si="10"/>
        <v>160.95580359158967</v>
      </c>
      <c r="CC22" s="62">
        <f t="shared" si="11"/>
        <v>375.1078978346132</v>
      </c>
      <c r="CD22" s="62">
        <f ca="1">AVERAGE(OFFSET($CC$3,0,0,'Données projet'!$E$12+1,1))-AVERAGE(OFFSET($H$3,0,0,'Données projet'!$E$12+1,1))</f>
        <v>272.69564942740931</v>
      </c>
      <c r="CE22" s="62">
        <f t="shared" si="40"/>
        <v>316.57989180609252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</v>
      </c>
      <c r="CT22" s="13">
        <f>IF('Données projet'!$A$140&gt;35,CT21+CS22-DB21,IF(A22&lt;'Données projet'!$A$140,$CQ$205^A22,IF(A22='Données projet'!$A$140,'Données projet'!$B$140,CT21+CS22-DB21)))</f>
        <v>93</v>
      </c>
      <c r="CU22" s="18">
        <f>CT22*VLOOKUP('Données projet'!$B$13,Paramètres!$A$1:$I$89,3,0)*VLOOKUP('Données projet'!$B$13,Paramètres!$A$1:$I$89,5,0)</f>
        <v>60.933599999999991</v>
      </c>
      <c r="CV22" s="14">
        <f t="shared" si="41"/>
        <v>17.404099852856145</v>
      </c>
      <c r="CW22" s="22">
        <f t="shared" si="13"/>
        <v>136.43816057705777</v>
      </c>
      <c r="CX22" s="62">
        <f t="shared" si="14"/>
        <v>350.59025482008133</v>
      </c>
      <c r="CY22" s="62">
        <f ca="1">AVERAGE(OFFSET($CX$3,0,0,'Données projet'!$E$13+1,1))-AVERAGE(OFFSET($H$3,0,0,'Données projet'!$E$13+1,1))</f>
        <v>304.35088214287919</v>
      </c>
      <c r="CZ22" s="62">
        <f t="shared" si="42"/>
        <v>288.72611053217599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8.974358974358978</v>
      </c>
      <c r="DO22" s="13">
        <f>IF('Données projet'!$A$166&gt;35,DO21+DN22-DW21,IF(A22&lt;'Données projet'!$A$166,$DL$205^A22,IF(A22='Données projet'!$A$166,'Données projet'!$B$166,DO21+DN22-DW21)))</f>
        <v>116.66666666666664</v>
      </c>
      <c r="DP22" s="18">
        <f>DO22*VLOOKUP('Données projet'!$B$14,Paramètres!$A$1:$I$89,3,0)*VLOOKUP('Données projet'!$B$14,Paramètres!$A$1:$I$89,5,0)</f>
        <v>67.339999999999989</v>
      </c>
      <c r="DQ22" s="14">
        <f t="shared" si="43"/>
        <v>19.011403816272914</v>
      </c>
      <c r="DR22" s="22">
        <f t="shared" si="16"/>
        <v>150.3953616466753</v>
      </c>
      <c r="DS22" s="62">
        <f t="shared" si="17"/>
        <v>364.54745588969882</v>
      </c>
      <c r="DT22" s="62">
        <f ca="1">AVERAGE(OFFSET($DS$3,0,0,'Données projet'!$E$14+1,1))-AVERAGE(OFFSET($H$3,0,0,'Données projet'!$E$14+1,1))</f>
        <v>172.86120068224633</v>
      </c>
      <c r="DU22" s="62">
        <f t="shared" si="44"/>
        <v>269.4995727085078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1.2</v>
      </c>
      <c r="EJ22" s="13">
        <f>IF('Données projet'!$A$192&gt;35,EJ21+EI22-ER21,IF(A22&lt;'Données projet'!$A$192,$EG$205^A22,IF(A22='Données projet'!$A$192,'Données projet'!$B$192,EJ21+EI22-ER21)))</f>
        <v>13.262095581124292</v>
      </c>
      <c r="EK22" s="18">
        <f>EJ22*VLOOKUP('Données projet'!$B$15,Paramètres!$A$1:$I$89,3,0)*VLOOKUP('Données projet'!$B$15,Paramètres!$A$1:$I$89,5,0)</f>
        <v>11.171989317539104</v>
      </c>
      <c r="EL22" s="14">
        <f t="shared" si="45"/>
        <v>3.8875875718152941</v>
      </c>
      <c r="EM22" s="22">
        <f t="shared" si="19"/>
        <v>26.228763082292243</v>
      </c>
      <c r="EN22" s="62">
        <f t="shared" si="20"/>
        <v>240.38085732531576</v>
      </c>
      <c r="EO22" s="62">
        <f ca="1">AVERAGE(OFFSET($EN$3,0,0,'Données projet'!$E$15+1,1))-AVERAGE(OFFSET($H$3,0,0,'Données projet'!$E$15+1,1))</f>
        <v>346.97972840139914</v>
      </c>
      <c r="EP22" s="62">
        <f t="shared" si="46"/>
        <v>158.41433650660613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8.4</v>
      </c>
      <c r="FE22" s="13">
        <f>IF('Données projet'!$A$218&gt;35,FE21+FD22-FM21,IF(A22&lt;'Données projet'!$A$218,$FB$205^A22,IF(A22='Données projet'!$A$218,'Données projet'!$B$218,FE21+FD22-FM21)))</f>
        <v>62.599999999999994</v>
      </c>
      <c r="FF22" s="18">
        <f>FE22*VLOOKUP('Données projet'!$B$16,Paramètres!$A$1:$I$89,3,0)*VLOOKUP('Données projet'!$B$16,Paramètres!$A$1:$I$89,5,0)</f>
        <v>41.015519999999995</v>
      </c>
      <c r="FG22" s="14">
        <f t="shared" si="47"/>
        <v>12.267416591039986</v>
      </c>
      <c r="FH22" s="22">
        <f t="shared" si="22"/>
        <v>92.80111456272796</v>
      </c>
      <c r="FI22" s="62">
        <f t="shared" si="23"/>
        <v>306.9532088057515</v>
      </c>
      <c r="FJ22" s="62">
        <f ca="1">AVERAGE(OFFSET($FI$3,0,0,'Données projet'!$E$16+1,1))-AVERAGE(OFFSET($H$3,0,0,'Données projet'!$E$16+1,1))</f>
        <v>235.88453308732235</v>
      </c>
      <c r="FK22" s="62">
        <f t="shared" si="48"/>
        <v>220.72810812053521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35.380800000000001</v>
      </c>
      <c r="P23" s="14">
        <f t="shared" si="33"/>
        <v>10.765721954933243</v>
      </c>
      <c r="Q23" s="22">
        <f t="shared" si="2"/>
        <v>80.371859071508723</v>
      </c>
      <c r="R23" s="62">
        <f t="shared" si="0"/>
        <v>296.88656195840446</v>
      </c>
      <c r="S23" s="62">
        <f ca="1">AVERAGE(OFFSET($R$3,0,0,'Données projet'!$E$9+1,1))-AVERAGE(OFFSET($H$3,0,0,'Données projet'!$E$9+1,1))</f>
        <v>442.98179778678298</v>
      </c>
      <c r="T23" s="62">
        <f t="shared" si="34"/>
        <v>251.96153561746942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105</v>
      </c>
      <c r="AG23" s="13">
        <f>VLOOKUP(A23,'Données projet'!$A$61:$I$81,9,0)</f>
        <v>12</v>
      </c>
      <c r="AH23" s="13">
        <f t="array" ref="AH23">INDEX(AG:AG,MIN(IF(ISNUMBER(AG23:AG219),ROW(AG23:AG219),"")))</f>
        <v>12</v>
      </c>
      <c r="AI23" s="14">
        <f>IF('Données projet'!$A$62&gt;35,AI22+AH23-AQ22,IF(A23&lt;'Données projet'!$A$62,$AF$205^A23,IF(A23='Données projet'!$A$62,'Données projet'!$B$62,AI22+AH23-AQ22)))</f>
        <v>105</v>
      </c>
      <c r="AJ23" s="14">
        <f>AI23*VLOOKUP('Données projet'!$B$10,Paramètres!$A$1:$I$89,3,0)*VLOOKUP('Données projet'!$B$10,Paramètres!$A$1:$I$89,5,0)</f>
        <v>68.796000000000006</v>
      </c>
      <c r="AK23" s="14">
        <f t="shared" si="35"/>
        <v>19.374160697102734</v>
      </c>
      <c r="AL23" s="22">
        <f t="shared" si="4"/>
        <v>153.56302988078727</v>
      </c>
      <c r="AM23" s="62">
        <f t="shared" si="5"/>
        <v>370.07773276768296</v>
      </c>
      <c r="AN23" s="62">
        <f ca="1">AVERAGE(OFFSET($AM$3,0,0,'Données projet'!$E$10+1,1))-AVERAGE(OFFSET($H$3,0,0,'Données projet'!$E$10+1,1))</f>
        <v>304.35088214287919</v>
      </c>
      <c r="AO23" s="62">
        <f t="shared" si="36"/>
        <v>288.72611053217599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94.230769230769226</v>
      </c>
      <c r="BB23" s="13">
        <f>VLOOKUP(A23,'Données projet'!$A$87:$I$107,9,0)</f>
        <v>4.7115384615384617</v>
      </c>
      <c r="BC23" s="13">
        <f t="array" ref="BC23">INDEX(BB:BB,MIN(IF(ISNUMBER(BB23:BB219),ROW(BB23:BB219),"")))</f>
        <v>4.7115384615384617</v>
      </c>
      <c r="BD23" s="13">
        <f>IF('Données projet'!$A$88&gt;35,BD22+BC23-BL22,IF(A23&lt;'Données projet'!$A$88,$BA$205^A23,IF(A23='Données projet'!$A$88,'Données projet'!$B$88,BD22+BC23-BL22)))</f>
        <v>94.230769230769226</v>
      </c>
      <c r="BE23" s="14">
        <f>BD23*VLOOKUP('Données projet'!$B$11,Paramètres!$A$1:$I$89,3,0)*VLOOKUP('Données projet'!$B$11,Paramètres!$A$1:$I$89,5,0)</f>
        <v>60.269999999999996</v>
      </c>
      <c r="BF23" s="14">
        <f t="shared" si="37"/>
        <v>17.236515635147981</v>
      </c>
      <c r="BG23" s="22">
        <f t="shared" si="7"/>
        <v>134.99051473121605</v>
      </c>
      <c r="BH23" s="62">
        <f t="shared" si="8"/>
        <v>351.50521761811177</v>
      </c>
      <c r="BI23" s="62">
        <f ca="1">AVERAGE(OFFSET($BH$3,0,0,'Données projet'!$E$11+1,1))-AVERAGE(OFFSET($H$3,0,0,'Données projet'!$E$11+1,1))</f>
        <v>285.09561428624352</v>
      </c>
      <c r="BJ23" s="62">
        <f t="shared" si="38"/>
        <v>261.05678516705564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53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99</v>
      </c>
      <c r="BW23" s="13">
        <f>VLOOKUP(A23,'Données projet'!$A$113:$I$133,9,0)</f>
        <v>10</v>
      </c>
      <c r="BX23" s="13">
        <f t="array" ref="BX23">INDEX(BW:BW,MIN(IF(ISNUMBER(BW23:BW219),ROW(BW23:BW219),"")))</f>
        <v>10</v>
      </c>
      <c r="BY23" s="13">
        <f>IF('Données projet'!$A$114&gt;35,BY22+BX23-CG22,IF(A23&lt;'Données projet'!$A$114,$BV$205^A23,IF(A23='Données projet'!$A$114,'Données projet'!$B$114,BY22+BX23-CG22)))</f>
        <v>99</v>
      </c>
      <c r="BZ23" s="14">
        <f>BY23*VLOOKUP('Données projet'!$B$12,Paramètres!$A$1:$I$89,3,0)*VLOOKUP('Données projet'!$B$12,Paramètres!$A$1:$I$89,5,0)</f>
        <v>80.308800000000005</v>
      </c>
      <c r="CA23" s="14">
        <f t="shared" si="39"/>
        <v>22.212670396389218</v>
      </c>
      <c r="CB23" s="22">
        <f t="shared" si="10"/>
        <v>178.55822760704453</v>
      </c>
      <c r="CC23" s="62">
        <f t="shared" si="11"/>
        <v>395.07293049394025</v>
      </c>
      <c r="CD23" s="62">
        <f ca="1">AVERAGE(OFFSET($CC$3,0,0,'Données projet'!$E$12+1,1))-AVERAGE(OFFSET($H$3,0,0,'Données projet'!$E$12+1,1))</f>
        <v>272.69564942740931</v>
      </c>
      <c r="CE23" s="62">
        <f t="shared" si="40"/>
        <v>316.57989180609252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105</v>
      </c>
      <c r="CR23" s="13">
        <f>VLOOKUP(A23,'Données projet'!$A$139:$I$159,9,0)</f>
        <v>12</v>
      </c>
      <c r="CS23" s="13">
        <f t="array" ref="CS23">INDEX(CR:CR,MIN(IF(ISNUMBER(CR23:CR219),ROW(CR23:CR219),"")))</f>
        <v>12</v>
      </c>
      <c r="CT23" s="13">
        <f>IF('Données projet'!$A$140&gt;35,CT22+CS23-DB22,IF(A23&lt;'Données projet'!$A$140,$CQ$205^A23,IF(A23='Données projet'!$A$140,'Données projet'!$B$140,CT22+CS23-DB22)))</f>
        <v>105</v>
      </c>
      <c r="CU23" s="18">
        <f>CT23*VLOOKUP('Données projet'!$B$13,Paramètres!$A$1:$I$89,3,0)*VLOOKUP('Données projet'!$B$13,Paramètres!$A$1:$I$89,5,0)</f>
        <v>68.796000000000006</v>
      </c>
      <c r="CV23" s="14">
        <f t="shared" si="41"/>
        <v>19.374160697102734</v>
      </c>
      <c r="CW23" s="22">
        <f t="shared" si="13"/>
        <v>153.56302988078727</v>
      </c>
      <c r="CX23" s="62">
        <f t="shared" si="14"/>
        <v>370.07773276768296</v>
      </c>
      <c r="CY23" s="62">
        <f ca="1">AVERAGE(OFFSET($CX$3,0,0,'Données projet'!$E$13+1,1))-AVERAGE(OFFSET($H$3,0,0,'Données projet'!$E$13+1,1))</f>
        <v>304.35088214287919</v>
      </c>
      <c r="CZ23" s="62">
        <f t="shared" si="42"/>
        <v>288.72611053217599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125.64102564102564</v>
      </c>
      <c r="DM23" s="13">
        <f>VLOOKUP(A23,'Données projet'!$A$165:$I$185,9,0)</f>
        <v>8.974358974358978</v>
      </c>
      <c r="DN23" s="13">
        <f t="array" ref="DN23">INDEX(DM:DM,MIN(IF(ISNUMBER(DM23:DM219),ROW(DM23:DM219),"")))</f>
        <v>8.974358974358978</v>
      </c>
      <c r="DO23" s="13">
        <f>IF('Données projet'!$A$166&gt;35,DO22+DN23-DW22,IF(A23&lt;'Données projet'!$A$166,$DL$205^A23,IF(A23='Données projet'!$A$166,'Données projet'!$B$166,DO22+DN23-DW22)))</f>
        <v>125.64102564102562</v>
      </c>
      <c r="DP23" s="18">
        <f>DO23*VLOOKUP('Données projet'!$B$14,Paramètres!$A$1:$I$89,3,0)*VLOOKUP('Données projet'!$B$14,Paramètres!$A$1:$I$89,5,0)</f>
        <v>72.52</v>
      </c>
      <c r="DQ23" s="14">
        <f t="shared" si="43"/>
        <v>20.297968439533456</v>
      </c>
      <c r="DR23" s="22">
        <f t="shared" si="16"/>
        <v>161.65796169885408</v>
      </c>
      <c r="DS23" s="62">
        <f t="shared" si="17"/>
        <v>378.17266458574977</v>
      </c>
      <c r="DT23" s="62">
        <f ca="1">AVERAGE(OFFSET($DS$3,0,0,'Données projet'!$E$14+1,1))-AVERAGE(OFFSET($H$3,0,0,'Données projet'!$E$14+1,1))</f>
        <v>172.86120068224633</v>
      </c>
      <c r="DU23" s="62">
        <f t="shared" si="44"/>
        <v>269.4995727085078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1.2</v>
      </c>
      <c r="EJ23" s="13">
        <f>IF('Données projet'!$A$192&gt;35,EJ22+EI23-ER22,IF(A23&lt;'Données projet'!$A$192,$EG$205^A23,IF(A23='Données projet'!$A$192,'Données projet'!$B$192,EJ22+EI23-ER22)))</f>
        <v>15.194870523363559</v>
      </c>
      <c r="EK23" s="18">
        <f>EJ23*VLOOKUP('Données projet'!$B$15,Paramètres!$A$1:$I$89,3,0)*VLOOKUP('Données projet'!$B$15,Paramètres!$A$1:$I$89,5,0)</f>
        <v>12.800158928881464</v>
      </c>
      <c r="EL23" s="14">
        <f t="shared" si="45"/>
        <v>4.3841717438255339</v>
      </c>
      <c r="EM23" s="22">
        <f t="shared" si="19"/>
        <v>29.929375921631351</v>
      </c>
      <c r="EN23" s="62">
        <f t="shared" si="20"/>
        <v>246.44407880852708</v>
      </c>
      <c r="EO23" s="62">
        <f ca="1">AVERAGE(OFFSET($EN$3,0,0,'Données projet'!$E$15+1,1))-AVERAGE(OFFSET($H$3,0,0,'Données projet'!$E$15+1,1))</f>
        <v>346.97972840139914</v>
      </c>
      <c r="EP23" s="62">
        <f t="shared" si="46"/>
        <v>158.41433650660613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71</v>
      </c>
      <c r="FC23" s="13">
        <f>VLOOKUP(A23,'Données projet'!$A$217:$I$237,9,0)</f>
        <v>8.4</v>
      </c>
      <c r="FD23" s="13">
        <f t="array" ref="FD23">INDEX(FC:FC,MIN(IF(ISNUMBER(FC23:FC219),ROW(FC23:FC219),"")))</f>
        <v>8.4</v>
      </c>
      <c r="FE23" s="13">
        <f>IF('Données projet'!$A$218&gt;35,FE22+FD23-FM22,IF(A23&lt;'Données projet'!$A$218,$FB$205^A23,IF(A23='Données projet'!$A$218,'Données projet'!$B$218,FE22+FD23-FM22)))</f>
        <v>71</v>
      </c>
      <c r="FF23" s="18">
        <f>FE23*VLOOKUP('Données projet'!$B$16,Paramètres!$A$1:$I$89,3,0)*VLOOKUP('Données projet'!$B$16,Paramètres!$A$1:$I$89,5,0)</f>
        <v>46.519200000000005</v>
      </c>
      <c r="FG23" s="14">
        <f t="shared" si="47"/>
        <v>13.711087737270105</v>
      </c>
      <c r="FH23" s="22">
        <f t="shared" si="22"/>
        <v>104.90108447574544</v>
      </c>
      <c r="FI23" s="62">
        <f t="shared" si="23"/>
        <v>321.41578736264114</v>
      </c>
      <c r="FJ23" s="62">
        <f ca="1">AVERAGE(OFFSET($FI$3,0,0,'Données projet'!$E$16+1,1))-AVERAGE(OFFSET($H$3,0,0,'Données projet'!$E$16+1,1))</f>
        <v>235.88453308732235</v>
      </c>
      <c r="FK23" s="62">
        <f t="shared" si="48"/>
        <v>220.72810812053521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40.098240000000011</v>
      </c>
      <c r="P24" s="14">
        <f t="shared" si="33"/>
        <v>12.024681710991171</v>
      </c>
      <c r="Q24" s="22">
        <f t="shared" si="2"/>
        <v>90.780755313309626</v>
      </c>
      <c r="R24" s="62">
        <f t="shared" si="0"/>
        <v>309.63828368918399</v>
      </c>
      <c r="S24" s="62">
        <f ca="1">AVERAGE(OFFSET($R$3,0,0,'Données projet'!$E$9+1,1))-AVERAGE(OFFSET($H$3,0,0,'Données projet'!$E$9+1,1))</f>
        <v>442.98179778678298</v>
      </c>
      <c r="T24" s="62">
        <f t="shared" si="34"/>
        <v>251.96153561746942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9.6</v>
      </c>
      <c r="AI24" s="14">
        <f>IF('Données projet'!$A$62&gt;35,AI23+AH24-AQ23,IF(A24&lt;'Données projet'!$A$62,$AF$205^A24,IF(A24='Données projet'!$A$62,'Données projet'!$B$62,AI23+AH24-AQ23)))</f>
        <v>114.6</v>
      </c>
      <c r="AJ24" s="14">
        <f>AI24*VLOOKUP('Données projet'!$B$10,Paramètres!$A$1:$I$89,3,0)*VLOOKUP('Données projet'!$B$10,Paramètres!$A$1:$I$89,5,0)</f>
        <v>75.085920000000002</v>
      </c>
      <c r="AK24" s="14">
        <f t="shared" si="35"/>
        <v>20.931269096524034</v>
      </c>
      <c r="AL24" s="22">
        <f t="shared" si="4"/>
        <v>167.22993767644601</v>
      </c>
      <c r="AM24" s="62">
        <f t="shared" si="5"/>
        <v>386.08746605232039</v>
      </c>
      <c r="AN24" s="62">
        <f ca="1">AVERAGE(OFFSET($AM$3,0,0,'Données projet'!$E$10+1,1))-AVERAGE(OFFSET($H$3,0,0,'Données projet'!$E$10+1,1))</f>
        <v>304.35088214287919</v>
      </c>
      <c r="AO24" s="62">
        <f t="shared" si="36"/>
        <v>288.72611053217599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10.364102564102563</v>
      </c>
      <c r="BD24" s="13">
        <f>IF('Données projet'!$A$88&gt;35,BD23+BC24-BL23,IF(A24&lt;'Données projet'!$A$88,$BA$205^A24,IF(A24='Données projet'!$A$88,'Données projet'!$B$88,BD23+BC24-BL23)))</f>
        <v>51.594871794871793</v>
      </c>
      <c r="BE24" s="14">
        <f>BD24*VLOOKUP('Données projet'!$B$11,Paramètres!$A$1:$I$89,3,0)*VLOOKUP('Données projet'!$B$11,Paramètres!$A$1:$I$89,5,0)</f>
        <v>33.000079999999997</v>
      </c>
      <c r="BF24" s="14">
        <f t="shared" si="37"/>
        <v>10.123062365496519</v>
      </c>
      <c r="BG24" s="22">
        <f t="shared" si="7"/>
        <v>75.106139619906443</v>
      </c>
      <c r="BH24" s="62">
        <f t="shared" si="8"/>
        <v>293.96366799578084</v>
      </c>
      <c r="BI24" s="62">
        <f ca="1">AVERAGE(OFFSET($BH$3,0,0,'Données projet'!$E$11+1,1))-AVERAGE(OFFSET($H$3,0,0,'Données projet'!$E$11+1,1))</f>
        <v>285.09561428624352</v>
      </c>
      <c r="BJ24" s="62">
        <f t="shared" si="38"/>
        <v>261.05678516705564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8.6</v>
      </c>
      <c r="BY24" s="13">
        <f>IF('Données projet'!$A$114&gt;35,BY23+BX24-CG23,IF(A24&lt;'Données projet'!$A$114,$BV$205^A24,IF(A24='Données projet'!$A$114,'Données projet'!$B$114,BY23+BX24-CG23)))</f>
        <v>67.599999999999994</v>
      </c>
      <c r="BZ24" s="14">
        <f>BY24*VLOOKUP('Données projet'!$B$12,Paramètres!$A$1:$I$89,3,0)*VLOOKUP('Données projet'!$B$12,Paramètres!$A$1:$I$89,5,0)</f>
        <v>54.837120000000006</v>
      </c>
      <c r="CA24" s="14">
        <f t="shared" si="39"/>
        <v>15.856174437579886</v>
      </c>
      <c r="CB24" s="22">
        <f t="shared" si="10"/>
        <v>123.12415447878497</v>
      </c>
      <c r="CC24" s="62">
        <f t="shared" si="11"/>
        <v>341.98168285465937</v>
      </c>
      <c r="CD24" s="62">
        <f ca="1">AVERAGE(OFFSET($CC$3,0,0,'Données projet'!$E$12+1,1))-AVERAGE(OFFSET($H$3,0,0,'Données projet'!$E$12+1,1))</f>
        <v>272.69564942740931</v>
      </c>
      <c r="CE24" s="62">
        <f t="shared" si="40"/>
        <v>316.57989180609252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9.6</v>
      </c>
      <c r="CT24" s="13">
        <f>IF('Données projet'!$A$140&gt;35,CT23+CS24-DB23,IF(A24&lt;'Données projet'!$A$140,$CQ$205^A24,IF(A24='Données projet'!$A$140,'Données projet'!$B$140,CT23+CS24-DB23)))</f>
        <v>114.6</v>
      </c>
      <c r="CU24" s="18">
        <f>CT24*VLOOKUP('Données projet'!$B$13,Paramètres!$A$1:$I$89,3,0)*VLOOKUP('Données projet'!$B$13,Paramètres!$A$1:$I$89,5,0)</f>
        <v>75.085920000000002</v>
      </c>
      <c r="CV24" s="14">
        <f t="shared" si="41"/>
        <v>20.931269096524034</v>
      </c>
      <c r="CW24" s="22">
        <f t="shared" si="13"/>
        <v>167.22993767644601</v>
      </c>
      <c r="CX24" s="62">
        <f t="shared" si="14"/>
        <v>386.08746605232039</v>
      </c>
      <c r="CY24" s="62">
        <f ca="1">AVERAGE(OFFSET($CX$3,0,0,'Données projet'!$E$13+1,1))-AVERAGE(OFFSET($H$3,0,0,'Données projet'!$E$13+1,1))</f>
        <v>304.35088214287919</v>
      </c>
      <c r="CZ24" s="62">
        <f t="shared" si="42"/>
        <v>288.72611053217599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8.3333333333333286</v>
      </c>
      <c r="DO24" s="13">
        <f>IF('Données projet'!$A$166&gt;35,DO23+DN24-DW23,IF(A24&lt;'Données projet'!$A$166,$DL$205^A24,IF(A24='Données projet'!$A$166,'Données projet'!$B$166,DO23+DN24-DW23)))</f>
        <v>133.97435897435895</v>
      </c>
      <c r="DP24" s="18">
        <f>DO24*VLOOKUP('Données projet'!$B$14,Paramètres!$A$1:$I$89,3,0)*VLOOKUP('Données projet'!$B$14,Paramètres!$A$1:$I$89,5,0)</f>
        <v>77.329999999999984</v>
      </c>
      <c r="DQ24" s="14">
        <f t="shared" si="43"/>
        <v>21.483071143576222</v>
      </c>
      <c r="DR24" s="22">
        <f t="shared" si="16"/>
        <v>172.09943224172855</v>
      </c>
      <c r="DS24" s="62">
        <f t="shared" si="17"/>
        <v>390.95696061760293</v>
      </c>
      <c r="DT24" s="62">
        <f ca="1">AVERAGE(OFFSET($DS$3,0,0,'Données projet'!$E$14+1,1))-AVERAGE(OFFSET($H$3,0,0,'Données projet'!$E$14+1,1))</f>
        <v>172.86120068224633</v>
      </c>
      <c r="DU24" s="62">
        <f t="shared" si="44"/>
        <v>269.4995727085078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1.2</v>
      </c>
      <c r="EJ24" s="13">
        <f>IF('Données projet'!$A$192&gt;35,EJ23+EI24-ER23,IF(A24&lt;'Données projet'!$A$192,$EG$205^A24,IF(A24='Données projet'!$A$192,'Données projet'!$B$192,EJ23+EI24-ER23)))</f>
        <v>17.409321838276906</v>
      </c>
      <c r="EK24" s="18">
        <f>EJ24*VLOOKUP('Données projet'!$B$15,Paramètres!$A$1:$I$89,3,0)*VLOOKUP('Données projet'!$B$15,Paramètres!$A$1:$I$89,5,0)</f>
        <v>14.665612716564468</v>
      </c>
      <c r="EL24" s="14">
        <f t="shared" si="45"/>
        <v>4.9441875004202354</v>
      </c>
      <c r="EM24" s="22">
        <f t="shared" si="19"/>
        <v>34.153735377915019</v>
      </c>
      <c r="EN24" s="62">
        <f t="shared" si="20"/>
        <v>253.01126375378939</v>
      </c>
      <c r="EO24" s="62">
        <f ca="1">AVERAGE(OFFSET($EN$3,0,0,'Données projet'!$E$15+1,1))-AVERAGE(OFFSET($H$3,0,0,'Données projet'!$E$15+1,1))</f>
        <v>346.97972840139914</v>
      </c>
      <c r="EP24" s="62">
        <f t="shared" si="46"/>
        <v>158.41433650660613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6.6</v>
      </c>
      <c r="FE24" s="13">
        <f>IF('Données projet'!$A$218&gt;35,FE23+FD24-FM23,IF(A24&lt;'Données projet'!$A$218,$FB$205^A24,IF(A24='Données projet'!$A$218,'Données projet'!$B$218,FE23+FD24-FM23)))</f>
        <v>77.599999999999994</v>
      </c>
      <c r="FF24" s="18">
        <f>FE24*VLOOKUP('Données projet'!$B$16,Paramètres!$A$1:$I$89,3,0)*VLOOKUP('Données projet'!$B$16,Paramètres!$A$1:$I$89,5,0)</f>
        <v>50.843519999999998</v>
      </c>
      <c r="FG24" s="14">
        <f t="shared" si="47"/>
        <v>14.831389822344645</v>
      </c>
      <c r="FH24" s="22">
        <f t="shared" si="22"/>
        <v>114.38380127391692</v>
      </c>
      <c r="FI24" s="62">
        <f t="shared" si="23"/>
        <v>333.24132964979128</v>
      </c>
      <c r="FJ24" s="62">
        <f ca="1">AVERAGE(OFFSET($FI$3,0,0,'Données projet'!$E$16+1,1))-AVERAGE(OFFSET($H$3,0,0,'Données projet'!$E$16+1,1))</f>
        <v>235.88453308732235</v>
      </c>
      <c r="FK24" s="62">
        <f t="shared" si="48"/>
        <v>220.72810812053521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44.815680000000008</v>
      </c>
      <c r="P25" s="14">
        <f t="shared" si="33"/>
        <v>13.266476878569183</v>
      </c>
      <c r="Q25" s="22">
        <f t="shared" si="2"/>
        <v>101.159756563508</v>
      </c>
      <c r="R25" s="62">
        <f t="shared" si="0"/>
        <v>322.34067046697641</v>
      </c>
      <c r="S25" s="62">
        <f ca="1">AVERAGE(OFFSET($R$3,0,0,'Données projet'!$E$9+1,1))-AVERAGE(OFFSET($H$3,0,0,'Données projet'!$E$9+1,1))</f>
        <v>442.98179778678298</v>
      </c>
      <c r="T25" s="62">
        <f t="shared" si="34"/>
        <v>251.96153561746942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9.6</v>
      </c>
      <c r="AI25" s="14">
        <f>IF('Données projet'!$A$62&gt;35,AI24+AH25-AQ24,IF(A25&lt;'Données projet'!$A$62,$AF$205^A25,IF(A25='Données projet'!$A$62,'Données projet'!$B$62,AI24+AH25-AQ24)))</f>
        <v>124.19999999999999</v>
      </c>
      <c r="AJ25" s="14">
        <f>AI25*VLOOKUP('Données projet'!$B$10,Paramètres!$A$1:$I$89,3,0)*VLOOKUP('Données projet'!$B$10,Paramètres!$A$1:$I$89,5,0)</f>
        <v>81.375839999999997</v>
      </c>
      <c r="AK25" s="14">
        <f t="shared" si="35"/>
        <v>22.473249586041113</v>
      </c>
      <c r="AL25" s="22">
        <f t="shared" si="4"/>
        <v>180.87049769568827</v>
      </c>
      <c r="AM25" s="62">
        <f t="shared" si="5"/>
        <v>402.05141159915667</v>
      </c>
      <c r="AN25" s="62">
        <f ca="1">AVERAGE(OFFSET($AM$3,0,0,'Données projet'!$E$10+1,1))-AVERAGE(OFFSET($H$3,0,0,'Données projet'!$E$10+1,1))</f>
        <v>304.35088214287919</v>
      </c>
      <c r="AO25" s="62">
        <f t="shared" si="36"/>
        <v>288.72611053217599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10.364102564102563</v>
      </c>
      <c r="BD25" s="13">
        <f>IF('Données projet'!$A$88&gt;35,BD24+BC25-BL24,IF(A25&lt;'Données projet'!$A$88,$BA$205^A25,IF(A25='Données projet'!$A$88,'Données projet'!$B$88,BD24+BC25-BL24)))</f>
        <v>61.958974358974359</v>
      </c>
      <c r="BE25" s="14">
        <f>BD25*VLOOKUP('Données projet'!$B$11,Paramètres!$A$1:$I$89,3,0)*VLOOKUP('Données projet'!$B$11,Paramètres!$A$1:$I$89,5,0)</f>
        <v>39.628959999999999</v>
      </c>
      <c r="BF25" s="14">
        <f t="shared" si="37"/>
        <v>11.900249437233896</v>
      </c>
      <c r="BG25" s="22">
        <f t="shared" si="7"/>
        <v>89.746706436515694</v>
      </c>
      <c r="BH25" s="62">
        <f t="shared" si="8"/>
        <v>310.92762033998406</v>
      </c>
      <c r="BI25" s="62">
        <f ca="1">AVERAGE(OFFSET($BH$3,0,0,'Données projet'!$E$11+1,1))-AVERAGE(OFFSET($H$3,0,0,'Données projet'!$E$11+1,1))</f>
        <v>285.09561428624352</v>
      </c>
      <c r="BJ25" s="62">
        <f t="shared" si="38"/>
        <v>261.05678516705564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8.6</v>
      </c>
      <c r="BY25" s="13">
        <f>IF('Données projet'!$A$114&gt;35,BY24+BX25-CG24,IF(A25&lt;'Données projet'!$A$114,$BV$205^A25,IF(A25='Données projet'!$A$114,'Données projet'!$B$114,BY24+BX25-CG24)))</f>
        <v>76.199999999999989</v>
      </c>
      <c r="BZ25" s="14">
        <f>BY25*VLOOKUP('Données projet'!$B$12,Paramètres!$A$1:$I$89,3,0)*VLOOKUP('Données projet'!$B$12,Paramètres!$A$1:$I$89,5,0)</f>
        <v>61.813439999999993</v>
      </c>
      <c r="CA25" s="14">
        <f t="shared" si="39"/>
        <v>17.625965961121132</v>
      </c>
      <c r="CB25" s="22">
        <f t="shared" si="10"/>
        <v>138.35696538228595</v>
      </c>
      <c r="CC25" s="62">
        <f t="shared" si="11"/>
        <v>359.53787928575434</v>
      </c>
      <c r="CD25" s="62">
        <f ca="1">AVERAGE(OFFSET($CC$3,0,0,'Données projet'!$E$12+1,1))-AVERAGE(OFFSET($H$3,0,0,'Données projet'!$E$12+1,1))</f>
        <v>272.69564942740931</v>
      </c>
      <c r="CE25" s="62">
        <f t="shared" si="40"/>
        <v>316.57989180609252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9.6</v>
      </c>
      <c r="CT25" s="13">
        <f>IF('Données projet'!$A$140&gt;35,CT24+CS25-DB24,IF(A25&lt;'Données projet'!$A$140,$CQ$205^A25,IF(A25='Données projet'!$A$140,'Données projet'!$B$140,CT24+CS25-DB24)))</f>
        <v>124.19999999999999</v>
      </c>
      <c r="CU25" s="18">
        <f>CT25*VLOOKUP('Données projet'!$B$13,Paramètres!$A$1:$I$89,3,0)*VLOOKUP('Données projet'!$B$13,Paramètres!$A$1:$I$89,5,0)</f>
        <v>81.375839999999997</v>
      </c>
      <c r="CV25" s="14">
        <f t="shared" si="41"/>
        <v>22.473249586041113</v>
      </c>
      <c r="CW25" s="22">
        <f t="shared" si="13"/>
        <v>180.87049769568827</v>
      </c>
      <c r="CX25" s="62">
        <f t="shared" si="14"/>
        <v>402.05141159915667</v>
      </c>
      <c r="CY25" s="62">
        <f ca="1">AVERAGE(OFFSET($CX$3,0,0,'Données projet'!$E$13+1,1))-AVERAGE(OFFSET($H$3,0,0,'Données projet'!$E$13+1,1))</f>
        <v>304.35088214287919</v>
      </c>
      <c r="CZ25" s="62">
        <f t="shared" si="42"/>
        <v>288.72611053217599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>
        <f>VLOOKUP(A25,'Données projet'!$A$165:$I$185,2,0)</f>
        <v>142.30769230769229</v>
      </c>
      <c r="DM25" s="13">
        <f>VLOOKUP(A25,'Données projet'!$A$165:$I$185,9,0)</f>
        <v>8.3333333333333286</v>
      </c>
      <c r="DN25" s="13">
        <f t="array" ref="DN25">INDEX(DM:DM,MIN(IF(ISNUMBER(DM25:DM221),ROW(DM25:DM221),"")))</f>
        <v>8.3333333333333286</v>
      </c>
      <c r="DO25" s="13">
        <f>IF('Données projet'!$A$166&gt;35,DO24+DN25-DW24,IF(A25&lt;'Données projet'!$A$166,$DL$205^A25,IF(A25='Données projet'!$A$166,'Données projet'!$B$166,DO24+DN25-DW24)))</f>
        <v>142.30769230769226</v>
      </c>
      <c r="DP25" s="18">
        <f>DO25*VLOOKUP('Données projet'!$B$14,Paramètres!$A$1:$I$89,3,0)*VLOOKUP('Données projet'!$B$14,Paramètres!$A$1:$I$89,5,0)</f>
        <v>82.139999999999986</v>
      </c>
      <c r="DQ25" s="14">
        <f t="shared" si="43"/>
        <v>22.659618642112921</v>
      </c>
      <c r="DR25" s="22">
        <f t="shared" si="16"/>
        <v>182.52600246834663</v>
      </c>
      <c r="DS25" s="62">
        <f t="shared" si="17"/>
        <v>403.70691637181505</v>
      </c>
      <c r="DT25" s="62">
        <f ca="1">AVERAGE(OFFSET($DS$3,0,0,'Données projet'!$E$14+1,1))-AVERAGE(OFFSET($H$3,0,0,'Données projet'!$E$14+1,1))</f>
        <v>172.86120068224633</v>
      </c>
      <c r="DU25" s="62">
        <f t="shared" si="44"/>
        <v>269.4995727085078</v>
      </c>
      <c r="DV25" s="16">
        <f>IF(ISNA(VLOOKUP(A25,'Données projet'!$A$165:$I$185,3,0)),0,VLOOKUP(A25,'Données projet'!$A$165:$I$185,3,0))</f>
        <v>4</v>
      </c>
      <c r="DW25" s="16">
        <f>IF(ISNA(VLOOKUP(A25,'Données projet'!$A$165:$I$185,4,0)),0,VLOOKUP(A25,'Données projet'!$A$165:$I$185,4,0))</f>
        <v>16.666666666666668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1.2</v>
      </c>
      <c r="EJ25" s="13">
        <f>IF('Données projet'!$A$192&gt;35,EJ24+EI25-ER24,IF(A25&lt;'Données projet'!$A$192,$EG$205^A25,IF(A25='Données projet'!$A$192,'Données projet'!$B$192,EJ24+EI25-ER24)))</f>
        <v>19.946500129940819</v>
      </c>
      <c r="EK25" s="18">
        <f>EJ25*VLOOKUP('Données projet'!$B$15,Paramètres!$A$1:$I$89,3,0)*VLOOKUP('Données projet'!$B$15,Paramètres!$A$1:$I$89,5,0)</f>
        <v>16.80293170946215</v>
      </c>
      <c r="EL25" s="14">
        <f t="shared" si="45"/>
        <v>5.5757373268369097</v>
      </c>
      <c r="EM25" s="22">
        <f t="shared" si="19"/>
        <v>38.976181904887525</v>
      </c>
      <c r="EN25" s="62">
        <f t="shared" si="20"/>
        <v>260.1570958083559</v>
      </c>
      <c r="EO25" s="62">
        <f ca="1">AVERAGE(OFFSET($EN$3,0,0,'Données projet'!$E$15+1,1))-AVERAGE(OFFSET($H$3,0,0,'Données projet'!$E$15+1,1))</f>
        <v>346.97972840139914</v>
      </c>
      <c r="EP25" s="62">
        <f t="shared" si="46"/>
        <v>158.41433650660613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6.6</v>
      </c>
      <c r="FE25" s="13">
        <f>IF('Données projet'!$A$218&gt;35,FE24+FD25-FM24,IF(A25&lt;'Données projet'!$A$218,$FB$205^A25,IF(A25='Données projet'!$A$218,'Données projet'!$B$218,FE24+FD25-FM24)))</f>
        <v>84.199999999999989</v>
      </c>
      <c r="FF25" s="18">
        <f>FE25*VLOOKUP('Données projet'!$B$16,Paramètres!$A$1:$I$89,3,0)*VLOOKUP('Données projet'!$B$16,Paramètres!$A$1:$I$89,5,0)</f>
        <v>55.167839999999998</v>
      </c>
      <c r="FG25" s="14">
        <f t="shared" si="47"/>
        <v>15.940641583495875</v>
      </c>
      <c r="FH25" s="22">
        <f t="shared" si="22"/>
        <v>123.84727209125531</v>
      </c>
      <c r="FI25" s="62">
        <f t="shared" si="23"/>
        <v>345.02818599472369</v>
      </c>
      <c r="FJ25" s="62">
        <f ca="1">AVERAGE(OFFSET($FI$3,0,0,'Données projet'!$E$16+1,1))-AVERAGE(OFFSET($H$3,0,0,'Données projet'!$E$16+1,1))</f>
        <v>235.88453308732235</v>
      </c>
      <c r="FK25" s="62">
        <f t="shared" si="48"/>
        <v>220.72810812053521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49.533120000000011</v>
      </c>
      <c r="P26" s="14">
        <f t="shared" si="33"/>
        <v>14.493120113047395</v>
      </c>
      <c r="Q26" s="22">
        <f t="shared" si="2"/>
        <v>111.5123681968909</v>
      </c>
      <c r="R26" s="62">
        <f t="shared" si="0"/>
        <v>334.99756490643739</v>
      </c>
      <c r="S26" s="62">
        <f ca="1">AVERAGE(OFFSET($R$3,0,0,'Données projet'!$E$9+1,1))-AVERAGE(OFFSET($H$3,0,0,'Données projet'!$E$9+1,1))</f>
        <v>442.98179778678298</v>
      </c>
      <c r="T26" s="62">
        <f t="shared" si="34"/>
        <v>251.96153561746942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9.6</v>
      </c>
      <c r="AI26" s="14">
        <f>IF('Données projet'!$A$62&gt;35,AI25+AH26-AQ25,IF(A26&lt;'Données projet'!$A$62,$AF$205^A26,IF(A26='Données projet'!$A$62,'Données projet'!$B$62,AI25+AH26-AQ25)))</f>
        <v>133.79999999999998</v>
      </c>
      <c r="AJ26" s="14">
        <f>AI26*VLOOKUP('Données projet'!$B$10,Paramètres!$A$1:$I$89,3,0)*VLOOKUP('Données projet'!$B$10,Paramètres!$A$1:$I$89,5,0)</f>
        <v>87.665759999999992</v>
      </c>
      <c r="AK26" s="14">
        <f t="shared" si="35"/>
        <v>24.001404420225327</v>
      </c>
      <c r="AL26" s="22">
        <f t="shared" si="4"/>
        <v>194.48697803189245</v>
      </c>
      <c r="AM26" s="62">
        <f t="shared" si="5"/>
        <v>417.97217474143895</v>
      </c>
      <c r="AN26" s="62">
        <f ca="1">AVERAGE(OFFSET($AM$3,0,0,'Données projet'!$E$10+1,1))-AVERAGE(OFFSET($H$3,0,0,'Données projet'!$E$10+1,1))</f>
        <v>304.35088214287919</v>
      </c>
      <c r="AO26" s="62">
        <f t="shared" si="36"/>
        <v>288.72611053217599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10.364102564102563</v>
      </c>
      <c r="BD26" s="13">
        <f>IF('Données projet'!$A$88&gt;35,BD25+BC26-BL25,IF(A26&lt;'Données projet'!$A$88,$BA$205^A26,IF(A26='Données projet'!$A$88,'Données projet'!$B$88,BD25+BC26-BL25)))</f>
        <v>72.323076923076925</v>
      </c>
      <c r="BE26" s="14">
        <f>BD26*VLOOKUP('Données projet'!$B$11,Paramètres!$A$1:$I$89,3,0)*VLOOKUP('Données projet'!$B$11,Paramètres!$A$1:$I$89,5,0)</f>
        <v>46.257840000000002</v>
      </c>
      <c r="BF26" s="14">
        <f t="shared" si="37"/>
        <v>13.642998764215235</v>
      </c>
      <c r="BG26" s="22">
        <f t="shared" si="7"/>
        <v>104.3272941810082</v>
      </c>
      <c r="BH26" s="62">
        <f t="shared" si="8"/>
        <v>327.81249089055473</v>
      </c>
      <c r="BI26" s="62">
        <f ca="1">AVERAGE(OFFSET($BH$3,0,0,'Données projet'!$E$11+1,1))-AVERAGE(OFFSET($H$3,0,0,'Données projet'!$E$11+1,1))</f>
        <v>285.09561428624352</v>
      </c>
      <c r="BJ26" s="62">
        <f t="shared" si="38"/>
        <v>261.05678516705564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8.6</v>
      </c>
      <c r="BY26" s="13">
        <f>IF('Données projet'!$A$114&gt;35,BY25+BX26-CG25,IF(A26&lt;'Données projet'!$A$114,$BV$205^A26,IF(A26='Données projet'!$A$114,'Données projet'!$B$114,BY25+BX26-CG25)))</f>
        <v>84.799999999999983</v>
      </c>
      <c r="BZ26" s="14">
        <f>BY26*VLOOKUP('Données projet'!$B$12,Paramètres!$A$1:$I$89,3,0)*VLOOKUP('Données projet'!$B$12,Paramètres!$A$1:$I$89,5,0)</f>
        <v>68.789759999999987</v>
      </c>
      <c r="CA26" s="14">
        <f t="shared" si="39"/>
        <v>19.372607944380292</v>
      </c>
      <c r="CB26" s="22">
        <f t="shared" si="10"/>
        <v>153.54945750312899</v>
      </c>
      <c r="CC26" s="62">
        <f t="shared" si="11"/>
        <v>377.03465421267549</v>
      </c>
      <c r="CD26" s="62">
        <f ca="1">AVERAGE(OFFSET($CC$3,0,0,'Données projet'!$E$12+1,1))-AVERAGE(OFFSET($H$3,0,0,'Données projet'!$E$12+1,1))</f>
        <v>272.69564942740931</v>
      </c>
      <c r="CE26" s="62">
        <f t="shared" si="40"/>
        <v>316.57989180609252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9.6</v>
      </c>
      <c r="CT26" s="13">
        <f>IF('Données projet'!$A$140&gt;35,CT25+CS26-DB25,IF(A26&lt;'Données projet'!$A$140,$CQ$205^A26,IF(A26='Données projet'!$A$140,'Données projet'!$B$140,CT25+CS26-DB25)))</f>
        <v>133.79999999999998</v>
      </c>
      <c r="CU26" s="18">
        <f>CT26*VLOOKUP('Données projet'!$B$13,Paramètres!$A$1:$I$89,3,0)*VLOOKUP('Données projet'!$B$13,Paramètres!$A$1:$I$89,5,0)</f>
        <v>87.665759999999992</v>
      </c>
      <c r="CV26" s="14">
        <f t="shared" si="41"/>
        <v>24.001404420225327</v>
      </c>
      <c r="CW26" s="22">
        <f t="shared" si="13"/>
        <v>194.48697803189245</v>
      </c>
      <c r="CX26" s="62">
        <f t="shared" si="14"/>
        <v>417.97217474143895</v>
      </c>
      <c r="CY26" s="62">
        <f ca="1">AVERAGE(OFFSET($CX$3,0,0,'Données projet'!$E$13+1,1))-AVERAGE(OFFSET($H$3,0,0,'Données projet'!$E$13+1,1))</f>
        <v>304.35088214287919</v>
      </c>
      <c r="CZ26" s="62">
        <f t="shared" si="42"/>
        <v>288.72611053217599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7.6923076923077005</v>
      </c>
      <c r="DO26" s="13">
        <f>IF('Données projet'!$A$166&gt;35,DO25+DN26-DW25,IF(A26&lt;'Données projet'!$A$166,$DL$205^A26,IF(A26='Données projet'!$A$166,'Données projet'!$B$166,DO25+DN26-DW25)))</f>
        <v>133.33333333333331</v>
      </c>
      <c r="DP26" s="18">
        <f>DO26*VLOOKUP('Données projet'!$B$14,Paramètres!$A$1:$I$89,3,0)*VLOOKUP('Données projet'!$B$14,Paramètres!$A$1:$I$89,5,0)</f>
        <v>76.959999999999994</v>
      </c>
      <c r="DQ26" s="14">
        <f t="shared" si="43"/>
        <v>21.392220726743766</v>
      </c>
      <c r="DR26" s="22">
        <f t="shared" si="16"/>
        <v>171.29678443241201</v>
      </c>
      <c r="DS26" s="62">
        <f t="shared" si="17"/>
        <v>394.78198114195851</v>
      </c>
      <c r="DT26" s="62">
        <f ca="1">AVERAGE(OFFSET($DS$3,0,0,'Données projet'!$E$14+1,1))-AVERAGE(OFFSET($H$3,0,0,'Données projet'!$E$14+1,1))</f>
        <v>172.86120068224633</v>
      </c>
      <c r="DU26" s="62">
        <f t="shared" si="44"/>
        <v>269.4995727085078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1.2</v>
      </c>
      <c r="EJ26" s="13">
        <f>IF('Données projet'!$A$192&gt;35,EJ25+EI26-ER25,IF(A26&lt;'Données projet'!$A$192,$EG$205^A26,IF(A26='Données projet'!$A$192,'Données projet'!$B$192,EJ25+EI26-ER25)))</f>
        <v>22.853438584779923</v>
      </c>
      <c r="EK26" s="18">
        <f>EJ26*VLOOKUP('Données projet'!$B$15,Paramètres!$A$1:$I$89,3,0)*VLOOKUP('Données projet'!$B$15,Paramètres!$A$1:$I$89,5,0)</f>
        <v>19.251736663818608</v>
      </c>
      <c r="EL26" s="14">
        <f t="shared" si="45"/>
        <v>6.2879586858791194</v>
      </c>
      <c r="EM26" s="22">
        <f t="shared" si="19"/>
        <v>44.481636067390205</v>
      </c>
      <c r="EN26" s="62">
        <f t="shared" si="20"/>
        <v>267.96683277693671</v>
      </c>
      <c r="EO26" s="62">
        <f ca="1">AVERAGE(OFFSET($EN$3,0,0,'Données projet'!$E$15+1,1))-AVERAGE(OFFSET($H$3,0,0,'Données projet'!$E$15+1,1))</f>
        <v>346.97972840139914</v>
      </c>
      <c r="EP26" s="62">
        <f t="shared" si="46"/>
        <v>158.41433650660613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6.6</v>
      </c>
      <c r="FE26" s="13">
        <f>IF('Données projet'!$A$218&gt;35,FE25+FD26-FM25,IF(A26&lt;'Données projet'!$A$218,$FB$205^A26,IF(A26='Données projet'!$A$218,'Données projet'!$B$218,FE25+FD26-FM25)))</f>
        <v>90.799999999999983</v>
      </c>
      <c r="FF26" s="18">
        <f>FE26*VLOOKUP('Données projet'!$B$16,Paramètres!$A$1:$I$89,3,0)*VLOOKUP('Données projet'!$B$16,Paramètres!$A$1:$I$89,5,0)</f>
        <v>59.492159999999984</v>
      </c>
      <c r="FG26" s="14">
        <f t="shared" si="47"/>
        <v>17.039807677491442</v>
      </c>
      <c r="FH26" s="22">
        <f t="shared" si="22"/>
        <v>133.29317703829756</v>
      </c>
      <c r="FI26" s="62">
        <f t="shared" si="23"/>
        <v>356.77837374784406</v>
      </c>
      <c r="FJ26" s="62">
        <f ca="1">AVERAGE(OFFSET($FI$3,0,0,'Données projet'!$E$16+1,1))-AVERAGE(OFFSET($H$3,0,0,'Données projet'!$E$16+1,1))</f>
        <v>235.88453308732235</v>
      </c>
      <c r="FK26" s="62">
        <f t="shared" si="48"/>
        <v>220.72810812053521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54.250560000000007</v>
      </c>
      <c r="P27" s="14">
        <f t="shared" si="33"/>
        <v>15.706218631166928</v>
      </c>
      <c r="Q27" s="22">
        <f t="shared" si="2"/>
        <v>121.84138944928242</v>
      </c>
      <c r="R27" s="62">
        <f t="shared" si="0"/>
        <v>347.61209763290219</v>
      </c>
      <c r="S27" s="62">
        <f ca="1">AVERAGE(OFFSET($R$3,0,0,'Données projet'!$E$9+1,1))-AVERAGE(OFFSET($H$3,0,0,'Données projet'!$E$9+1,1))</f>
        <v>442.98179778678298</v>
      </c>
      <c r="T27" s="62">
        <f t="shared" si="34"/>
        <v>251.96153561746942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9.6</v>
      </c>
      <c r="AI27" s="14">
        <f>IF('Données projet'!$A$62&gt;35,AI26+AH27-AQ26,IF(A27&lt;'Données projet'!$A$62,$AF$205^A27,IF(A27='Données projet'!$A$62,'Données projet'!$B$62,AI26+AH27-AQ26)))</f>
        <v>143.39999999999998</v>
      </c>
      <c r="AJ27" s="14">
        <f>AI27*VLOOKUP('Données projet'!$B$10,Paramètres!$A$1:$I$89,3,0)*VLOOKUP('Données projet'!$B$10,Paramètres!$A$1:$I$89,5,0)</f>
        <v>93.955679999999987</v>
      </c>
      <c r="AK27" s="14">
        <f t="shared" si="35"/>
        <v>25.516838392731955</v>
      </c>
      <c r="AL27" s="22">
        <f t="shared" si="4"/>
        <v>208.08130286734146</v>
      </c>
      <c r="AM27" s="62">
        <f t="shared" si="5"/>
        <v>433.85201105096127</v>
      </c>
      <c r="AN27" s="62">
        <f ca="1">AVERAGE(OFFSET($AM$3,0,0,'Données projet'!$E$10+1,1))-AVERAGE(OFFSET($H$3,0,0,'Données projet'!$E$10+1,1))</f>
        <v>304.35088214287919</v>
      </c>
      <c r="AO27" s="62">
        <f t="shared" si="36"/>
        <v>288.72611053217599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10.364102564102563</v>
      </c>
      <c r="BD27" s="13">
        <f>IF('Données projet'!$A$88&gt;35,BD26+BC27-BL26,IF(A27&lt;'Données projet'!$A$88,$BA$205^A27,IF(A27='Données projet'!$A$88,'Données projet'!$B$88,BD26+BC27-BL26)))</f>
        <v>82.687179487179492</v>
      </c>
      <c r="BE27" s="14">
        <f>BD27*VLOOKUP('Données projet'!$B$11,Paramètres!$A$1:$I$89,3,0)*VLOOKUP('Données projet'!$B$11,Paramètres!$A$1:$I$89,5,0)</f>
        <v>52.886719999999997</v>
      </c>
      <c r="BF27" s="14">
        <f t="shared" si="37"/>
        <v>15.356814911684387</v>
      </c>
      <c r="BG27" s="22">
        <f t="shared" si="7"/>
        <v>118.85748997118363</v>
      </c>
      <c r="BH27" s="62">
        <f t="shared" si="8"/>
        <v>344.62819815480344</v>
      </c>
      <c r="BI27" s="62">
        <f ca="1">AVERAGE(OFFSET($BH$3,0,0,'Données projet'!$E$11+1,1))-AVERAGE(OFFSET($H$3,0,0,'Données projet'!$E$11+1,1))</f>
        <v>285.09561428624352</v>
      </c>
      <c r="BJ27" s="62">
        <f t="shared" si="38"/>
        <v>261.05678516705564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8.6</v>
      </c>
      <c r="BY27" s="13">
        <f>IF('Données projet'!$A$114&gt;35,BY26+BX27-CG26,IF(A27&lt;'Données projet'!$A$114,$BV$205^A27,IF(A27='Données projet'!$A$114,'Données projet'!$B$114,BY26+BX27-CG26)))</f>
        <v>93.399999999999977</v>
      </c>
      <c r="BZ27" s="14">
        <f>BY27*VLOOKUP('Données projet'!$B$12,Paramètres!$A$1:$I$89,3,0)*VLOOKUP('Données projet'!$B$12,Paramètres!$A$1:$I$89,5,0)</f>
        <v>75.766079999999988</v>
      </c>
      <c r="CA27" s="14">
        <f t="shared" si="39"/>
        <v>21.09871541273251</v>
      </c>
      <c r="CB27" s="22">
        <f t="shared" si="10"/>
        <v>168.70618534384241</v>
      </c>
      <c r="CC27" s="62">
        <f t="shared" si="11"/>
        <v>394.47689352746221</v>
      </c>
      <c r="CD27" s="62">
        <f ca="1">AVERAGE(OFFSET($CC$3,0,0,'Données projet'!$E$12+1,1))-AVERAGE(OFFSET($H$3,0,0,'Données projet'!$E$12+1,1))</f>
        <v>272.69564942740931</v>
      </c>
      <c r="CE27" s="62">
        <f t="shared" si="40"/>
        <v>316.57989180609252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9.6</v>
      </c>
      <c r="CT27" s="13">
        <f>IF('Données projet'!$A$140&gt;35,CT26+CS27-DB26,IF(A27&lt;'Données projet'!$A$140,$CQ$205^A27,IF(A27='Données projet'!$A$140,'Données projet'!$B$140,CT26+CS27-DB26)))</f>
        <v>143.39999999999998</v>
      </c>
      <c r="CU27" s="18">
        <f>CT27*VLOOKUP('Données projet'!$B$13,Paramètres!$A$1:$I$89,3,0)*VLOOKUP('Données projet'!$B$13,Paramètres!$A$1:$I$89,5,0)</f>
        <v>93.955679999999987</v>
      </c>
      <c r="CV27" s="14">
        <f t="shared" si="41"/>
        <v>25.516838392731955</v>
      </c>
      <c r="CW27" s="22">
        <f t="shared" si="13"/>
        <v>208.08130286734146</v>
      </c>
      <c r="CX27" s="62">
        <f t="shared" si="14"/>
        <v>433.85201105096127</v>
      </c>
      <c r="CY27" s="62">
        <f ca="1">AVERAGE(OFFSET($CX$3,0,0,'Données projet'!$E$13+1,1))-AVERAGE(OFFSET($H$3,0,0,'Données projet'!$E$13+1,1))</f>
        <v>304.35088214287919</v>
      </c>
      <c r="CZ27" s="62">
        <f t="shared" si="42"/>
        <v>288.72611053217599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>
        <f>VLOOKUP(A27,'Données projet'!$A$165:$I$185,2,0)</f>
        <v>141.02564102564102</v>
      </c>
      <c r="DM27" s="13">
        <f>VLOOKUP(A27,'Données projet'!$A$165:$I$185,9,0)</f>
        <v>7.6923076923077005</v>
      </c>
      <c r="DN27" s="13">
        <f t="array" ref="DN27">INDEX(DM:DM,MIN(IF(ISNUMBER(DM27:DM223),ROW(DM27:DM223),"")))</f>
        <v>7.6923076923077005</v>
      </c>
      <c r="DO27" s="13">
        <f>IF('Données projet'!$A$166&gt;35,DO26+DN27-DW26,IF(A27&lt;'Données projet'!$A$166,$DL$205^A27,IF(A27='Données projet'!$A$166,'Données projet'!$B$166,DO26+DN27-DW26)))</f>
        <v>141.02564102564102</v>
      </c>
      <c r="DP27" s="18">
        <f>DO27*VLOOKUP('Données projet'!$B$14,Paramètres!$A$1:$I$89,3,0)*VLOOKUP('Données projet'!$B$14,Paramètres!$A$1:$I$89,5,0)</f>
        <v>81.399999999999991</v>
      </c>
      <c r="DQ27" s="14">
        <f t="shared" si="43"/>
        <v>22.479145016543477</v>
      </c>
      <c r="DR27" s="22">
        <f t="shared" si="16"/>
        <v>180.92284423714656</v>
      </c>
      <c r="DS27" s="62">
        <f t="shared" si="17"/>
        <v>406.69355242076637</v>
      </c>
      <c r="DT27" s="62">
        <f ca="1">AVERAGE(OFFSET($DS$3,0,0,'Données projet'!$E$14+1,1))-AVERAGE(OFFSET($H$3,0,0,'Données projet'!$E$14+1,1))</f>
        <v>172.86120068224633</v>
      </c>
      <c r="DU27" s="62">
        <f t="shared" si="44"/>
        <v>269.4995727085078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1.2</v>
      </c>
      <c r="EJ27" s="13">
        <f>IF('Données projet'!$A$192&gt;35,EJ26+EI27-ER26,IF(A27&lt;'Données projet'!$A$192,$EG$205^A27,IF(A27='Données projet'!$A$192,'Données projet'!$B$192,EJ26+EI27-ER26)))</f>
        <v>26.184024853780567</v>
      </c>
      <c r="EK27" s="18">
        <f>EJ27*VLOOKUP('Données projet'!$B$15,Paramètres!$A$1:$I$89,3,0)*VLOOKUP('Données projet'!$B$15,Paramètres!$A$1:$I$89,5,0)</f>
        <v>22.057422536824753</v>
      </c>
      <c r="EL27" s="14">
        <f t="shared" si="45"/>
        <v>7.0911562216207642</v>
      </c>
      <c r="EM27" s="22">
        <f t="shared" si="19"/>
        <v>50.767108004292602</v>
      </c>
      <c r="EN27" s="62">
        <f t="shared" si="20"/>
        <v>276.53781618791243</v>
      </c>
      <c r="EO27" s="62">
        <f ca="1">AVERAGE(OFFSET($EN$3,0,0,'Données projet'!$E$15+1,1))-AVERAGE(OFFSET($H$3,0,0,'Données projet'!$E$15+1,1))</f>
        <v>346.97972840139914</v>
      </c>
      <c r="EP27" s="62">
        <f t="shared" si="46"/>
        <v>158.41433650660613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6.6</v>
      </c>
      <c r="FE27" s="13">
        <f>IF('Données projet'!$A$218&gt;35,FE26+FD27-FM26,IF(A27&lt;'Données projet'!$A$218,$FB$205^A27,IF(A27='Données projet'!$A$218,'Données projet'!$B$218,FE26+FD27-FM26)))</f>
        <v>97.399999999999977</v>
      </c>
      <c r="FF27" s="18">
        <f>FE27*VLOOKUP('Données projet'!$B$16,Paramètres!$A$1:$I$89,3,0)*VLOOKUP('Données projet'!$B$16,Paramètres!$A$1:$I$89,5,0)</f>
        <v>63.816479999999984</v>
      </c>
      <c r="FG27" s="14">
        <f t="shared" si="47"/>
        <v>18.129704574147006</v>
      </c>
      <c r="FH27" s="22">
        <f t="shared" si="22"/>
        <v>142.722938133306</v>
      </c>
      <c r="FI27" s="62">
        <f t="shared" si="23"/>
        <v>368.49364631692583</v>
      </c>
      <c r="FJ27" s="62">
        <f ca="1">AVERAGE(OFFSET($FI$3,0,0,'Données projet'!$E$16+1,1))-AVERAGE(OFFSET($H$3,0,0,'Données projet'!$E$16+1,1))</f>
        <v>235.88453308732235</v>
      </c>
      <c r="FK27" s="62">
        <f t="shared" si="48"/>
        <v>220.72810812053521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58.968000000000011</v>
      </c>
      <c r="P28" s="14">
        <f t="shared" si="33"/>
        <v>16.907084152971134</v>
      </c>
      <c r="Q28" s="22">
        <f t="shared" si="2"/>
        <v>132.14910489975807</v>
      </c>
      <c r="R28" s="62">
        <f t="shared" si="0"/>
        <v>360.18687886609018</v>
      </c>
      <c r="S28" s="62">
        <f ca="1">AVERAGE(OFFSET($R$3,0,0,'Données projet'!$E$9+1,1))-AVERAGE(OFFSET($H$3,0,0,'Données projet'!$E$9+1,1))</f>
        <v>442.98179778678298</v>
      </c>
      <c r="T28" s="62">
        <f t="shared" si="34"/>
        <v>251.96153561746942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153</v>
      </c>
      <c r="AG28" s="13">
        <f>VLOOKUP(A28,'Données projet'!$A$61:$I$81,9,0)</f>
        <v>9.6</v>
      </c>
      <c r="AH28" s="13">
        <f t="array" ref="AH28">INDEX(AG:AG,MIN(IF(ISNUMBER(AG28:AG224),ROW(AG28:AG224),"")))</f>
        <v>9.6</v>
      </c>
      <c r="AI28" s="14">
        <f>IF('Données projet'!$A$62&gt;35,AI27+AH28-AQ27,IF(A28&lt;'Données projet'!$A$62,$AF$205^A28,IF(A28='Données projet'!$A$62,'Données projet'!$B$62,AI27+AH28-AQ27)))</f>
        <v>152.99999999999997</v>
      </c>
      <c r="AJ28" s="14">
        <f>AI28*VLOOKUP('Données projet'!$B$10,Paramètres!$A$1:$I$89,3,0)*VLOOKUP('Données projet'!$B$10,Paramètres!$A$1:$I$89,5,0)</f>
        <v>100.2456</v>
      </c>
      <c r="AK28" s="14">
        <f t="shared" si="35"/>
        <v>27.020500005754936</v>
      </c>
      <c r="AL28" s="22">
        <f t="shared" si="4"/>
        <v>221.65512417668984</v>
      </c>
      <c r="AM28" s="62">
        <f t="shared" si="5"/>
        <v>449.69289814302192</v>
      </c>
      <c r="AN28" s="62">
        <f ca="1">AVERAGE(OFFSET($AM$3,0,0,'Données projet'!$E$10+1,1))-AVERAGE(OFFSET($H$3,0,0,'Données projet'!$E$10+1,1))</f>
        <v>304.35088214287919</v>
      </c>
      <c r="AO28" s="62">
        <f t="shared" si="36"/>
        <v>288.72611053217599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36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10.364102564102563</v>
      </c>
      <c r="BD28" s="13">
        <f>IF('Données projet'!$A$88&gt;35,BD27+BC28-BL27,IF(A28&lt;'Données projet'!$A$88,$BA$205^A28,IF(A28='Données projet'!$A$88,'Données projet'!$B$88,BD27+BC28-BL27)))</f>
        <v>93.051282051282058</v>
      </c>
      <c r="BE28" s="14">
        <f>BD28*VLOOKUP('Données projet'!$B$11,Paramètres!$A$1:$I$89,3,0)*VLOOKUP('Données projet'!$B$11,Paramètres!$A$1:$I$89,5,0)</f>
        <v>59.515599999999999</v>
      </c>
      <c r="BF28" s="14">
        <f t="shared" si="37"/>
        <v>17.045739775375299</v>
      </c>
      <c r="BG28" s="22">
        <f t="shared" si="7"/>
        <v>133.34433344211197</v>
      </c>
      <c r="BH28" s="62">
        <f t="shared" si="8"/>
        <v>361.38210740844409</v>
      </c>
      <c r="BI28" s="62">
        <f ca="1">AVERAGE(OFFSET($BH$3,0,0,'Données projet'!$E$11+1,1))-AVERAGE(OFFSET($H$3,0,0,'Données projet'!$E$11+1,1))</f>
        <v>285.09561428624352</v>
      </c>
      <c r="BJ28" s="62">
        <f t="shared" si="38"/>
        <v>261.05678516705564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102</v>
      </c>
      <c r="BW28" s="13">
        <f>VLOOKUP(A28,'Données projet'!$A$113:$I$133,9,0)</f>
        <v>8.6</v>
      </c>
      <c r="BX28" s="13">
        <f t="array" ref="BX28">INDEX(BW:BW,MIN(IF(ISNUMBER(BW28:BW224),ROW(BW28:BW224),"")))</f>
        <v>8.6</v>
      </c>
      <c r="BY28" s="13">
        <f>IF('Données projet'!$A$114&gt;35,BY27+BX28-CG27,IF(A28&lt;'Données projet'!$A$114,$BV$205^A28,IF(A28='Données projet'!$A$114,'Données projet'!$B$114,BY27+BX28-CG27)))</f>
        <v>101.99999999999997</v>
      </c>
      <c r="BZ28" s="14">
        <f>BY28*VLOOKUP('Données projet'!$B$12,Paramètres!$A$1:$I$89,3,0)*VLOOKUP('Données projet'!$B$12,Paramètres!$A$1:$I$89,5,0)</f>
        <v>82.742399999999975</v>
      </c>
      <c r="CA28" s="14">
        <f t="shared" si="39"/>
        <v>22.806394174303183</v>
      </c>
      <c r="CB28" s="22">
        <f t="shared" si="10"/>
        <v>183.83081652024464</v>
      </c>
      <c r="CC28" s="62">
        <f t="shared" si="11"/>
        <v>411.86859048657675</v>
      </c>
      <c r="CD28" s="62">
        <f ca="1">AVERAGE(OFFSET($CC$3,0,0,'Données projet'!$E$12+1,1))-AVERAGE(OFFSET($H$3,0,0,'Données projet'!$E$12+1,1))</f>
        <v>272.69564942740931</v>
      </c>
      <c r="CE28" s="62">
        <f t="shared" si="40"/>
        <v>316.57989180609252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153</v>
      </c>
      <c r="CR28" s="13">
        <f>VLOOKUP(A28,'Données projet'!$A$139:$I$159,9,0)</f>
        <v>9.6</v>
      </c>
      <c r="CS28" s="13">
        <f t="array" ref="CS28">INDEX(CR:CR,MIN(IF(ISNUMBER(CR28:CR224),ROW(CR28:CR224),"")))</f>
        <v>9.6</v>
      </c>
      <c r="CT28" s="13">
        <f>IF('Données projet'!$A$140&gt;35,CT27+CS28-DB27,IF(A28&lt;'Données projet'!$A$140,$CQ$205^A28,IF(A28='Données projet'!$A$140,'Données projet'!$B$140,CT27+CS28-DB27)))</f>
        <v>152.99999999999997</v>
      </c>
      <c r="CU28" s="18">
        <f>CT28*VLOOKUP('Données projet'!$B$13,Paramètres!$A$1:$I$89,3,0)*VLOOKUP('Données projet'!$B$13,Paramètres!$A$1:$I$89,5,0)</f>
        <v>100.2456</v>
      </c>
      <c r="CV28" s="14">
        <f t="shared" si="41"/>
        <v>27.020500005754936</v>
      </c>
      <c r="CW28" s="22">
        <f t="shared" si="13"/>
        <v>221.65512417668984</v>
      </c>
      <c r="CX28" s="62">
        <f t="shared" si="14"/>
        <v>449.69289814302192</v>
      </c>
      <c r="CY28" s="62">
        <f ca="1">AVERAGE(OFFSET($CX$3,0,0,'Données projet'!$E$13+1,1))-AVERAGE(OFFSET($H$3,0,0,'Données projet'!$E$13+1,1))</f>
        <v>304.35088214287919</v>
      </c>
      <c r="CZ28" s="62">
        <f t="shared" si="42"/>
        <v>288.72611053217599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7.3717948717948758</v>
      </c>
      <c r="DO28" s="13">
        <f>IF('Données projet'!$A$166&gt;35,DO27+DN28-DW27,IF(A28&lt;'Données projet'!$A$166,$DL$205^A28,IF(A28='Données projet'!$A$166,'Données projet'!$B$166,DO27+DN28-DW27)))</f>
        <v>148.39743589743591</v>
      </c>
      <c r="DP28" s="18">
        <f>DO28*VLOOKUP('Données projet'!$B$14,Paramètres!$A$1:$I$89,3,0)*VLOOKUP('Données projet'!$B$14,Paramètres!$A$1:$I$89,5,0)</f>
        <v>85.655000000000001</v>
      </c>
      <c r="DQ28" s="14">
        <f t="shared" si="43"/>
        <v>23.514316949120648</v>
      </c>
      <c r="DR28" s="22">
        <f t="shared" si="16"/>
        <v>190.13656035305181</v>
      </c>
      <c r="DS28" s="62">
        <f t="shared" si="17"/>
        <v>418.17433431938389</v>
      </c>
      <c r="DT28" s="62">
        <f ca="1">AVERAGE(OFFSET($DS$3,0,0,'Données projet'!$E$14+1,1))-AVERAGE(OFFSET($H$3,0,0,'Données projet'!$E$14+1,1))</f>
        <v>172.86120068224633</v>
      </c>
      <c r="DU28" s="62">
        <f t="shared" si="44"/>
        <v>269.4995727085078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30</v>
      </c>
      <c r="EH28" s="13">
        <f>VLOOKUP(A28,'Données projet'!$A$191:$I$211,9,0)</f>
        <v>1.2</v>
      </c>
      <c r="EI28" s="13">
        <f t="array" ref="EI28">INDEX(EH:EH,MIN(IF(ISNUMBER(EH28:EH224),ROW(EH28:EH224),"")))</f>
        <v>1.2</v>
      </c>
      <c r="EJ28" s="13">
        <f>IF('Données projet'!$A$192&gt;35,EJ27+EI28-ER27,IF(A28&lt;'Données projet'!$A$192,$EG$205^A28,IF(A28='Données projet'!$A$192,'Données projet'!$B$192,EJ27+EI28-ER27)))</f>
        <v>30</v>
      </c>
      <c r="EK28" s="18">
        <f>EJ28*VLOOKUP('Données projet'!$B$15,Paramètres!$A$1:$I$89,3,0)*VLOOKUP('Données projet'!$B$15,Paramètres!$A$1:$I$89,5,0)</f>
        <v>25.272000000000006</v>
      </c>
      <c r="EL28" s="14">
        <f t="shared" si="45"/>
        <v>7.9969508502584166</v>
      </c>
      <c r="EM28" s="22">
        <f t="shared" si="19"/>
        <v>57.94342273086675</v>
      </c>
      <c r="EN28" s="62">
        <f t="shared" si="20"/>
        <v>285.98119669719887</v>
      </c>
      <c r="EO28" s="62">
        <f ca="1">AVERAGE(OFFSET($EN$3,0,0,'Données projet'!$E$15+1,1))-AVERAGE(OFFSET($H$3,0,0,'Données projet'!$E$15+1,1))</f>
        <v>346.97972840139914</v>
      </c>
      <c r="EP28" s="62">
        <f t="shared" si="46"/>
        <v>158.41433650660613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104</v>
      </c>
      <c r="FC28" s="13">
        <f>VLOOKUP(A28,'Données projet'!$A$217:$I$237,9,0)</f>
        <v>6.6</v>
      </c>
      <c r="FD28" s="13">
        <f t="array" ref="FD28">INDEX(FC:FC,MIN(IF(ISNUMBER(FC28:FC224),ROW(FC28:FC224),"")))</f>
        <v>6.6</v>
      </c>
      <c r="FE28" s="13">
        <f>IF('Données projet'!$A$218&gt;35,FE27+FD28-FM27,IF(A28&lt;'Données projet'!$A$218,$FB$205^A28,IF(A28='Données projet'!$A$218,'Données projet'!$B$218,FE27+FD28-FM27)))</f>
        <v>103.99999999999997</v>
      </c>
      <c r="FF28" s="18">
        <f>FE28*VLOOKUP('Données projet'!$B$16,Paramètres!$A$1:$I$89,3,0)*VLOOKUP('Données projet'!$B$16,Paramètres!$A$1:$I$89,5,0)</f>
        <v>68.140799999999984</v>
      </c>
      <c r="FG28" s="14">
        <f t="shared" si="47"/>
        <v>19.21103183030446</v>
      </c>
      <c r="FH28" s="22">
        <f t="shared" si="22"/>
        <v>152.13777377111359</v>
      </c>
      <c r="FI28" s="62">
        <f t="shared" si="23"/>
        <v>380.1755477374457</v>
      </c>
      <c r="FJ28" s="62">
        <f ca="1">AVERAGE(OFFSET($FI$3,0,0,'Données projet'!$E$16+1,1))-AVERAGE(OFFSET($H$3,0,0,'Données projet'!$E$16+1,1))</f>
        <v>235.88453308732235</v>
      </c>
      <c r="FK28" s="62">
        <f t="shared" si="48"/>
        <v>220.72810812053521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24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64.864800000000017</v>
      </c>
      <c r="P29" s="14">
        <f t="shared" si="33"/>
        <v>18.392606985756636</v>
      </c>
      <c r="Q29" s="22">
        <f t="shared" si="2"/>
        <v>145.00665050019282</v>
      </c>
      <c r="R29" s="62">
        <f t="shared" si="0"/>
        <v>375.293364549383</v>
      </c>
      <c r="S29" s="62">
        <f ca="1">AVERAGE(OFFSET($R$3,0,0,'Données projet'!$E$9+1,1))-AVERAGE(OFFSET($H$3,0,0,'Données projet'!$E$9+1,1))</f>
        <v>442.98179778678298</v>
      </c>
      <c r="T29" s="62">
        <f t="shared" si="34"/>
        <v>251.96153561746942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8.8000000000000007</v>
      </c>
      <c r="AI29" s="14">
        <f>IF('Données projet'!$A$62&gt;35,AI28+AH29-AQ28,IF(A29&lt;'Données projet'!$A$62,$AF$205^A29,IF(A29='Données projet'!$A$62,'Données projet'!$B$62,AI28+AH29-AQ28)))</f>
        <v>125.79999999999998</v>
      </c>
      <c r="AJ29" s="14">
        <f>AI29*VLOOKUP('Données projet'!$B$10,Paramètres!$A$1:$I$89,3,0)*VLOOKUP('Données projet'!$B$10,Paramètres!$A$1:$I$89,5,0)</f>
        <v>82.424159999999986</v>
      </c>
      <c r="AK29" s="14">
        <f t="shared" si="35"/>
        <v>22.728870146421784</v>
      </c>
      <c r="AL29" s="22">
        <f t="shared" si="4"/>
        <v>183.14152750501788</v>
      </c>
      <c r="AM29" s="62">
        <f t="shared" si="5"/>
        <v>413.42824155420806</v>
      </c>
      <c r="AN29" s="62">
        <f ca="1">AVERAGE(OFFSET($AM$3,0,0,'Données projet'!$E$10+1,1))-AVERAGE(OFFSET($H$3,0,0,'Données projet'!$E$10+1,1))</f>
        <v>304.35088214287919</v>
      </c>
      <c r="AO29" s="62">
        <f t="shared" si="36"/>
        <v>288.72611053217599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10.364102564102563</v>
      </c>
      <c r="BD29" s="13">
        <f>IF('Données projet'!$A$88&gt;35,BD28+BC29-BL28,IF(A29&lt;'Données projet'!$A$88,$BA$205^A29,IF(A29='Données projet'!$A$88,'Données projet'!$B$88,BD28+BC29-BL28)))</f>
        <v>103.41538461538462</v>
      </c>
      <c r="BE29" s="14">
        <f>BD29*VLOOKUP('Données projet'!$B$11,Paramètres!$A$1:$I$89,3,0)*VLOOKUP('Données projet'!$B$11,Paramètres!$A$1:$I$89,5,0)</f>
        <v>66.144480000000001</v>
      </c>
      <c r="BF29" s="14">
        <f t="shared" si="37"/>
        <v>18.712862033539796</v>
      </c>
      <c r="BG29" s="22">
        <f t="shared" si="7"/>
        <v>147.79320404174845</v>
      </c>
      <c r="BH29" s="62">
        <f t="shared" si="8"/>
        <v>378.07991809093863</v>
      </c>
      <c r="BI29" s="62">
        <f ca="1">AVERAGE(OFFSET($BH$3,0,0,'Données projet'!$E$11+1,1))-AVERAGE(OFFSET($H$3,0,0,'Données projet'!$E$11+1,1))</f>
        <v>285.09561428624352</v>
      </c>
      <c r="BJ29" s="62">
        <f t="shared" si="38"/>
        <v>261.05678516705564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8.8000000000000007</v>
      </c>
      <c r="BY29" s="13">
        <f>IF('Données projet'!$A$114&gt;35,BY28+BX29-CG28,IF(A29&lt;'Données projet'!$A$114,$BV$205^A29,IF(A29='Données projet'!$A$114,'Données projet'!$B$114,BY28+BX29-CG28)))</f>
        <v>110.79999999999997</v>
      </c>
      <c r="BZ29" s="14">
        <f>BY29*VLOOKUP('Données projet'!$B$12,Paramètres!$A$1:$I$89,3,0)*VLOOKUP('Données projet'!$B$12,Paramètres!$A$1:$I$89,5,0)</f>
        <v>89.880959999999973</v>
      </c>
      <c r="CA29" s="14">
        <f t="shared" si="39"/>
        <v>24.536513201257339</v>
      </c>
      <c r="CB29" s="22">
        <f t="shared" si="10"/>
        <v>199.27709915885649</v>
      </c>
      <c r="CC29" s="62">
        <f t="shared" si="11"/>
        <v>429.56381320804667</v>
      </c>
      <c r="CD29" s="62">
        <f ca="1">AVERAGE(OFFSET($CC$3,0,0,'Données projet'!$E$12+1,1))-AVERAGE(OFFSET($H$3,0,0,'Données projet'!$E$12+1,1))</f>
        <v>272.69564942740931</v>
      </c>
      <c r="CE29" s="62">
        <f t="shared" si="40"/>
        <v>316.57989180609252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8.8000000000000007</v>
      </c>
      <c r="CT29" s="13">
        <f>IF('Données projet'!$A$140&gt;35,CT28+CS29-DB28,IF(A29&lt;'Données projet'!$A$140,$CQ$205^A29,IF(A29='Données projet'!$A$140,'Données projet'!$B$140,CT28+CS29-DB28)))</f>
        <v>125.79999999999998</v>
      </c>
      <c r="CU29" s="18">
        <f>CT29*VLOOKUP('Données projet'!$B$13,Paramètres!$A$1:$I$89,3,0)*VLOOKUP('Données projet'!$B$13,Paramètres!$A$1:$I$89,5,0)</f>
        <v>82.424159999999986</v>
      </c>
      <c r="CV29" s="14">
        <f t="shared" si="41"/>
        <v>22.728870146421784</v>
      </c>
      <c r="CW29" s="22">
        <f t="shared" si="13"/>
        <v>183.14152750501788</v>
      </c>
      <c r="CX29" s="62">
        <f t="shared" si="14"/>
        <v>413.42824155420806</v>
      </c>
      <c r="CY29" s="62">
        <f ca="1">AVERAGE(OFFSET($CX$3,0,0,'Données projet'!$E$13+1,1))-AVERAGE(OFFSET($H$3,0,0,'Données projet'!$E$13+1,1))</f>
        <v>304.35088214287919</v>
      </c>
      <c r="CZ29" s="62">
        <f t="shared" si="42"/>
        <v>288.72611053217599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>
        <f>VLOOKUP(A29,'Données projet'!$A$165:$I$185,2,0)</f>
        <v>155.76923076923077</v>
      </c>
      <c r="DM29" s="13">
        <f>VLOOKUP(A29,'Données projet'!$A$165:$I$185,9,0)</f>
        <v>7.3717948717948758</v>
      </c>
      <c r="DN29" s="13">
        <f t="array" ref="DN29">INDEX(DM:DM,MIN(IF(ISNUMBER(DM29:DM225),ROW(DM29:DM225),"")))</f>
        <v>7.3717948717948758</v>
      </c>
      <c r="DO29" s="13">
        <f>IF('Données projet'!$A$166&gt;35,DO28+DN29-DW28,IF(A29&lt;'Données projet'!$A$166,$DL$205^A29,IF(A29='Données projet'!$A$166,'Données projet'!$B$166,DO28+DN29-DW28)))</f>
        <v>155.76923076923077</v>
      </c>
      <c r="DP29" s="18">
        <f>DO29*VLOOKUP('Données projet'!$B$14,Paramètres!$A$1:$I$89,3,0)*VLOOKUP('Données projet'!$B$14,Paramètres!$A$1:$I$89,5,0)</f>
        <v>89.910000000000011</v>
      </c>
      <c r="DQ29" s="14">
        <f t="shared" si="43"/>
        <v>24.543517897354992</v>
      </c>
      <c r="DR29" s="22">
        <f t="shared" si="16"/>
        <v>199.33987700455995</v>
      </c>
      <c r="DS29" s="62">
        <f t="shared" si="17"/>
        <v>429.62659105375013</v>
      </c>
      <c r="DT29" s="62">
        <f ca="1">AVERAGE(OFFSET($DS$3,0,0,'Données projet'!$E$14+1,1))-AVERAGE(OFFSET($H$3,0,0,'Données projet'!$E$14+1,1))</f>
        <v>172.86120068224633</v>
      </c>
      <c r="DU29" s="62">
        <f t="shared" si="44"/>
        <v>269.4995727085078</v>
      </c>
      <c r="DV29" s="16">
        <f>IF(ISNA(VLOOKUP(A29,'Données projet'!$A$165:$I$185,3,0)),0,VLOOKUP(A29,'Données projet'!$A$165:$I$185,3,0))</f>
        <v>5</v>
      </c>
      <c r="DW29" s="16">
        <f>IF(ISNA(VLOOKUP(A29,'Données projet'!$A$165:$I$185,4,0)),0,VLOOKUP(A29,'Données projet'!$A$165:$I$185,4,0))</f>
        <v>15.384615384615383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4.8</v>
      </c>
      <c r="EJ29" s="13">
        <f>IF('Données projet'!$A$192&gt;35,EJ28+EI29-ER28,IF(A29&lt;'Données projet'!$A$192,$EG$205^A29,IF(A29='Données projet'!$A$192,'Données projet'!$B$192,EJ28+EI29-ER28)))</f>
        <v>34.799999999999997</v>
      </c>
      <c r="EK29" s="18">
        <f>EJ29*VLOOKUP('Données projet'!$B$15,Paramètres!$A$1:$I$89,3,0)*VLOOKUP('Données projet'!$B$15,Paramètres!$A$1:$I$89,5,0)</f>
        <v>29.315519999999999</v>
      </c>
      <c r="EL29" s="14">
        <f t="shared" si="45"/>
        <v>9.1175783937892785</v>
      </c>
      <c r="EM29" s="22">
        <f t="shared" si="19"/>
        <v>66.937646369182985</v>
      </c>
      <c r="EN29" s="62">
        <f t="shared" si="20"/>
        <v>297.22436041837318</v>
      </c>
      <c r="EO29" s="62">
        <f ca="1">AVERAGE(OFFSET($EN$3,0,0,'Données projet'!$E$15+1,1))-AVERAGE(OFFSET($H$3,0,0,'Données projet'!$E$15+1,1))</f>
        <v>346.97972840139914</v>
      </c>
      <c r="EP29" s="62">
        <f t="shared" si="46"/>
        <v>158.41433650660613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6.6</v>
      </c>
      <c r="FE29" s="13">
        <f>IF('Données projet'!$A$218&gt;35,FE28+FD29-FM28,IF(A29&lt;'Données projet'!$A$218,$FB$205^A29,IF(A29='Données projet'!$A$218,'Données projet'!$B$218,FE28+FD29-FM28)))</f>
        <v>86.599999999999966</v>
      </c>
      <c r="FF29" s="18">
        <f>FE29*VLOOKUP('Données projet'!$B$16,Paramètres!$A$1:$I$89,3,0)*VLOOKUP('Données projet'!$B$16,Paramètres!$A$1:$I$89,5,0)</f>
        <v>56.740319999999983</v>
      </c>
      <c r="FG29" s="14">
        <f t="shared" si="47"/>
        <v>16.341459515532755</v>
      </c>
      <c r="FH29" s="22">
        <f t="shared" si="22"/>
        <v>127.28409932288616</v>
      </c>
      <c r="FI29" s="62">
        <f t="shared" si="23"/>
        <v>357.57081337207637</v>
      </c>
      <c r="FJ29" s="62">
        <f ca="1">AVERAGE(OFFSET($FI$3,0,0,'Données projet'!$E$16+1,1))-AVERAGE(OFFSET($H$3,0,0,'Données projet'!$E$16+1,1))</f>
        <v>235.88453308732235</v>
      </c>
      <c r="FK29" s="62">
        <f t="shared" si="48"/>
        <v>220.72810812053521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70.761600000000001</v>
      </c>
      <c r="P30" s="14">
        <f t="shared" si="33"/>
        <v>19.862470414169767</v>
      </c>
      <c r="Q30" s="22">
        <f t="shared" si="2"/>
        <v>157.83692263801234</v>
      </c>
      <c r="R30" s="62">
        <f t="shared" si="0"/>
        <v>390.35476551057582</v>
      </c>
      <c r="S30" s="62">
        <f ca="1">AVERAGE(OFFSET($R$3,0,0,'Données projet'!$E$9+1,1))-AVERAGE(OFFSET($H$3,0,0,'Données projet'!$E$9+1,1))</f>
        <v>442.98179778678298</v>
      </c>
      <c r="T30" s="62">
        <f t="shared" si="34"/>
        <v>251.96153561746942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8.8000000000000007</v>
      </c>
      <c r="AI30" s="14">
        <f>IF('Données projet'!$A$62&gt;35,AI29+AH30-AQ29,IF(A30&lt;'Données projet'!$A$62,$AF$205^A30,IF(A30='Données projet'!$A$62,'Données projet'!$B$62,AI29+AH30-AQ29)))</f>
        <v>134.6</v>
      </c>
      <c r="AJ30" s="14">
        <f>AI30*VLOOKUP('Données projet'!$B$10,Paramètres!$A$1:$I$89,3,0)*VLOOKUP('Données projet'!$B$10,Paramètres!$A$1:$I$89,5,0)</f>
        <v>88.189920000000001</v>
      </c>
      <c r="AK30" s="14">
        <f t="shared" si="35"/>
        <v>24.128162431798632</v>
      </c>
      <c r="AL30" s="22">
        <f t="shared" si="4"/>
        <v>195.62066023538262</v>
      </c>
      <c r="AM30" s="62">
        <f t="shared" si="5"/>
        <v>428.13850310794612</v>
      </c>
      <c r="AN30" s="62">
        <f ca="1">AVERAGE(OFFSET($AM$3,0,0,'Données projet'!$E$10+1,1))-AVERAGE(OFFSET($H$3,0,0,'Données projet'!$E$10+1,1))</f>
        <v>304.35088214287919</v>
      </c>
      <c r="AO30" s="62">
        <f t="shared" si="36"/>
        <v>288.72611053217599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10.364102564102563</v>
      </c>
      <c r="BD30" s="13">
        <f>IF('Données projet'!$A$88&gt;35,BD29+BC30-BL29,IF(A30&lt;'Données projet'!$A$88,$BA$205^A30,IF(A30='Données projet'!$A$88,'Données projet'!$B$88,BD29+BC30-BL29)))</f>
        <v>113.77948717948719</v>
      </c>
      <c r="BE30" s="14">
        <f>BD30*VLOOKUP('Données projet'!$B$11,Paramètres!$A$1:$I$89,3,0)*VLOOKUP('Données projet'!$B$11,Paramètres!$A$1:$I$89,5,0)</f>
        <v>72.773359999999997</v>
      </c>
      <c r="BF30" s="14">
        <f t="shared" si="37"/>
        <v>20.360615447700589</v>
      </c>
      <c r="BG30" s="22">
        <f t="shared" si="7"/>
        <v>162.20834057141184</v>
      </c>
      <c r="BH30" s="62">
        <f t="shared" si="8"/>
        <v>394.72618344397534</v>
      </c>
      <c r="BI30" s="62">
        <f ca="1">AVERAGE(OFFSET($BH$3,0,0,'Données projet'!$E$11+1,1))-AVERAGE(OFFSET($H$3,0,0,'Données projet'!$E$11+1,1))</f>
        <v>285.09561428624352</v>
      </c>
      <c r="BJ30" s="62">
        <f t="shared" si="38"/>
        <v>261.05678516705564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8.8000000000000007</v>
      </c>
      <c r="BY30" s="13">
        <f>IF('Données projet'!$A$114&gt;35,BY29+BX30-CG29,IF(A30&lt;'Données projet'!$A$114,$BV$205^A30,IF(A30='Données projet'!$A$114,'Données projet'!$B$114,BY29+BX30-CG29)))</f>
        <v>119.59999999999997</v>
      </c>
      <c r="BZ30" s="14">
        <f>BY30*VLOOKUP('Données projet'!$B$12,Paramètres!$A$1:$I$89,3,0)*VLOOKUP('Données projet'!$B$12,Paramètres!$A$1:$I$89,5,0)</f>
        <v>97.019519999999986</v>
      </c>
      <c r="CA30" s="14">
        <f t="shared" si="39"/>
        <v>26.250693712468323</v>
      </c>
      <c r="CB30" s="22">
        <f t="shared" si="10"/>
        <v>214.69562221588228</v>
      </c>
      <c r="CC30" s="62">
        <f t="shared" si="11"/>
        <v>447.21346508844579</v>
      </c>
      <c r="CD30" s="62">
        <f ca="1">AVERAGE(OFFSET($CC$3,0,0,'Données projet'!$E$12+1,1))-AVERAGE(OFFSET($H$3,0,0,'Données projet'!$E$12+1,1))</f>
        <v>272.69564942740931</v>
      </c>
      <c r="CE30" s="62">
        <f t="shared" si="40"/>
        <v>316.57989180609252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8.8000000000000007</v>
      </c>
      <c r="CT30" s="13">
        <f>IF('Données projet'!$A$140&gt;35,CT29+CS30-DB29,IF(A30&lt;'Données projet'!$A$140,$CQ$205^A30,IF(A30='Données projet'!$A$140,'Données projet'!$B$140,CT29+CS30-DB29)))</f>
        <v>134.6</v>
      </c>
      <c r="CU30" s="18">
        <f>CT30*VLOOKUP('Données projet'!$B$13,Paramètres!$A$1:$I$89,3,0)*VLOOKUP('Données projet'!$B$13,Paramètres!$A$1:$I$89,5,0)</f>
        <v>88.189920000000001</v>
      </c>
      <c r="CV30" s="14">
        <f t="shared" si="41"/>
        <v>24.128162431798632</v>
      </c>
      <c r="CW30" s="22">
        <f t="shared" si="13"/>
        <v>195.62066023538262</v>
      </c>
      <c r="CX30" s="62">
        <f t="shared" si="14"/>
        <v>428.13850310794612</v>
      </c>
      <c r="CY30" s="62">
        <f ca="1">AVERAGE(OFFSET($CX$3,0,0,'Données projet'!$E$13+1,1))-AVERAGE(OFFSET($H$3,0,0,'Données projet'!$E$13+1,1))</f>
        <v>304.35088214287919</v>
      </c>
      <c r="CZ30" s="62">
        <f t="shared" si="42"/>
        <v>288.72611053217599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6.7307692307692264</v>
      </c>
      <c r="DO30" s="13">
        <f>IF('Données projet'!$A$166&gt;35,DO29+DN30-DW29,IF(A30&lt;'Données projet'!$A$166,$DL$205^A30,IF(A30='Données projet'!$A$166,'Données projet'!$B$166,DO29+DN30-DW29)))</f>
        <v>147.11538461538461</v>
      </c>
      <c r="DP30" s="18">
        <f>DO30*VLOOKUP('Données projet'!$B$14,Paramètres!$A$1:$I$89,3,0)*VLOOKUP('Données projet'!$B$14,Paramètres!$A$1:$I$89,5,0)</f>
        <v>84.915000000000006</v>
      </c>
      <c r="DQ30" s="14">
        <f t="shared" si="43"/>
        <v>23.334725319225143</v>
      </c>
      <c r="DR30" s="22">
        <f t="shared" si="16"/>
        <v>188.53493826431713</v>
      </c>
      <c r="DS30" s="62">
        <f t="shared" si="17"/>
        <v>421.05278113688064</v>
      </c>
      <c r="DT30" s="62">
        <f ca="1">AVERAGE(OFFSET($DS$3,0,0,'Données projet'!$E$14+1,1))-AVERAGE(OFFSET($H$3,0,0,'Données projet'!$E$14+1,1))</f>
        <v>172.86120068224633</v>
      </c>
      <c r="DU30" s="62">
        <f t="shared" si="44"/>
        <v>269.4995727085078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4.8</v>
      </c>
      <c r="EJ30" s="13">
        <f>IF('Données projet'!$A$192&gt;35,EJ29+EI30-ER29,IF(A30&lt;'Données projet'!$A$192,$EG$205^A30,IF(A30='Données projet'!$A$192,'Données projet'!$B$192,EJ29+EI30-ER29)))</f>
        <v>39.599999999999994</v>
      </c>
      <c r="EK30" s="18">
        <f>EJ30*VLOOKUP('Données projet'!$B$15,Paramètres!$A$1:$I$89,3,0)*VLOOKUP('Données projet'!$B$15,Paramètres!$A$1:$I$89,5,0)</f>
        <v>33.359039999999993</v>
      </c>
      <c r="EL30" s="14">
        <f t="shared" si="45"/>
        <v>10.220297845708979</v>
      </c>
      <c r="EM30" s="22">
        <f t="shared" si="19"/>
        <v>75.900680081276448</v>
      </c>
      <c r="EN30" s="62">
        <f t="shared" si="20"/>
        <v>308.41852295383995</v>
      </c>
      <c r="EO30" s="62">
        <f ca="1">AVERAGE(OFFSET($EN$3,0,0,'Données projet'!$E$15+1,1))-AVERAGE(OFFSET($H$3,0,0,'Données projet'!$E$15+1,1))</f>
        <v>346.97972840139914</v>
      </c>
      <c r="EP30" s="62">
        <f t="shared" si="46"/>
        <v>158.41433650660613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6.6</v>
      </c>
      <c r="FE30" s="13">
        <f>IF('Données projet'!$A$218&gt;35,FE29+FD30-FM29,IF(A30&lt;'Données projet'!$A$218,$FB$205^A30,IF(A30='Données projet'!$A$218,'Données projet'!$B$218,FE29+FD30-FM29)))</f>
        <v>93.19999999999996</v>
      </c>
      <c r="FF30" s="18">
        <f>FE30*VLOOKUP('Données projet'!$B$16,Paramètres!$A$1:$I$89,3,0)*VLOOKUP('Données projet'!$B$16,Paramètres!$A$1:$I$89,5,0)</f>
        <v>61.064639999999976</v>
      </c>
      <c r="FG30" s="14">
        <f t="shared" si="47"/>
        <v>17.437167249426885</v>
      </c>
      <c r="FH30" s="22">
        <f t="shared" si="22"/>
        <v>136.72398095941844</v>
      </c>
      <c r="FI30" s="62">
        <f t="shared" si="23"/>
        <v>369.24182383198195</v>
      </c>
      <c r="FJ30" s="62">
        <f ca="1">AVERAGE(OFFSET($FI$3,0,0,'Données projet'!$E$16+1,1))-AVERAGE(OFFSET($H$3,0,0,'Données projet'!$E$16+1,1))</f>
        <v>235.88453308732235</v>
      </c>
      <c r="FK30" s="62">
        <f t="shared" si="48"/>
        <v>220.72810812053521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76.6584</v>
      </c>
      <c r="P31" s="14">
        <f t="shared" si="33"/>
        <v>21.318127749842347</v>
      </c>
      <c r="Q31" s="22">
        <f t="shared" si="2"/>
        <v>170.6424524976421</v>
      </c>
      <c r="R31" s="62">
        <f t="shared" si="0"/>
        <v>405.37392191962618</v>
      </c>
      <c r="S31" s="62">
        <f ca="1">AVERAGE(OFFSET($R$3,0,0,'Données projet'!$E$9+1,1))-AVERAGE(OFFSET($H$3,0,0,'Données projet'!$E$9+1,1))</f>
        <v>442.98179778678298</v>
      </c>
      <c r="T31" s="62">
        <f t="shared" si="34"/>
        <v>251.96153561746942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8.8000000000000007</v>
      </c>
      <c r="AI31" s="14">
        <f>IF('Données projet'!$A$62&gt;35,AI30+AH31-AQ30,IF(A31&lt;'Données projet'!$A$62,$AF$205^A31,IF(A31='Données projet'!$A$62,'Données projet'!$B$62,AI30+AH31-AQ30)))</f>
        <v>143.4</v>
      </c>
      <c r="AJ31" s="14">
        <f>AI31*VLOOKUP('Données projet'!$B$10,Paramètres!$A$1:$I$89,3,0)*VLOOKUP('Données projet'!$B$10,Paramètres!$A$1:$I$89,5,0)</f>
        <v>93.955680000000001</v>
      </c>
      <c r="AK31" s="14">
        <f t="shared" si="35"/>
        <v>25.516838392731955</v>
      </c>
      <c r="AL31" s="22">
        <f t="shared" si="4"/>
        <v>208.08130286734149</v>
      </c>
      <c r="AM31" s="62">
        <f t="shared" si="5"/>
        <v>442.81277228932561</v>
      </c>
      <c r="AN31" s="62">
        <f ca="1">AVERAGE(OFFSET($AM$3,0,0,'Données projet'!$E$10+1,1))-AVERAGE(OFFSET($H$3,0,0,'Données projet'!$E$10+1,1))</f>
        <v>304.35088214287919</v>
      </c>
      <c r="AO31" s="62">
        <f t="shared" si="36"/>
        <v>288.72611053217599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10.364102564102563</v>
      </c>
      <c r="BD31" s="13">
        <f>IF('Données projet'!$A$88&gt;35,BD30+BC31-BL30,IF(A31&lt;'Données projet'!$A$88,$BA$205^A31,IF(A31='Données projet'!$A$88,'Données projet'!$B$88,BD30+BC31-BL30)))</f>
        <v>124.14358974358976</v>
      </c>
      <c r="BE31" s="14">
        <f>BD31*VLOOKUP('Données projet'!$B$11,Paramètres!$A$1:$I$89,3,0)*VLOOKUP('Données projet'!$B$11,Paramètres!$A$1:$I$89,5,0)</f>
        <v>79.402240000000006</v>
      </c>
      <c r="BF31" s="14">
        <f t="shared" si="37"/>
        <v>21.990964964984617</v>
      </c>
      <c r="BG31" s="22">
        <f t="shared" si="7"/>
        <v>176.59316531401487</v>
      </c>
      <c r="BH31" s="62">
        <f t="shared" si="8"/>
        <v>411.32463473599898</v>
      </c>
      <c r="BI31" s="62">
        <f ca="1">AVERAGE(OFFSET($BH$3,0,0,'Données projet'!$E$11+1,1))-AVERAGE(OFFSET($H$3,0,0,'Données projet'!$E$11+1,1))</f>
        <v>285.09561428624352</v>
      </c>
      <c r="BJ31" s="62">
        <f t="shared" si="38"/>
        <v>261.05678516705564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8.8000000000000007</v>
      </c>
      <c r="BY31" s="13">
        <f>IF('Données projet'!$A$114&gt;35,BY30+BX31-CG30,IF(A31&lt;'Données projet'!$A$114,$BV$205^A31,IF(A31='Données projet'!$A$114,'Données projet'!$B$114,BY30+BX31-CG30)))</f>
        <v>128.39999999999998</v>
      </c>
      <c r="BZ31" s="14">
        <f>BY31*VLOOKUP('Données projet'!$B$12,Paramètres!$A$1:$I$89,3,0)*VLOOKUP('Données projet'!$B$12,Paramètres!$A$1:$I$89,5,0)</f>
        <v>104.15807999999998</v>
      </c>
      <c r="CA31" s="14">
        <f t="shared" si="39"/>
        <v>27.950241801489337</v>
      </c>
      <c r="CB31" s="22">
        <f t="shared" si="10"/>
        <v>230.08866047092724</v>
      </c>
      <c r="CC31" s="62">
        <f t="shared" si="11"/>
        <v>464.82012989291132</v>
      </c>
      <c r="CD31" s="62">
        <f ca="1">AVERAGE(OFFSET($CC$3,0,0,'Données projet'!$E$12+1,1))-AVERAGE(OFFSET($H$3,0,0,'Données projet'!$E$12+1,1))</f>
        <v>272.69564942740931</v>
      </c>
      <c r="CE31" s="62">
        <f t="shared" si="40"/>
        <v>316.57989180609252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8.8000000000000007</v>
      </c>
      <c r="CT31" s="13">
        <f>IF('Données projet'!$A$140&gt;35,CT30+CS31-DB30,IF(A31&lt;'Données projet'!$A$140,$CQ$205^A31,IF(A31='Données projet'!$A$140,'Données projet'!$B$140,CT30+CS31-DB30)))</f>
        <v>143.4</v>
      </c>
      <c r="CU31" s="18">
        <f>CT31*VLOOKUP('Données projet'!$B$13,Paramètres!$A$1:$I$89,3,0)*VLOOKUP('Données projet'!$B$13,Paramètres!$A$1:$I$89,5,0)</f>
        <v>93.955680000000001</v>
      </c>
      <c r="CV31" s="14">
        <f t="shared" si="41"/>
        <v>25.516838392731955</v>
      </c>
      <c r="CW31" s="22">
        <f t="shared" si="13"/>
        <v>208.08130286734149</v>
      </c>
      <c r="CX31" s="62">
        <f t="shared" si="14"/>
        <v>442.81277228932561</v>
      </c>
      <c r="CY31" s="62">
        <f ca="1">AVERAGE(OFFSET($CX$3,0,0,'Données projet'!$E$13+1,1))-AVERAGE(OFFSET($H$3,0,0,'Données projet'!$E$13+1,1))</f>
        <v>304.35088214287919</v>
      </c>
      <c r="CZ31" s="62">
        <f t="shared" si="42"/>
        <v>288.72611053217599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>
        <f>VLOOKUP(A31,'Données projet'!$A$165:$I$185,2,0)</f>
        <v>153.84615384615384</v>
      </c>
      <c r="DM31" s="13">
        <f>VLOOKUP(A31,'Données projet'!$A$165:$I$185,9,0)</f>
        <v>6.7307692307692264</v>
      </c>
      <c r="DN31" s="13">
        <f t="array" ref="DN31">INDEX(DM:DM,MIN(IF(ISNUMBER(DM31:DM227),ROW(DM31:DM227),"")))</f>
        <v>6.7307692307692264</v>
      </c>
      <c r="DO31" s="13">
        <f>IF('Données projet'!$A$166&gt;35,DO30+DN31-DW30,IF(A31&lt;'Données projet'!$A$166,$DL$205^A31,IF(A31='Données projet'!$A$166,'Données projet'!$B$166,DO30+DN31-DW30)))</f>
        <v>153.84615384615384</v>
      </c>
      <c r="DP31" s="18">
        <f>DO31*VLOOKUP('Données projet'!$B$14,Paramètres!$A$1:$I$89,3,0)*VLOOKUP('Données projet'!$B$14,Paramètres!$A$1:$I$89,5,0)</f>
        <v>88.8</v>
      </c>
      <c r="DQ31" s="14">
        <f t="shared" si="43"/>
        <v>24.275588184572914</v>
      </c>
      <c r="DR31" s="22">
        <f t="shared" si="16"/>
        <v>196.93998275479782</v>
      </c>
      <c r="DS31" s="62">
        <f t="shared" si="17"/>
        <v>431.67145217678194</v>
      </c>
      <c r="DT31" s="62">
        <f ca="1">AVERAGE(OFFSET($DS$3,0,0,'Données projet'!$E$14+1,1))-AVERAGE(OFFSET($H$3,0,0,'Données projet'!$E$14+1,1))</f>
        <v>172.86120068224633</v>
      </c>
      <c r="DU31" s="62">
        <f t="shared" si="44"/>
        <v>269.4995727085078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4.8</v>
      </c>
      <c r="EJ31" s="13">
        <f>IF('Données projet'!$A$192&gt;35,EJ30+EI31-ER30,IF(A31&lt;'Données projet'!$A$192,$EG$205^A31,IF(A31='Données projet'!$A$192,'Données projet'!$B$192,EJ30+EI31-ER30)))</f>
        <v>44.399999999999991</v>
      </c>
      <c r="EK31" s="18">
        <f>EJ31*VLOOKUP('Données projet'!$B$15,Paramètres!$A$1:$I$89,3,0)*VLOOKUP('Données projet'!$B$15,Paramètres!$A$1:$I$89,5,0)</f>
        <v>37.402559999999994</v>
      </c>
      <c r="EL31" s="14">
        <f t="shared" si="45"/>
        <v>11.307528174903936</v>
      </c>
      <c r="EM31" s="22">
        <f t="shared" si="19"/>
        <v>84.836736904624345</v>
      </c>
      <c r="EN31" s="62">
        <f t="shared" si="20"/>
        <v>319.56820632660845</v>
      </c>
      <c r="EO31" s="62">
        <f ca="1">AVERAGE(OFFSET($EN$3,0,0,'Données projet'!$E$15+1,1))-AVERAGE(OFFSET($H$3,0,0,'Données projet'!$E$15+1,1))</f>
        <v>346.97972840139914</v>
      </c>
      <c r="EP31" s="62">
        <f t="shared" si="46"/>
        <v>158.41433650660613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6.6</v>
      </c>
      <c r="FE31" s="13">
        <f>IF('Données projet'!$A$218&gt;35,FE30+FD31-FM30,IF(A31&lt;'Données projet'!$A$218,$FB$205^A31,IF(A31='Données projet'!$A$218,'Données projet'!$B$218,FE30+FD31-FM30)))</f>
        <v>99.799999999999955</v>
      </c>
      <c r="FF31" s="18">
        <f>FE31*VLOOKUP('Données projet'!$B$16,Paramètres!$A$1:$I$89,3,0)*VLOOKUP('Données projet'!$B$16,Paramètres!$A$1:$I$89,5,0)</f>
        <v>65.388959999999969</v>
      </c>
      <c r="FG31" s="14">
        <f t="shared" si="47"/>
        <v>18.523872336801272</v>
      </c>
      <c r="FH31" s="22">
        <f t="shared" si="22"/>
        <v>146.14818298659551</v>
      </c>
      <c r="FI31" s="62">
        <f t="shared" si="23"/>
        <v>380.8796524085796</v>
      </c>
      <c r="FJ31" s="62">
        <f ca="1">AVERAGE(OFFSET($FI$3,0,0,'Données projet'!$E$16+1,1))-AVERAGE(OFFSET($H$3,0,0,'Données projet'!$E$16+1,1))</f>
        <v>235.88453308732235</v>
      </c>
      <c r="FK31" s="62">
        <f t="shared" si="48"/>
        <v>220.72810812053521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82.555199999999999</v>
      </c>
      <c r="P32" s="14">
        <f t="shared" si="33"/>
        <v>22.760796016854769</v>
      </c>
      <c r="Q32" s="22">
        <f t="shared" si="2"/>
        <v>183.42535972935536</v>
      </c>
      <c r="R32" s="62">
        <f t="shared" si="0"/>
        <v>420.3532570521312</v>
      </c>
      <c r="S32" s="62">
        <f ca="1">AVERAGE(OFFSET($R$3,0,0,'Données projet'!$E$9+1,1))-AVERAGE(OFFSET($H$3,0,0,'Données projet'!$E$9+1,1))</f>
        <v>442.98179778678298</v>
      </c>
      <c r="T32" s="62">
        <f t="shared" si="34"/>
        <v>251.96153561746942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8.8000000000000007</v>
      </c>
      <c r="AI32" s="14">
        <f>IF('Données projet'!$A$62&gt;35,AI31+AH32-AQ31,IF(A32&lt;'Données projet'!$A$62,$AF$205^A32,IF(A32='Données projet'!$A$62,'Données projet'!$B$62,AI31+AH32-AQ31)))</f>
        <v>152.20000000000002</v>
      </c>
      <c r="AJ32" s="14">
        <f>AI32*VLOOKUP('Données projet'!$B$10,Paramètres!$A$1:$I$89,3,0)*VLOOKUP('Données projet'!$B$10,Paramètres!$A$1:$I$89,5,0)</f>
        <v>99.721440000000015</v>
      </c>
      <c r="AK32" s="14">
        <f t="shared" si="35"/>
        <v>26.895623699520389</v>
      </c>
      <c r="AL32" s="22">
        <f t="shared" si="4"/>
        <v>220.52471927666468</v>
      </c>
      <c r="AM32" s="62">
        <f t="shared" si="5"/>
        <v>457.45261659944049</v>
      </c>
      <c r="AN32" s="62">
        <f ca="1">AVERAGE(OFFSET($AM$3,0,0,'Données projet'!$E$10+1,1))-AVERAGE(OFFSET($H$3,0,0,'Données projet'!$E$10+1,1))</f>
        <v>304.35088214287919</v>
      </c>
      <c r="AO32" s="62">
        <f t="shared" si="36"/>
        <v>288.72611053217599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10.364102564102563</v>
      </c>
      <c r="BD32" s="13">
        <f>IF('Données projet'!$A$88&gt;35,BD31+BC32-BL31,IF(A32&lt;'Données projet'!$A$88,$BA$205^A32,IF(A32='Données projet'!$A$88,'Données projet'!$B$88,BD31+BC32-BL31)))</f>
        <v>134.50769230769231</v>
      </c>
      <c r="BE32" s="14">
        <f>BD32*VLOOKUP('Données projet'!$B$11,Paramètres!$A$1:$I$89,3,0)*VLOOKUP('Données projet'!$B$11,Paramètres!$A$1:$I$89,5,0)</f>
        <v>86.031120000000001</v>
      </c>
      <c r="BF32" s="14">
        <f t="shared" si="37"/>
        <v>23.605528735299998</v>
      </c>
      <c r="BG32" s="22">
        <f t="shared" si="7"/>
        <v>190.95049654731417</v>
      </c>
      <c r="BH32" s="62">
        <f t="shared" si="8"/>
        <v>427.87839387009001</v>
      </c>
      <c r="BI32" s="62">
        <f ca="1">AVERAGE(OFFSET($BH$3,0,0,'Données projet'!$E$11+1,1))-AVERAGE(OFFSET($H$3,0,0,'Données projet'!$E$11+1,1))</f>
        <v>285.09561428624352</v>
      </c>
      <c r="BJ32" s="62">
        <f t="shared" si="38"/>
        <v>261.05678516705564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8.8000000000000007</v>
      </c>
      <c r="BY32" s="13">
        <f>IF('Données projet'!$A$114&gt;35,BY31+BX32-CG31,IF(A32&lt;'Données projet'!$A$114,$BV$205^A32,IF(A32='Données projet'!$A$114,'Données projet'!$B$114,BY31+BX32-CG31)))</f>
        <v>137.19999999999999</v>
      </c>
      <c r="BZ32" s="14">
        <f>BY32*VLOOKUP('Données projet'!$B$12,Paramètres!$A$1:$I$89,3,0)*VLOOKUP('Données projet'!$B$12,Paramètres!$A$1:$I$89,5,0)</f>
        <v>111.29664</v>
      </c>
      <c r="CA32" s="14">
        <f t="shared" si="39"/>
        <v>29.636274399319777</v>
      </c>
      <c r="CB32" s="22">
        <f t="shared" si="10"/>
        <v>245.45815924548194</v>
      </c>
      <c r="CC32" s="62">
        <f t="shared" si="11"/>
        <v>482.3860565682578</v>
      </c>
      <c r="CD32" s="62">
        <f ca="1">AVERAGE(OFFSET($CC$3,0,0,'Données projet'!$E$12+1,1))-AVERAGE(OFFSET($H$3,0,0,'Données projet'!$E$12+1,1))</f>
        <v>272.69564942740931</v>
      </c>
      <c r="CE32" s="62">
        <f t="shared" si="40"/>
        <v>316.57989180609252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8.8000000000000007</v>
      </c>
      <c r="CT32" s="13">
        <f>IF('Données projet'!$A$140&gt;35,CT31+CS32-DB31,IF(A32&lt;'Données projet'!$A$140,$CQ$205^A32,IF(A32='Données projet'!$A$140,'Données projet'!$B$140,CT31+CS32-DB31)))</f>
        <v>152.20000000000002</v>
      </c>
      <c r="CU32" s="18">
        <f>CT32*VLOOKUP('Données projet'!$B$13,Paramètres!$A$1:$I$89,3,0)*VLOOKUP('Données projet'!$B$13,Paramètres!$A$1:$I$89,5,0)</f>
        <v>99.721440000000015</v>
      </c>
      <c r="CV32" s="14">
        <f t="shared" si="41"/>
        <v>26.895623699520389</v>
      </c>
      <c r="CW32" s="22">
        <f t="shared" si="13"/>
        <v>220.52471927666468</v>
      </c>
      <c r="CX32" s="62">
        <f t="shared" si="14"/>
        <v>457.45261659944049</v>
      </c>
      <c r="CY32" s="62">
        <f ca="1">AVERAGE(OFFSET($CX$3,0,0,'Données projet'!$E$13+1,1))-AVERAGE(OFFSET($H$3,0,0,'Données projet'!$E$13+1,1))</f>
        <v>304.35088214287919</v>
      </c>
      <c r="CZ32" s="62">
        <f t="shared" si="42"/>
        <v>288.72611053217599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6.7307692307692264</v>
      </c>
      <c r="DO32" s="13">
        <f>IF('Données projet'!$A$166&gt;35,DO31+DN32-DW31,IF(A32&lt;'Données projet'!$A$166,$DL$205^A32,IF(A32='Données projet'!$A$166,'Données projet'!$B$166,DO31+DN32-DW31)))</f>
        <v>160.57692307692307</v>
      </c>
      <c r="DP32" s="18">
        <f>DO32*VLOOKUP('Données projet'!$B$14,Paramètres!$A$1:$I$89,3,0)*VLOOKUP('Données projet'!$B$14,Paramètres!$A$1:$I$89,5,0)</f>
        <v>92.684999999999988</v>
      </c>
      <c r="DQ32" s="14">
        <f t="shared" si="43"/>
        <v>25.211670274535205</v>
      </c>
      <c r="DR32" s="22">
        <f t="shared" si="16"/>
        <v>205.3367007281488</v>
      </c>
      <c r="DS32" s="62">
        <f t="shared" si="17"/>
        <v>442.26459805092463</v>
      </c>
      <c r="DT32" s="62">
        <f ca="1">AVERAGE(OFFSET($DS$3,0,0,'Données projet'!$E$14+1,1))-AVERAGE(OFFSET($H$3,0,0,'Données projet'!$E$14+1,1))</f>
        <v>172.86120068224633</v>
      </c>
      <c r="DU32" s="62">
        <f t="shared" si="44"/>
        <v>269.4995727085078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4.8</v>
      </c>
      <c r="EJ32" s="13">
        <f>IF('Données projet'!$A$192&gt;35,EJ31+EI32-ER31,IF(A32&lt;'Données projet'!$A$192,$EG$205^A32,IF(A32='Données projet'!$A$192,'Données projet'!$B$192,EJ31+EI32-ER31)))</f>
        <v>49.199999999999989</v>
      </c>
      <c r="EK32" s="18">
        <f>EJ32*VLOOKUP('Données projet'!$B$15,Paramètres!$A$1:$I$89,3,0)*VLOOKUP('Données projet'!$B$15,Paramètres!$A$1:$I$89,5,0)</f>
        <v>41.446079999999995</v>
      </c>
      <c r="EL32" s="14">
        <f t="shared" si="45"/>
        <v>12.381134769852888</v>
      </c>
      <c r="EM32" s="22">
        <f t="shared" si="19"/>
        <v>93.749065724160445</v>
      </c>
      <c r="EN32" s="62">
        <f t="shared" si="20"/>
        <v>330.67696304693629</v>
      </c>
      <c r="EO32" s="62">
        <f ca="1">AVERAGE(OFFSET($EN$3,0,0,'Données projet'!$E$15+1,1))-AVERAGE(OFFSET($H$3,0,0,'Données projet'!$E$15+1,1))</f>
        <v>346.97972840139914</v>
      </c>
      <c r="EP32" s="62">
        <f t="shared" si="46"/>
        <v>158.41433650660613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6.6</v>
      </c>
      <c r="FE32" s="13">
        <f>IF('Données projet'!$A$218&gt;35,FE31+FD32-FM31,IF(A32&lt;'Données projet'!$A$218,$FB$205^A32,IF(A32='Données projet'!$A$218,'Données projet'!$B$218,FE31+FD32-FM31)))</f>
        <v>106.39999999999995</v>
      </c>
      <c r="FF32" s="18">
        <f>FE32*VLOOKUP('Données projet'!$B$16,Paramètres!$A$1:$I$89,3,0)*VLOOKUP('Données projet'!$B$16,Paramètres!$A$1:$I$89,5,0)</f>
        <v>69.713279999999955</v>
      </c>
      <c r="FG32" s="14">
        <f t="shared" si="47"/>
        <v>19.602237890359675</v>
      </c>
      <c r="FH32" s="22">
        <f t="shared" si="22"/>
        <v>155.55786032570967</v>
      </c>
      <c r="FI32" s="62">
        <f t="shared" si="23"/>
        <v>392.4857576484855</v>
      </c>
      <c r="FJ32" s="62">
        <f ca="1">AVERAGE(OFFSET($FI$3,0,0,'Données projet'!$E$16+1,1))-AVERAGE(OFFSET($H$3,0,0,'Données projet'!$E$16+1,1))</f>
        <v>235.88453308732235</v>
      </c>
      <c r="FK32" s="62">
        <f t="shared" si="48"/>
        <v>220.72810812053521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88.452000000000012</v>
      </c>
      <c r="P33" s="14">
        <f t="shared" si="33"/>
        <v>24.191508526943956</v>
      </c>
      <c r="Q33" s="22">
        <f t="shared" si="2"/>
        <v>196.18744401776075</v>
      </c>
      <c r="R33" s="62">
        <f t="shared" si="0"/>
        <v>435.29486895080277</v>
      </c>
      <c r="S33" s="62">
        <f ca="1">AVERAGE(OFFSET($R$3,0,0,'Données projet'!$E$9+1,1))-AVERAGE(OFFSET($H$3,0,0,'Données projet'!$E$9+1,1))</f>
        <v>442.98179778678298</v>
      </c>
      <c r="T33" s="62">
        <f t="shared" si="34"/>
        <v>251.96153561746942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161</v>
      </c>
      <c r="AG33" s="13">
        <f>VLOOKUP(A33,'Données projet'!$A$61:$I$81,9,0)</f>
        <v>8.8000000000000007</v>
      </c>
      <c r="AH33" s="13">
        <f t="array" ref="AH33">INDEX(AG:AG,MIN(IF(ISNUMBER(AG33:AG229),ROW(AG33:AG229),"")))</f>
        <v>8.8000000000000007</v>
      </c>
      <c r="AI33" s="14">
        <f>IF('Données projet'!$A$62&gt;35,AI32+AH33-AQ32,IF(A33&lt;'Données projet'!$A$62,$AF$205^A33,IF(A33='Données projet'!$A$62,'Données projet'!$B$62,AI32+AH33-AQ32)))</f>
        <v>161.00000000000003</v>
      </c>
      <c r="AJ33" s="14">
        <f>AI33*VLOOKUP('Données projet'!$B$10,Paramètres!$A$1:$I$89,3,0)*VLOOKUP('Données projet'!$B$10,Paramètres!$A$1:$I$89,5,0)</f>
        <v>105.48720000000002</v>
      </c>
      <c r="AK33" s="14">
        <f t="shared" si="35"/>
        <v>28.265155367923839</v>
      </c>
      <c r="AL33" s="22">
        <f t="shared" si="4"/>
        <v>232.95201893246738</v>
      </c>
      <c r="AM33" s="62">
        <f t="shared" si="5"/>
        <v>472.05944386550937</v>
      </c>
      <c r="AN33" s="62">
        <f ca="1">AVERAGE(OFFSET($AM$3,0,0,'Données projet'!$E$10+1,1))-AVERAGE(OFFSET($H$3,0,0,'Données projet'!$E$10+1,1))</f>
        <v>304.35088214287919</v>
      </c>
      <c r="AO33" s="62">
        <f t="shared" si="36"/>
        <v>288.72611053217599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144.87179487179486</v>
      </c>
      <c r="BB33" s="13">
        <f>VLOOKUP(A33,'Données projet'!$A$87:$I$107,9,0)</f>
        <v>10.364102564102563</v>
      </c>
      <c r="BC33" s="13">
        <f t="array" ref="BC33">INDEX(BB:BB,MIN(IF(ISNUMBER(BB33:BB229),ROW(BB33:BB229),"")))</f>
        <v>10.364102564102563</v>
      </c>
      <c r="BD33" s="13">
        <f>IF('Données projet'!$A$88&gt;35,BD32+BC33-BL32,IF(A33&lt;'Données projet'!$A$88,$BA$205^A33,IF(A33='Données projet'!$A$88,'Données projet'!$B$88,BD32+BC33-BL32)))</f>
        <v>144.87179487179486</v>
      </c>
      <c r="BE33" s="14">
        <f>BD33*VLOOKUP('Données projet'!$B$11,Paramètres!$A$1:$I$89,3,0)*VLOOKUP('Données projet'!$B$11,Paramètres!$A$1:$I$89,5,0)</f>
        <v>92.66</v>
      </c>
      <c r="BF33" s="14">
        <f t="shared" si="37"/>
        <v>25.205661378381041</v>
      </c>
      <c r="BG33" s="22">
        <f t="shared" si="7"/>
        <v>205.28269356734697</v>
      </c>
      <c r="BH33" s="62">
        <f t="shared" si="8"/>
        <v>444.39011850038895</v>
      </c>
      <c r="BI33" s="62">
        <f ca="1">AVERAGE(OFFSET($BH$3,0,0,'Données projet'!$E$11+1,1))-AVERAGE(OFFSET($H$3,0,0,'Données projet'!$E$11+1,1))</f>
        <v>285.09561428624352</v>
      </c>
      <c r="BJ33" s="62">
        <f t="shared" si="38"/>
        <v>261.05678516705564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</v>
      </c>
      <c r="BW33" s="13">
        <f>VLOOKUP(A33,'Données projet'!$A$113:$I$133,9,0)</f>
        <v>8.8000000000000007</v>
      </c>
      <c r="BX33" s="13">
        <f t="array" ref="BX33">INDEX(BW:BW,MIN(IF(ISNUMBER(BW33:BW229),ROW(BW33:BW229),"")))</f>
        <v>8.8000000000000007</v>
      </c>
      <c r="BY33" s="13">
        <f>IF('Données projet'!$A$114&gt;35,BY32+BX33-CG32,IF(A33&lt;'Données projet'!$A$114,$BV$205^A33,IF(A33='Données projet'!$A$114,'Données projet'!$B$114,BY32+BX33-CG32)))</f>
        <v>146</v>
      </c>
      <c r="BZ33" s="14">
        <f>BY33*VLOOKUP('Données projet'!$B$12,Paramètres!$A$1:$I$89,3,0)*VLOOKUP('Données projet'!$B$12,Paramètres!$A$1:$I$89,5,0)</f>
        <v>118.43520000000001</v>
      </c>
      <c r="CA33" s="14">
        <f t="shared" si="39"/>
        <v>31.309757056296963</v>
      </c>
      <c r="CB33" s="22">
        <f t="shared" si="10"/>
        <v>260.80580020638394</v>
      </c>
      <c r="CC33" s="62">
        <f t="shared" si="11"/>
        <v>499.91322513942589</v>
      </c>
      <c r="CD33" s="62">
        <f ca="1">AVERAGE(OFFSET($CC$3,0,0,'Données projet'!$E$12+1,1))-AVERAGE(OFFSET($H$3,0,0,'Données projet'!$E$12+1,1))</f>
        <v>272.69564942740931</v>
      </c>
      <c r="CE33" s="62">
        <f t="shared" si="40"/>
        <v>316.57989180609252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161</v>
      </c>
      <c r="CR33" s="13">
        <f>VLOOKUP(A33,'Données projet'!$A$139:$I$159,9,0)</f>
        <v>8.8000000000000007</v>
      </c>
      <c r="CS33" s="13">
        <f t="array" ref="CS33">INDEX(CR:CR,MIN(IF(ISNUMBER(CR33:CR229),ROW(CR33:CR229),"")))</f>
        <v>8.8000000000000007</v>
      </c>
      <c r="CT33" s="13">
        <f>IF('Données projet'!$A$140&gt;35,CT32+CS33-DB32,IF(A33&lt;'Données projet'!$A$140,$CQ$205^A33,IF(A33='Données projet'!$A$140,'Données projet'!$B$140,CT32+CS33-DB32)))</f>
        <v>161.00000000000003</v>
      </c>
      <c r="CU33" s="18">
        <f>CT33*VLOOKUP('Données projet'!$B$13,Paramètres!$A$1:$I$89,3,0)*VLOOKUP('Données projet'!$B$13,Paramètres!$A$1:$I$89,5,0)</f>
        <v>105.48720000000002</v>
      </c>
      <c r="CV33" s="14">
        <f t="shared" si="41"/>
        <v>28.265155367923839</v>
      </c>
      <c r="CW33" s="22">
        <f t="shared" si="13"/>
        <v>232.95201893246738</v>
      </c>
      <c r="CX33" s="62">
        <f t="shared" si="14"/>
        <v>472.05944386550937</v>
      </c>
      <c r="CY33" s="62">
        <f ca="1">AVERAGE(OFFSET($CX$3,0,0,'Données projet'!$E$13+1,1))-AVERAGE(OFFSET($H$3,0,0,'Données projet'!$E$13+1,1))</f>
        <v>304.35088214287919</v>
      </c>
      <c r="CZ33" s="62">
        <f t="shared" si="42"/>
        <v>288.72611053217599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167.30769230769229</v>
      </c>
      <c r="DM33" s="13">
        <f>VLOOKUP(A33,'Données projet'!$A$165:$I$185,9,0)</f>
        <v>6.7307692307692264</v>
      </c>
      <c r="DN33" s="13">
        <f t="array" ref="DN33">INDEX(DM:DM,MIN(IF(ISNUMBER(DM33:DM229),ROW(DM33:DM229),"")))</f>
        <v>6.7307692307692264</v>
      </c>
      <c r="DO33" s="13">
        <f>IF('Données projet'!$A$166&gt;35,DO32+DN33-DW32,IF(A33&lt;'Données projet'!$A$166,$DL$205^A33,IF(A33='Données projet'!$A$166,'Données projet'!$B$166,DO32+DN33-DW32)))</f>
        <v>167.30769230769229</v>
      </c>
      <c r="DP33" s="18">
        <f>DO33*VLOOKUP('Données projet'!$B$14,Paramètres!$A$1:$I$89,3,0)*VLOOKUP('Données projet'!$B$14,Paramètres!$A$1:$I$89,5,0)</f>
        <v>96.57</v>
      </c>
      <c r="DQ33" s="14">
        <f t="shared" si="43"/>
        <v>26.143194895004324</v>
      </c>
      <c r="DR33" s="22">
        <f t="shared" si="16"/>
        <v>213.72548110879916</v>
      </c>
      <c r="DS33" s="62">
        <f t="shared" si="17"/>
        <v>452.83290604184117</v>
      </c>
      <c r="DT33" s="62">
        <f ca="1">AVERAGE(OFFSET($DS$3,0,0,'Données projet'!$E$14+1,1))-AVERAGE(OFFSET($H$3,0,0,'Données projet'!$E$14+1,1))</f>
        <v>172.86120068224633</v>
      </c>
      <c r="DU33" s="62">
        <f t="shared" si="44"/>
        <v>269.4995727085078</v>
      </c>
      <c r="DV33" s="16">
        <f>IF(ISNA(VLOOKUP(A33,'Données projet'!$A$165:$I$185,3,0)),0,VLOOKUP(A33,'Données projet'!$A$165:$I$185,3,0))</f>
        <v>6</v>
      </c>
      <c r="DW33" s="16">
        <f>IF(ISNA(VLOOKUP(A33,'Données projet'!$A$165:$I$185,4,0)),0,VLOOKUP(A33,'Données projet'!$A$165:$I$185,4,0))</f>
        <v>14.743589743589743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54</v>
      </c>
      <c r="EH33" s="13">
        <f>VLOOKUP(A33,'Données projet'!$A$191:$I$211,9,0)</f>
        <v>4.8</v>
      </c>
      <c r="EI33" s="13">
        <f t="array" ref="EI33">INDEX(EH:EH,MIN(IF(ISNUMBER(EH33:EH229),ROW(EH33:EH229),"")))</f>
        <v>4.8</v>
      </c>
      <c r="EJ33" s="13">
        <f>IF('Données projet'!$A$192&gt;35,EJ32+EI33-ER32,IF(A33&lt;'Données projet'!$A$192,$EG$205^A33,IF(A33='Données projet'!$A$192,'Données projet'!$B$192,EJ32+EI33-ER32)))</f>
        <v>53.999999999999986</v>
      </c>
      <c r="EK33" s="18">
        <f>EJ33*VLOOKUP('Données projet'!$B$15,Paramètres!$A$1:$I$89,3,0)*VLOOKUP('Données projet'!$B$15,Paramètres!$A$1:$I$89,5,0)</f>
        <v>45.489599999999989</v>
      </c>
      <c r="EL33" s="14">
        <f t="shared" si="45"/>
        <v>13.442598032668439</v>
      </c>
      <c r="EM33" s="22">
        <f t="shared" si="19"/>
        <v>102.64024490689751</v>
      </c>
      <c r="EN33" s="62">
        <f t="shared" si="20"/>
        <v>341.74766983993948</v>
      </c>
      <c r="EO33" s="62">
        <f ca="1">AVERAGE(OFFSET($EN$3,0,0,'Données projet'!$E$15+1,1))-AVERAGE(OFFSET($H$3,0,0,'Données projet'!$E$15+1,1))</f>
        <v>346.97972840139914</v>
      </c>
      <c r="EP33" s="62">
        <f t="shared" si="46"/>
        <v>158.41433650660613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113</v>
      </c>
      <c r="FC33" s="13">
        <f>VLOOKUP(A33,'Données projet'!$A$217:$I$237,9,0)</f>
        <v>6.6</v>
      </c>
      <c r="FD33" s="13">
        <f t="array" ref="FD33">INDEX(FC:FC,MIN(IF(ISNUMBER(FC33:FC229),ROW(FC33:FC229),"")))</f>
        <v>6.6</v>
      </c>
      <c r="FE33" s="13">
        <f>IF('Données projet'!$A$218&gt;35,FE32+FD33-FM32,IF(A33&lt;'Données projet'!$A$218,$FB$205^A33,IF(A33='Données projet'!$A$218,'Données projet'!$B$218,FE32+FD33-FM32)))</f>
        <v>112.99999999999994</v>
      </c>
      <c r="FF33" s="18">
        <f>FE33*VLOOKUP('Données projet'!$B$16,Paramètres!$A$1:$I$89,3,0)*VLOOKUP('Données projet'!$B$16,Paramètres!$A$1:$I$89,5,0)</f>
        <v>74.037599999999955</v>
      </c>
      <c r="FG33" s="14">
        <f t="shared" si="47"/>
        <v>20.672840107651652</v>
      </c>
      <c r="FH33" s="22">
        <f t="shared" si="22"/>
        <v>164.95401652082657</v>
      </c>
      <c r="FI33" s="62">
        <f t="shared" si="23"/>
        <v>404.06144145386855</v>
      </c>
      <c r="FJ33" s="62">
        <f ca="1">AVERAGE(OFFSET($FI$3,0,0,'Données projet'!$E$16+1,1))-AVERAGE(OFFSET($H$3,0,0,'Données projet'!$E$16+1,1))</f>
        <v>235.88453308732235</v>
      </c>
      <c r="FK33" s="62">
        <f t="shared" si="48"/>
        <v>220.72810812053521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70.761600000000001</v>
      </c>
      <c r="P34" s="14">
        <f t="shared" si="33"/>
        <v>19.862470414169767</v>
      </c>
      <c r="Q34" s="22">
        <f t="shared" si="2"/>
        <v>157.83692263801234</v>
      </c>
      <c r="R34" s="62">
        <f t="shared" si="0"/>
        <v>397.8850458508299</v>
      </c>
      <c r="S34" s="62">
        <f ca="1">AVERAGE(OFFSET($R$3,0,0,'Données projet'!$E$9+1,1))-AVERAGE(OFFSET($H$3,0,0,'Données projet'!$E$9+1,1))</f>
        <v>442.98179778678298</v>
      </c>
      <c r="T34" s="62">
        <f t="shared" si="34"/>
        <v>251.96153561746942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169.60000000000002</v>
      </c>
      <c r="AJ34" s="14">
        <f>AI34*VLOOKUP('Données projet'!$B$10,Paramètres!$A$1:$I$89,3,0)*VLOOKUP('Données projet'!$B$10,Paramètres!$A$1:$I$89,5,0)</f>
        <v>111.12192000000003</v>
      </c>
      <c r="AK34" s="14">
        <f t="shared" si="35"/>
        <v>29.595161360044589</v>
      </c>
      <c r="AL34" s="22">
        <f t="shared" si="4"/>
        <v>245.08225003541108</v>
      </c>
      <c r="AM34" s="62">
        <f t="shared" si="5"/>
        <v>485.13037324822864</v>
      </c>
      <c r="AN34" s="62">
        <f ca="1">AVERAGE(OFFSET($AM$3,0,0,'Données projet'!$E$10+1,1))-AVERAGE(OFFSET($H$3,0,0,'Données projet'!$E$10+1,1))</f>
        <v>304.35088214287919</v>
      </c>
      <c r="AO34" s="62">
        <f t="shared" si="36"/>
        <v>288.72611053217599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7.9487179487179507</v>
      </c>
      <c r="BD34" s="13">
        <f>IF('Données projet'!$A$88&gt;35,BD33+BC34-BL33,IF(A34&lt;'Données projet'!$A$88,$BA$205^A34,IF(A34='Données projet'!$A$88,'Données projet'!$B$88,BD33+BC34-BL33)))</f>
        <v>152.82051282051282</v>
      </c>
      <c r="BE34" s="14">
        <f>BD34*VLOOKUP('Données projet'!$B$11,Paramètres!$A$1:$I$89,3,0)*VLOOKUP('Données projet'!$B$11,Paramètres!$A$1:$I$89,5,0)</f>
        <v>97.744</v>
      </c>
      <c r="BF34" s="14">
        <f t="shared" si="37"/>
        <v>26.423824979823074</v>
      </c>
      <c r="BG34" s="22">
        <f t="shared" si="7"/>
        <v>216.25896183985853</v>
      </c>
      <c r="BH34" s="62">
        <f t="shared" si="8"/>
        <v>456.30708505267609</v>
      </c>
      <c r="BI34" s="62">
        <f ca="1">AVERAGE(OFFSET($BH$3,0,0,'Données projet'!$E$11+1,1))-AVERAGE(OFFSET($H$3,0,0,'Données projet'!$E$11+1,1))</f>
        <v>285.09561428624352</v>
      </c>
      <c r="BJ34" s="62">
        <f t="shared" si="38"/>
        <v>261.05678516705564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8.8000000000000007</v>
      </c>
      <c r="BY34" s="13">
        <f>IF('Données projet'!$A$114&gt;35,BY33+BX34-CG33,IF(A34&lt;'Données projet'!$A$114,$BV$205^A34,IF(A34='Données projet'!$A$114,'Données projet'!$B$114,BY33+BX34-CG33)))</f>
        <v>154.80000000000001</v>
      </c>
      <c r="BZ34" s="14">
        <f>BY34*VLOOKUP('Données projet'!$B$12,Paramètres!$A$1:$I$89,3,0)*VLOOKUP('Données projet'!$B$12,Paramètres!$A$1:$I$89,5,0)</f>
        <v>125.57376000000002</v>
      </c>
      <c r="CA34" s="14">
        <f t="shared" si="39"/>
        <v>32.97153235129214</v>
      </c>
      <c r="CB34" s="22">
        <f t="shared" si="10"/>
        <v>276.13305084516719</v>
      </c>
      <c r="CC34" s="62">
        <f t="shared" si="11"/>
        <v>516.18117405798478</v>
      </c>
      <c r="CD34" s="62">
        <f ca="1">AVERAGE(OFFSET($CC$3,0,0,'Données projet'!$E$12+1,1))-AVERAGE(OFFSET($H$3,0,0,'Données projet'!$E$12+1,1))</f>
        <v>272.69564942740931</v>
      </c>
      <c r="CE34" s="62">
        <f t="shared" si="40"/>
        <v>316.57989180609252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169.60000000000002</v>
      </c>
      <c r="CU34" s="18">
        <f>CT34*VLOOKUP('Données projet'!$B$13,Paramètres!$A$1:$I$89,3,0)*VLOOKUP('Données projet'!$B$13,Paramètres!$A$1:$I$89,5,0)</f>
        <v>111.12192000000003</v>
      </c>
      <c r="CV34" s="14">
        <f t="shared" si="41"/>
        <v>29.595161360044589</v>
      </c>
      <c r="CW34" s="22">
        <f t="shared" si="13"/>
        <v>245.08225003541108</v>
      </c>
      <c r="CX34" s="62">
        <f t="shared" si="14"/>
        <v>485.13037324822864</v>
      </c>
      <c r="CY34" s="62">
        <f ca="1">AVERAGE(OFFSET($CX$3,0,0,'Données projet'!$E$13+1,1))-AVERAGE(OFFSET($H$3,0,0,'Données projet'!$E$13+1,1))</f>
        <v>304.35088214287919</v>
      </c>
      <c r="CZ34" s="62">
        <f t="shared" si="42"/>
        <v>288.72611053217599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6.0897435897436054</v>
      </c>
      <c r="DO34" s="13">
        <f>IF('Données projet'!$A$166&gt;35,DO33+DN34-DW33,IF(A34&lt;'Données projet'!$A$166,$DL$205^A34,IF(A34='Données projet'!$A$166,'Données projet'!$B$166,DO33+DN34-DW33)))</f>
        <v>158.65384615384616</v>
      </c>
      <c r="DP34" s="18">
        <f>DO34*VLOOKUP('Données projet'!$B$14,Paramètres!$A$1:$I$89,3,0)*VLOOKUP('Données projet'!$B$14,Paramètres!$A$1:$I$89,5,0)</f>
        <v>91.575000000000003</v>
      </c>
      <c r="DQ34" s="14">
        <f t="shared" si="43"/>
        <v>24.94469268506289</v>
      </c>
      <c r="DR34" s="22">
        <f t="shared" si="16"/>
        <v>202.93846475981786</v>
      </c>
      <c r="DS34" s="62">
        <f t="shared" si="17"/>
        <v>442.98658797263545</v>
      </c>
      <c r="DT34" s="62">
        <f ca="1">AVERAGE(OFFSET($DS$3,0,0,'Données projet'!$E$14+1,1))-AVERAGE(OFFSET($H$3,0,0,'Données projet'!$E$14+1,1))</f>
        <v>172.86120068224633</v>
      </c>
      <c r="DU34" s="62">
        <f t="shared" si="44"/>
        <v>269.4995727085078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5</v>
      </c>
      <c r="EJ34" s="13">
        <f>IF('Données projet'!$A$192&gt;35,EJ33+EI34-ER33,IF(A34&lt;'Données projet'!$A$192,$EG$205^A34,IF(A34='Données projet'!$A$192,'Données projet'!$B$192,EJ33+EI34-ER33)))</f>
        <v>58.999999999999986</v>
      </c>
      <c r="EK34" s="18">
        <f>EJ34*VLOOKUP('Données projet'!$B$15,Paramètres!$A$1:$I$89,3,0)*VLOOKUP('Données projet'!$B$15,Paramètres!$A$1:$I$89,5,0)</f>
        <v>49.701599999999992</v>
      </c>
      <c r="EL34" s="14">
        <f t="shared" si="45"/>
        <v>14.536669735651794</v>
      </c>
      <c r="EM34" s="22">
        <f t="shared" si="19"/>
        <v>111.88165312292686</v>
      </c>
      <c r="EN34" s="62">
        <f t="shared" si="20"/>
        <v>351.92977633574441</v>
      </c>
      <c r="EO34" s="62">
        <f ca="1">AVERAGE(OFFSET($EN$3,0,0,'Données projet'!$E$15+1,1))-AVERAGE(OFFSET($H$3,0,0,'Données projet'!$E$15+1,1))</f>
        <v>346.97972840139914</v>
      </c>
      <c r="EP34" s="62">
        <f t="shared" si="46"/>
        <v>158.41433650660613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6.2</v>
      </c>
      <c r="FE34" s="13">
        <f>IF('Données projet'!$A$218&gt;35,FE33+FD34-FM33,IF(A34&lt;'Données projet'!$A$218,$FB$205^A34,IF(A34='Données projet'!$A$218,'Données projet'!$B$218,FE33+FD34-FM33)))</f>
        <v>119.19999999999995</v>
      </c>
      <c r="FF34" s="18">
        <f>FE34*VLOOKUP('Données projet'!$B$16,Paramètres!$A$1:$I$89,3,0)*VLOOKUP('Données projet'!$B$16,Paramètres!$A$1:$I$89,5,0)</f>
        <v>78.099839999999972</v>
      </c>
      <c r="FG34" s="14">
        <f t="shared" si="47"/>
        <v>21.671937135082647</v>
      </c>
      <c r="FH34" s="22">
        <f t="shared" si="22"/>
        <v>173.76917851026886</v>
      </c>
      <c r="FI34" s="62">
        <f t="shared" si="23"/>
        <v>413.81730172308642</v>
      </c>
      <c r="FJ34" s="62">
        <f ca="1">AVERAGE(OFFSET($FI$3,0,0,'Données projet'!$E$16+1,1))-AVERAGE(OFFSET($H$3,0,0,'Données projet'!$E$16+1,1))</f>
        <v>235.88453308732235</v>
      </c>
      <c r="FK34" s="62">
        <f t="shared" si="48"/>
        <v>220.72810812053521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77.500800000000012</v>
      </c>
      <c r="P35" s="14">
        <f t="shared" si="33"/>
        <v>21.524992579009275</v>
      </c>
      <c r="Q35" s="22">
        <f t="shared" ref="Q35:Q66" si="53">(O35+P35)*0.475*44/12</f>
        <v>172.46992207510786</v>
      </c>
      <c r="R35" s="62">
        <f t="shared" si="0"/>
        <v>413.44242455563318</v>
      </c>
      <c r="S35" s="62">
        <f ca="1">AVERAGE(OFFSET($R$3,0,0,'Données projet'!$E$9+1,1))-AVERAGE(OFFSET($H$3,0,0,'Données projet'!$E$9+1,1))</f>
        <v>442.98179778678298</v>
      </c>
      <c r="T35" s="62">
        <f t="shared" si="34"/>
        <v>251.96153561746942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178.20000000000002</v>
      </c>
      <c r="AJ35" s="14">
        <f>AI35*VLOOKUP('Données projet'!$B$10,Paramètres!$A$1:$I$89,3,0)*VLOOKUP('Données projet'!$B$10,Paramètres!$A$1:$I$89,5,0)</f>
        <v>116.75664000000002</v>
      </c>
      <c r="AK35" s="14">
        <f t="shared" si="35"/>
        <v>30.91733675897062</v>
      </c>
      <c r="AL35" s="22">
        <f t="shared" si="4"/>
        <v>257.19884285520715</v>
      </c>
      <c r="AM35" s="62">
        <f t="shared" si="5"/>
        <v>498.17134533573244</v>
      </c>
      <c r="AN35" s="62">
        <f ca="1">AVERAGE(OFFSET($AM$3,0,0,'Données projet'!$E$10+1,1))-AVERAGE(OFFSET($H$3,0,0,'Données projet'!$E$10+1,1))</f>
        <v>304.35088214287919</v>
      </c>
      <c r="AO35" s="62">
        <f t="shared" si="36"/>
        <v>288.72611053217599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7.9487179487179507</v>
      </c>
      <c r="BD35" s="13">
        <f>IF('Données projet'!$A$88&gt;35,BD34+BC35-BL34,IF(A35&lt;'Données projet'!$A$88,$BA$205^A35,IF(A35='Données projet'!$A$88,'Données projet'!$B$88,BD34+BC35-BL34)))</f>
        <v>160.76923076923077</v>
      </c>
      <c r="BE35" s="14">
        <f>BD35*VLOOKUP('Données projet'!$B$11,Paramètres!$A$1:$I$89,3,0)*VLOOKUP('Données projet'!$B$11,Paramètres!$A$1:$I$89,5,0)</f>
        <v>102.82799999999999</v>
      </c>
      <c r="BF35" s="14">
        <f t="shared" si="37"/>
        <v>27.634632156690234</v>
      </c>
      <c r="BG35" s="22">
        <f t="shared" si="7"/>
        <v>227.22241767290214</v>
      </c>
      <c r="BH35" s="62">
        <f t="shared" si="8"/>
        <v>468.19492015342746</v>
      </c>
      <c r="BI35" s="62">
        <f ca="1">AVERAGE(OFFSET($BH$3,0,0,'Données projet'!$E$11+1,1))-AVERAGE(OFFSET($H$3,0,0,'Données projet'!$E$11+1,1))</f>
        <v>285.09561428624352</v>
      </c>
      <c r="BJ35" s="62">
        <f t="shared" si="38"/>
        <v>261.05678516705564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8.8000000000000007</v>
      </c>
      <c r="BY35" s="13">
        <f>IF('Données projet'!$A$114&gt;35,BY34+BX35-CG34,IF(A35&lt;'Données projet'!$A$114,$BV$205^A35,IF(A35='Données projet'!$A$114,'Données projet'!$B$114,BY34+BX35-CG34)))</f>
        <v>163.60000000000002</v>
      </c>
      <c r="BZ35" s="14">
        <f>BY35*VLOOKUP('Données projet'!$B$12,Paramètres!$A$1:$I$89,3,0)*VLOOKUP('Données projet'!$B$12,Paramètres!$A$1:$I$89,5,0)</f>
        <v>132.71232000000003</v>
      </c>
      <c r="CA35" s="14">
        <f t="shared" si="39"/>
        <v>34.622341655285041</v>
      </c>
      <c r="CB35" s="22">
        <f t="shared" si="10"/>
        <v>291.44120238295483</v>
      </c>
      <c r="CC35" s="62">
        <f t="shared" si="11"/>
        <v>532.41370486348012</v>
      </c>
      <c r="CD35" s="62">
        <f ca="1">AVERAGE(OFFSET($CC$3,0,0,'Données projet'!$E$12+1,1))-AVERAGE(OFFSET($H$3,0,0,'Données projet'!$E$12+1,1))</f>
        <v>272.69564942740931</v>
      </c>
      <c r="CE35" s="62">
        <f t="shared" si="40"/>
        <v>316.57989180609252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178.20000000000002</v>
      </c>
      <c r="CU35" s="18">
        <f>CT35*VLOOKUP('Données projet'!$B$13,Paramètres!$A$1:$I$89,3,0)*VLOOKUP('Données projet'!$B$13,Paramètres!$A$1:$I$89,5,0)</f>
        <v>116.75664000000002</v>
      </c>
      <c r="CV35" s="14">
        <f t="shared" si="41"/>
        <v>30.91733675897062</v>
      </c>
      <c r="CW35" s="22">
        <f t="shared" si="13"/>
        <v>257.19884285520715</v>
      </c>
      <c r="CX35" s="62">
        <f t="shared" si="14"/>
        <v>498.17134533573244</v>
      </c>
      <c r="CY35" s="62">
        <f ca="1">AVERAGE(OFFSET($CX$3,0,0,'Données projet'!$E$13+1,1))-AVERAGE(OFFSET($H$3,0,0,'Données projet'!$E$13+1,1))</f>
        <v>304.35088214287919</v>
      </c>
      <c r="CZ35" s="62">
        <f t="shared" si="42"/>
        <v>288.72611053217599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>
        <f>VLOOKUP(A35,'Données projet'!$A$165:$I$185,2,0)</f>
        <v>164.74358974358975</v>
      </c>
      <c r="DM35" s="13">
        <f>VLOOKUP(A35,'Données projet'!$A$165:$I$185,9,0)</f>
        <v>6.0897435897436054</v>
      </c>
      <c r="DN35" s="13">
        <f t="array" ref="DN35">INDEX(DM:DM,MIN(IF(ISNUMBER(DM35:DM231),ROW(DM35:DM231),"")))</f>
        <v>6.0897435897436054</v>
      </c>
      <c r="DO35" s="13">
        <f>IF('Données projet'!$A$166&gt;35,DO34+DN35-DW34,IF(A35&lt;'Données projet'!$A$166,$DL$205^A35,IF(A35='Données projet'!$A$166,'Données projet'!$B$166,DO34+DN35-DW34)))</f>
        <v>164.74358974358978</v>
      </c>
      <c r="DP35" s="18">
        <f>DO35*VLOOKUP('Données projet'!$B$14,Paramètres!$A$1:$I$89,3,0)*VLOOKUP('Données projet'!$B$14,Paramètres!$A$1:$I$89,5,0)</f>
        <v>95.090000000000018</v>
      </c>
      <c r="DQ35" s="14">
        <f t="shared" si="43"/>
        <v>25.788852370367891</v>
      </c>
      <c r="DR35" s="22">
        <f t="shared" si="16"/>
        <v>210.53066787839077</v>
      </c>
      <c r="DS35" s="62">
        <f t="shared" si="17"/>
        <v>451.50317035891612</v>
      </c>
      <c r="DT35" s="62">
        <f ca="1">AVERAGE(OFFSET($DS$3,0,0,'Données projet'!$E$14+1,1))-AVERAGE(OFFSET($H$3,0,0,'Données projet'!$E$14+1,1))</f>
        <v>172.86120068224633</v>
      </c>
      <c r="DU35" s="62">
        <f t="shared" si="44"/>
        <v>269.4995727085078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5</v>
      </c>
      <c r="EJ35" s="13">
        <f>IF('Données projet'!$A$192&gt;35,EJ34+EI35-ER34,IF(A35&lt;'Données projet'!$A$192,$EG$205^A35,IF(A35='Données projet'!$A$192,'Données projet'!$B$192,EJ34+EI35-ER34)))</f>
        <v>63.999999999999986</v>
      </c>
      <c r="EK35" s="18">
        <f>EJ35*VLOOKUP('Données projet'!$B$15,Paramètres!$A$1:$I$89,3,0)*VLOOKUP('Données projet'!$B$15,Paramètres!$A$1:$I$89,5,0)</f>
        <v>53.913599999999995</v>
      </c>
      <c r="EL35" s="14">
        <f t="shared" si="45"/>
        <v>15.619988549244528</v>
      </c>
      <c r="EM35" s="22">
        <f t="shared" si="19"/>
        <v>121.10433338993421</v>
      </c>
      <c r="EN35" s="62">
        <f t="shared" si="20"/>
        <v>362.07683587045955</v>
      </c>
      <c r="EO35" s="62">
        <f ca="1">AVERAGE(OFFSET($EN$3,0,0,'Données projet'!$E$15+1,1))-AVERAGE(OFFSET($H$3,0,0,'Données projet'!$E$15+1,1))</f>
        <v>346.97972840139914</v>
      </c>
      <c r="EP35" s="62">
        <f t="shared" si="46"/>
        <v>158.41433650660613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6.2</v>
      </c>
      <c r="FE35" s="13">
        <f>IF('Données projet'!$A$218&gt;35,FE34+FD35-FM34,IF(A35&lt;'Données projet'!$A$218,$FB$205^A35,IF(A35='Données projet'!$A$218,'Données projet'!$B$218,FE34+FD35-FM34)))</f>
        <v>125.39999999999995</v>
      </c>
      <c r="FF35" s="18">
        <f>FE35*VLOOKUP('Données projet'!$B$16,Paramètres!$A$1:$I$89,3,0)*VLOOKUP('Données projet'!$B$16,Paramètres!$A$1:$I$89,5,0)</f>
        <v>82.162079999999975</v>
      </c>
      <c r="FG35" s="14">
        <f t="shared" si="47"/>
        <v>22.665000669215523</v>
      </c>
      <c r="FH35" s="22">
        <f t="shared" si="22"/>
        <v>182.57383216555033</v>
      </c>
      <c r="FI35" s="62">
        <f t="shared" si="23"/>
        <v>423.54633464607565</v>
      </c>
      <c r="FJ35" s="62">
        <f ca="1">AVERAGE(OFFSET($FI$3,0,0,'Données projet'!$E$16+1,1))-AVERAGE(OFFSET($H$3,0,0,'Données projet'!$E$16+1,1))</f>
        <v>235.88453308732235</v>
      </c>
      <c r="FK35" s="62">
        <f t="shared" si="48"/>
        <v>220.72810812053521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84.240000000000009</v>
      </c>
      <c r="P36" s="14">
        <f t="shared" si="33"/>
        <v>23.170749718409468</v>
      </c>
      <c r="Q36" s="22">
        <f t="shared" si="53"/>
        <v>187.07372242622981</v>
      </c>
      <c r="R36" s="62">
        <f t="shared" si="0"/>
        <v>428.95456826077054</v>
      </c>
      <c r="S36" s="62">
        <f ca="1">AVERAGE(OFFSET($R$3,0,0,'Données projet'!$E$9+1,1))-AVERAGE(OFFSET($H$3,0,0,'Données projet'!$E$9+1,1))</f>
        <v>442.98179778678298</v>
      </c>
      <c r="T36" s="62">
        <f t="shared" si="34"/>
        <v>251.96153561746942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186.8</v>
      </c>
      <c r="AJ36" s="14">
        <f>AI36*VLOOKUP('Données projet'!$B$10,Paramètres!$A$1:$I$89,3,0)*VLOOKUP('Données projet'!$B$10,Paramètres!$A$1:$I$89,5,0)</f>
        <v>122.39136000000001</v>
      </c>
      <c r="AK36" s="14">
        <f t="shared" si="35"/>
        <v>32.232102612215037</v>
      </c>
      <c r="AL36" s="22">
        <f t="shared" si="4"/>
        <v>269.30253071627453</v>
      </c>
      <c r="AM36" s="62">
        <f t="shared" si="5"/>
        <v>511.1833765508153</v>
      </c>
      <c r="AN36" s="62">
        <f ca="1">AVERAGE(OFFSET($AM$3,0,0,'Données projet'!$E$10+1,1))-AVERAGE(OFFSET($H$3,0,0,'Données projet'!$E$10+1,1))</f>
        <v>304.35088214287919</v>
      </c>
      <c r="AO36" s="62">
        <f t="shared" si="36"/>
        <v>288.72611053217599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7.9487179487179507</v>
      </c>
      <c r="BD36" s="13">
        <f>IF('Données projet'!$A$88&gt;35,BD35+BC36-BL35,IF(A36&lt;'Données projet'!$A$88,$BA$205^A36,IF(A36='Données projet'!$A$88,'Données projet'!$B$88,BD35+BC36-BL35)))</f>
        <v>168.71794871794873</v>
      </c>
      <c r="BE36" s="14">
        <f>BD36*VLOOKUP('Données projet'!$B$11,Paramètres!$A$1:$I$89,3,0)*VLOOKUP('Données projet'!$B$11,Paramètres!$A$1:$I$89,5,0)</f>
        <v>107.91200000000002</v>
      </c>
      <c r="BF36" s="14">
        <f t="shared" si="37"/>
        <v>28.838488132021631</v>
      </c>
      <c r="BG36" s="22">
        <f t="shared" si="7"/>
        <v>238.17376682993768</v>
      </c>
      <c r="BH36" s="62">
        <f t="shared" si="8"/>
        <v>480.05461266447844</v>
      </c>
      <c r="BI36" s="62">
        <f ca="1">AVERAGE(OFFSET($BH$3,0,0,'Données projet'!$E$11+1,1))-AVERAGE(OFFSET($H$3,0,0,'Données projet'!$E$11+1,1))</f>
        <v>285.09561428624352</v>
      </c>
      <c r="BJ36" s="62">
        <f t="shared" si="38"/>
        <v>261.05678516705564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8.8000000000000007</v>
      </c>
      <c r="BY36" s="13">
        <f>IF('Données projet'!$A$114&gt;35,BY35+BX36-CG35,IF(A36&lt;'Données projet'!$A$114,$BV$205^A36,IF(A36='Données projet'!$A$114,'Données projet'!$B$114,BY35+BX36-CG35)))</f>
        <v>172.40000000000003</v>
      </c>
      <c r="BZ36" s="14">
        <f>BY36*VLOOKUP('Données projet'!$B$12,Paramètres!$A$1:$I$89,3,0)*VLOOKUP('Données projet'!$B$12,Paramètres!$A$1:$I$89,5,0)</f>
        <v>139.85088000000005</v>
      </c>
      <c r="CA36" s="14">
        <f t="shared" si="39"/>
        <v>36.262842078476233</v>
      </c>
      <c r="CB36" s="22">
        <f t="shared" si="10"/>
        <v>306.7313992866795</v>
      </c>
      <c r="CC36" s="62">
        <f t="shared" si="11"/>
        <v>548.61224512122021</v>
      </c>
      <c r="CD36" s="62">
        <f ca="1">AVERAGE(OFFSET($CC$3,0,0,'Données projet'!$E$12+1,1))-AVERAGE(OFFSET($H$3,0,0,'Données projet'!$E$12+1,1))</f>
        <v>272.69564942740931</v>
      </c>
      <c r="CE36" s="62">
        <f t="shared" si="40"/>
        <v>316.57989180609252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186.8</v>
      </c>
      <c r="CU36" s="18">
        <f>CT36*VLOOKUP('Données projet'!$B$13,Paramètres!$A$1:$I$89,3,0)*VLOOKUP('Données projet'!$B$13,Paramètres!$A$1:$I$89,5,0)</f>
        <v>122.39136000000001</v>
      </c>
      <c r="CV36" s="14">
        <f t="shared" si="41"/>
        <v>32.232102612215037</v>
      </c>
      <c r="CW36" s="22">
        <f t="shared" si="13"/>
        <v>269.30253071627453</v>
      </c>
      <c r="CX36" s="62">
        <f t="shared" si="14"/>
        <v>511.1833765508153</v>
      </c>
      <c r="CY36" s="62">
        <f ca="1">AVERAGE(OFFSET($CX$3,0,0,'Données projet'!$E$13+1,1))-AVERAGE(OFFSET($H$3,0,0,'Données projet'!$E$13+1,1))</f>
        <v>304.35088214287919</v>
      </c>
      <c r="CZ36" s="62">
        <f t="shared" si="42"/>
        <v>288.72611053217599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5.7692307692307594</v>
      </c>
      <c r="DO36" s="13">
        <f>IF('Données projet'!$A$166&gt;35,DO35+DN36-DW35,IF(A36&lt;'Données projet'!$A$166,$DL$205^A36,IF(A36='Données projet'!$A$166,'Données projet'!$B$166,DO35+DN36-DW35)))</f>
        <v>170.51282051282055</v>
      </c>
      <c r="DP36" s="18">
        <f>DO36*VLOOKUP('Données projet'!$B$14,Paramètres!$A$1:$I$89,3,0)*VLOOKUP('Données projet'!$B$14,Paramètres!$A$1:$I$89,5,0)</f>
        <v>98.42000000000003</v>
      </c>
      <c r="DQ36" s="14">
        <f t="shared" si="43"/>
        <v>26.585236149132161</v>
      </c>
      <c r="DR36" s="22">
        <f t="shared" si="16"/>
        <v>217.71745295973855</v>
      </c>
      <c r="DS36" s="62">
        <f t="shared" si="17"/>
        <v>459.59829879427929</v>
      </c>
      <c r="DT36" s="62">
        <f ca="1">AVERAGE(OFFSET($DS$3,0,0,'Données projet'!$E$14+1,1))-AVERAGE(OFFSET($H$3,0,0,'Données projet'!$E$14+1,1))</f>
        <v>172.86120068224633</v>
      </c>
      <c r="DU36" s="62">
        <f t="shared" si="44"/>
        <v>269.4995727085078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5</v>
      </c>
      <c r="EJ36" s="13">
        <f>IF('Données projet'!$A$192&gt;35,EJ35+EI36-ER35,IF(A36&lt;'Données projet'!$A$192,$EG$205^A36,IF(A36='Données projet'!$A$192,'Données projet'!$B$192,EJ35+EI36-ER35)))</f>
        <v>68.999999999999986</v>
      </c>
      <c r="EK36" s="18">
        <f>EJ36*VLOOKUP('Données projet'!$B$15,Paramètres!$A$1:$I$89,3,0)*VLOOKUP('Données projet'!$B$15,Paramètres!$A$1:$I$89,5,0)</f>
        <v>58.125599999999999</v>
      </c>
      <c r="EL36" s="14">
        <f t="shared" si="45"/>
        <v>16.693490054590161</v>
      </c>
      <c r="EM36" s="22">
        <f t="shared" si="19"/>
        <v>130.30991517841122</v>
      </c>
      <c r="EN36" s="62">
        <f t="shared" si="20"/>
        <v>372.19076101295195</v>
      </c>
      <c r="EO36" s="62">
        <f ca="1">AVERAGE(OFFSET($EN$3,0,0,'Données projet'!$E$15+1,1))-AVERAGE(OFFSET($H$3,0,0,'Données projet'!$E$15+1,1))</f>
        <v>346.97972840139914</v>
      </c>
      <c r="EP36" s="62">
        <f t="shared" si="46"/>
        <v>158.41433650660613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6.2</v>
      </c>
      <c r="FE36" s="13">
        <f>IF('Données projet'!$A$218&gt;35,FE35+FD36-FM35,IF(A36&lt;'Données projet'!$A$218,$FB$205^A36,IF(A36='Données projet'!$A$218,'Données projet'!$B$218,FE35+FD36-FM35)))</f>
        <v>131.59999999999994</v>
      </c>
      <c r="FF36" s="18">
        <f>FE36*VLOOKUP('Données projet'!$B$16,Paramètres!$A$1:$I$89,3,0)*VLOOKUP('Données projet'!$B$16,Paramètres!$A$1:$I$89,5,0)</f>
        <v>86.224319999999963</v>
      </c>
      <c r="FG36" s="14">
        <f t="shared" si="47"/>
        <v>23.652363060428655</v>
      </c>
      <c r="FH36" s="22">
        <f t="shared" si="22"/>
        <v>191.36855633024649</v>
      </c>
      <c r="FI36" s="62">
        <f t="shared" si="23"/>
        <v>433.24940216478723</v>
      </c>
      <c r="FJ36" s="62">
        <f ca="1">AVERAGE(OFFSET($FI$3,0,0,'Données projet'!$E$16+1,1))-AVERAGE(OFFSET($H$3,0,0,'Données projet'!$E$16+1,1))</f>
        <v>235.88453308732235</v>
      </c>
      <c r="FK36" s="62">
        <f t="shared" si="48"/>
        <v>220.72810812053521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90.97920000000002</v>
      </c>
      <c r="P37" s="14">
        <f t="shared" si="33"/>
        <v>24.801235516871511</v>
      </c>
      <c r="Q37" s="22">
        <f t="shared" si="53"/>
        <v>201.65092519188457</v>
      </c>
      <c r="R37" s="62">
        <f t="shared" si="0"/>
        <v>444.42435665400012</v>
      </c>
      <c r="S37" s="62">
        <f ca="1">AVERAGE(OFFSET($R$3,0,0,'Données projet'!$E$9+1,1))-AVERAGE(OFFSET($H$3,0,0,'Données projet'!$E$9+1,1))</f>
        <v>442.98179778678298</v>
      </c>
      <c r="T37" s="62">
        <f t="shared" si="34"/>
        <v>251.96153561746942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195.4</v>
      </c>
      <c r="AJ37" s="14">
        <f>AI37*VLOOKUP('Données projet'!$B$10,Paramètres!$A$1:$I$89,3,0)*VLOOKUP('Données projet'!$B$10,Paramètres!$A$1:$I$89,5,0)</f>
        <v>128.02608000000001</v>
      </c>
      <c r="AK37" s="14">
        <f t="shared" si="35"/>
        <v>33.539839007242314</v>
      </c>
      <c r="AL37" s="22">
        <f t="shared" si="4"/>
        <v>281.39397560428034</v>
      </c>
      <c r="AM37" s="62">
        <f t="shared" si="5"/>
        <v>524.16740706639598</v>
      </c>
      <c r="AN37" s="62">
        <f ca="1">AVERAGE(OFFSET($AM$3,0,0,'Données projet'!$E$10+1,1))-AVERAGE(OFFSET($H$3,0,0,'Données projet'!$E$10+1,1))</f>
        <v>304.35088214287919</v>
      </c>
      <c r="AO37" s="62">
        <f t="shared" si="36"/>
        <v>288.72611053217599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7.9487179487179507</v>
      </c>
      <c r="BD37" s="13">
        <f>IF('Données projet'!$A$88&gt;35,BD36+BC37-BL36,IF(A37&lt;'Données projet'!$A$88,$BA$205^A37,IF(A37='Données projet'!$A$88,'Données projet'!$B$88,BD36+BC37-BL36)))</f>
        <v>176.66666666666669</v>
      </c>
      <c r="BE37" s="14">
        <f>BD37*VLOOKUP('Données projet'!$B$11,Paramètres!$A$1:$I$89,3,0)*VLOOKUP('Données projet'!$B$11,Paramètres!$A$1:$I$89,5,0)</f>
        <v>112.99600000000001</v>
      </c>
      <c r="BF37" s="14">
        <f t="shared" si="37"/>
        <v>30.035757789076975</v>
      </c>
      <c r="BG37" s="22">
        <f t="shared" si="7"/>
        <v>249.11364481597573</v>
      </c>
      <c r="BH37" s="62">
        <f t="shared" si="8"/>
        <v>491.88707627809129</v>
      </c>
      <c r="BI37" s="62">
        <f ca="1">AVERAGE(OFFSET($BH$3,0,0,'Données projet'!$E$11+1,1))-AVERAGE(OFFSET($H$3,0,0,'Données projet'!$E$11+1,1))</f>
        <v>285.09561428624352</v>
      </c>
      <c r="BJ37" s="62">
        <f t="shared" si="38"/>
        <v>261.05678516705564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8.8000000000000007</v>
      </c>
      <c r="BY37" s="13">
        <f>IF('Données projet'!$A$114&gt;35,BY36+BX37-CG36,IF(A37&lt;'Données projet'!$A$114,$BV$205^A37,IF(A37='Données projet'!$A$114,'Données projet'!$B$114,BY36+BX37-CG36)))</f>
        <v>181.20000000000005</v>
      </c>
      <c r="BZ37" s="14">
        <f>BY37*VLOOKUP('Données projet'!$B$12,Paramètres!$A$1:$I$89,3,0)*VLOOKUP('Données projet'!$B$12,Paramètres!$A$1:$I$89,5,0)</f>
        <v>146.98944000000006</v>
      </c>
      <c r="CA37" s="14">
        <f t="shared" si="39"/>
        <v>37.893619858723746</v>
      </c>
      <c r="CB37" s="22">
        <f t="shared" si="10"/>
        <v>322.00466258727732</v>
      </c>
      <c r="CC37" s="62">
        <f t="shared" si="11"/>
        <v>564.77809404939285</v>
      </c>
      <c r="CD37" s="62">
        <f ca="1">AVERAGE(OFFSET($CC$3,0,0,'Données projet'!$E$12+1,1))-AVERAGE(OFFSET($H$3,0,0,'Données projet'!$E$12+1,1))</f>
        <v>272.69564942740931</v>
      </c>
      <c r="CE37" s="62">
        <f t="shared" si="40"/>
        <v>316.57989180609252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195.4</v>
      </c>
      <c r="CU37" s="18">
        <f>CT37*VLOOKUP('Données projet'!$B$13,Paramètres!$A$1:$I$89,3,0)*VLOOKUP('Données projet'!$B$13,Paramètres!$A$1:$I$89,5,0)</f>
        <v>128.02608000000001</v>
      </c>
      <c r="CV37" s="14">
        <f t="shared" si="41"/>
        <v>33.539839007242314</v>
      </c>
      <c r="CW37" s="22">
        <f t="shared" si="13"/>
        <v>281.39397560428034</v>
      </c>
      <c r="CX37" s="62">
        <f t="shared" si="14"/>
        <v>524.16740706639598</v>
      </c>
      <c r="CY37" s="62">
        <f ca="1">AVERAGE(OFFSET($CX$3,0,0,'Données projet'!$E$13+1,1))-AVERAGE(OFFSET($H$3,0,0,'Données projet'!$E$13+1,1))</f>
        <v>304.35088214287919</v>
      </c>
      <c r="CZ37" s="62">
        <f t="shared" si="42"/>
        <v>288.72611053217599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>
        <f>VLOOKUP(A37,'Données projet'!$A$165:$I$185,2,0)</f>
        <v>176.28205128205127</v>
      </c>
      <c r="DM37" s="13">
        <f>VLOOKUP(A37,'Données projet'!$A$165:$I$185,9,0)</f>
        <v>5.7692307692307594</v>
      </c>
      <c r="DN37" s="13">
        <f t="array" ref="DN37">INDEX(DM:DM,MIN(IF(ISNUMBER(DM37:DM233),ROW(DM37:DM233),"")))</f>
        <v>5.7692307692307594</v>
      </c>
      <c r="DO37" s="13">
        <f>IF('Données projet'!$A$166&gt;35,DO36+DN37-DW36,IF(A37&lt;'Données projet'!$A$166,$DL$205^A37,IF(A37='Données projet'!$A$166,'Données projet'!$B$166,DO36+DN37-DW36)))</f>
        <v>176.28205128205133</v>
      </c>
      <c r="DP37" s="18">
        <f>DO37*VLOOKUP('Données projet'!$B$14,Paramètres!$A$1:$I$89,3,0)*VLOOKUP('Données projet'!$B$14,Paramètres!$A$1:$I$89,5,0)</f>
        <v>101.75000000000003</v>
      </c>
      <c r="DQ37" s="14">
        <f t="shared" si="43"/>
        <v>27.378489030154828</v>
      </c>
      <c r="DR37" s="22">
        <f t="shared" si="16"/>
        <v>224.89878506085304</v>
      </c>
      <c r="DS37" s="62">
        <f t="shared" si="17"/>
        <v>467.6722165229686</v>
      </c>
      <c r="DT37" s="62">
        <f ca="1">AVERAGE(OFFSET($DS$3,0,0,'Données projet'!$E$14+1,1))-AVERAGE(OFFSET($H$3,0,0,'Données projet'!$E$14+1,1))</f>
        <v>172.86120068224633</v>
      </c>
      <c r="DU37" s="62">
        <f t="shared" si="44"/>
        <v>269.4995727085078</v>
      </c>
      <c r="DV37" s="16">
        <f>IF(ISNA(VLOOKUP(A37,'Données projet'!$A$165:$I$185,3,0)),0,VLOOKUP(A37,'Données projet'!$A$165:$I$185,3,0))</f>
        <v>7</v>
      </c>
      <c r="DW37" s="16">
        <f>IF(ISNA(VLOOKUP(A37,'Données projet'!$A$165:$I$185,4,0)),0,VLOOKUP(A37,'Données projet'!$A$165:$I$185,4,0))</f>
        <v>14.102564102564102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5</v>
      </c>
      <c r="EJ37" s="13">
        <f>IF('Données projet'!$A$192&gt;35,EJ36+EI37-ER36,IF(A37&lt;'Données projet'!$A$192,$EG$205^A37,IF(A37='Données projet'!$A$192,'Données projet'!$B$192,EJ36+EI37-ER36)))</f>
        <v>73.999999999999986</v>
      </c>
      <c r="EK37" s="18">
        <f>EJ37*VLOOKUP('Données projet'!$B$15,Paramètres!$A$1:$I$89,3,0)*VLOOKUP('Données projet'!$B$15,Paramètres!$A$1:$I$89,5,0)</f>
        <v>62.337599999999995</v>
      </c>
      <c r="EL37" s="14">
        <f t="shared" si="45"/>
        <v>17.757966554912596</v>
      </c>
      <c r="EM37" s="22">
        <f t="shared" si="19"/>
        <v>139.49977841647276</v>
      </c>
      <c r="EN37" s="62">
        <f t="shared" si="20"/>
        <v>382.27320987858832</v>
      </c>
      <c r="EO37" s="62">
        <f ca="1">AVERAGE(OFFSET($EN$3,0,0,'Données projet'!$E$15+1,1))-AVERAGE(OFFSET($H$3,0,0,'Données projet'!$E$15+1,1))</f>
        <v>346.97972840139914</v>
      </c>
      <c r="EP37" s="62">
        <f t="shared" si="46"/>
        <v>158.41433650660613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6.2</v>
      </c>
      <c r="FE37" s="13">
        <f>IF('Données projet'!$A$218&gt;35,FE36+FD37-FM36,IF(A37&lt;'Données projet'!$A$218,$FB$205^A37,IF(A37='Données projet'!$A$218,'Données projet'!$B$218,FE36+FD37-FM36)))</f>
        <v>137.79999999999993</v>
      </c>
      <c r="FF37" s="18">
        <f>FE37*VLOOKUP('Données projet'!$B$16,Paramètres!$A$1:$I$89,3,0)*VLOOKUP('Données projet'!$B$16,Paramètres!$A$1:$I$89,5,0)</f>
        <v>90.286559999999952</v>
      </c>
      <c r="FG37" s="14">
        <f t="shared" si="47"/>
        <v>24.634323573763073</v>
      </c>
      <c r="FH37" s="22">
        <f t="shared" si="22"/>
        <v>200.15387222430391</v>
      </c>
      <c r="FI37" s="62">
        <f t="shared" si="23"/>
        <v>442.92730368641946</v>
      </c>
      <c r="FJ37" s="62">
        <f ca="1">AVERAGE(OFFSET($FI$3,0,0,'Données projet'!$E$16+1,1))-AVERAGE(OFFSET($H$3,0,0,'Données projet'!$E$16+1,1))</f>
        <v>235.88453308732235</v>
      </c>
      <c r="FK37" s="62">
        <f t="shared" si="48"/>
        <v>220.72810812053521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97.718400000000003</v>
      </c>
      <c r="P38" s="14">
        <f t="shared" si="33"/>
        <v>26.417709819192194</v>
      </c>
      <c r="Q38" s="22">
        <f t="shared" si="53"/>
        <v>216.20372460175975</v>
      </c>
      <c r="R38" s="62">
        <f t="shared" si="0"/>
        <v>459.85425732633428</v>
      </c>
      <c r="S38" s="62">
        <f ca="1">AVERAGE(OFFSET($R$3,0,0,'Données projet'!$E$9+1,1))-AVERAGE(OFFSET($H$3,0,0,'Données projet'!$E$9+1,1))</f>
        <v>442.98179778678298</v>
      </c>
      <c r="T38" s="62">
        <f t="shared" si="34"/>
        <v>251.96153561746942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204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204</v>
      </c>
      <c r="AJ38" s="14">
        <f>AI38*VLOOKUP('Données projet'!$B$10,Paramètres!$A$1:$I$89,3,0)*VLOOKUP('Données projet'!$B$10,Paramètres!$A$1:$I$89,5,0)</f>
        <v>133.66079999999999</v>
      </c>
      <c r="AK38" s="14">
        <f t="shared" si="35"/>
        <v>34.840890682716747</v>
      </c>
      <c r="AL38" s="22">
        <f t="shared" si="4"/>
        <v>293.47377793906497</v>
      </c>
      <c r="AM38" s="62">
        <f t="shared" si="5"/>
        <v>537.12431066363945</v>
      </c>
      <c r="AN38" s="62">
        <f ca="1">AVERAGE(OFFSET($AM$3,0,0,'Données projet'!$E$10+1,1))-AVERAGE(OFFSET($H$3,0,0,'Données projet'!$E$10+1,1))</f>
        <v>304.35088214287919</v>
      </c>
      <c r="AO38" s="62">
        <f t="shared" si="36"/>
        <v>288.72611053217599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7.9487179487179507</v>
      </c>
      <c r="BD38" s="13">
        <f>IF('Données projet'!$A$88&gt;35,BD37+BC38-BL37,IF(A38&lt;'Données projet'!$A$88,$BA$205^A38,IF(A38='Données projet'!$A$88,'Données projet'!$B$88,BD37+BC38-BL37)))</f>
        <v>184.61538461538464</v>
      </c>
      <c r="BE38" s="14">
        <f>BD38*VLOOKUP('Données projet'!$B$11,Paramètres!$A$1:$I$89,3,0)*VLOOKUP('Données projet'!$B$11,Paramètres!$A$1:$I$89,5,0)</f>
        <v>118.08000000000001</v>
      </c>
      <c r="BF38" s="14">
        <f t="shared" si="37"/>
        <v>31.226771320755134</v>
      </c>
      <c r="BG38" s="22">
        <f t="shared" si="7"/>
        <v>260.04262671698189</v>
      </c>
      <c r="BH38" s="62">
        <f t="shared" si="8"/>
        <v>503.69315944155642</v>
      </c>
      <c r="BI38" s="62">
        <f ca="1">AVERAGE(OFFSET($BH$3,0,0,'Données projet'!$E$11+1,1))-AVERAGE(OFFSET($H$3,0,0,'Données projet'!$E$11+1,1))</f>
        <v>285.09561428624352</v>
      </c>
      <c r="BJ38" s="62">
        <f t="shared" si="38"/>
        <v>261.05678516705564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190</v>
      </c>
      <c r="BW38" s="13">
        <f>VLOOKUP(A38,'Données projet'!$A$113:$I$133,9,0)</f>
        <v>8.8000000000000007</v>
      </c>
      <c r="BX38" s="13">
        <f t="array" ref="BX38">INDEX(BW:BW,MIN(IF(ISNUMBER(BW38:BW234),ROW(BW38:BW234),"")))</f>
        <v>8.8000000000000007</v>
      </c>
      <c r="BY38" s="13">
        <f>IF('Données projet'!$A$114&gt;35,BY37+BX38-CG37,IF(A38&lt;'Données projet'!$A$114,$BV$205^A38,IF(A38='Données projet'!$A$114,'Données projet'!$B$114,BY37+BX38-CG37)))</f>
        <v>190.00000000000006</v>
      </c>
      <c r="BZ38" s="14">
        <f>BY38*VLOOKUP('Données projet'!$B$12,Paramètres!$A$1:$I$89,3,0)*VLOOKUP('Données projet'!$B$12,Paramètres!$A$1:$I$89,5,0)</f>
        <v>154.12800000000007</v>
      </c>
      <c r="CA38" s="14">
        <f t="shared" si="39"/>
        <v>39.51520107536119</v>
      </c>
      <c r="CB38" s="22">
        <f t="shared" si="10"/>
        <v>337.26190853958752</v>
      </c>
      <c r="CC38" s="62">
        <f t="shared" si="11"/>
        <v>580.912441264162</v>
      </c>
      <c r="CD38" s="62">
        <f ca="1">AVERAGE(OFFSET($CC$3,0,0,'Données projet'!$E$12+1,1))-AVERAGE(OFFSET($H$3,0,0,'Données projet'!$E$12+1,1))</f>
        <v>272.69564942740931</v>
      </c>
      <c r="CE38" s="62">
        <f t="shared" si="40"/>
        <v>316.57989180609252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76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204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204</v>
      </c>
      <c r="CU38" s="18">
        <f>CT38*VLOOKUP('Données projet'!$B$13,Paramètres!$A$1:$I$89,3,0)*VLOOKUP('Données projet'!$B$13,Paramètres!$A$1:$I$89,5,0)</f>
        <v>133.66079999999999</v>
      </c>
      <c r="CV38" s="14">
        <f t="shared" si="41"/>
        <v>34.840890682716747</v>
      </c>
      <c r="CW38" s="22">
        <f t="shared" si="13"/>
        <v>293.47377793906497</v>
      </c>
      <c r="CX38" s="62">
        <f t="shared" si="14"/>
        <v>537.12431066363945</v>
      </c>
      <c r="CY38" s="62">
        <f ca="1">AVERAGE(OFFSET($CX$3,0,0,'Données projet'!$E$13+1,1))-AVERAGE(OFFSET($H$3,0,0,'Données projet'!$E$13+1,1))</f>
        <v>304.35088214287919</v>
      </c>
      <c r="CZ38" s="62">
        <f t="shared" si="42"/>
        <v>288.72611053217599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5.7692307692307594</v>
      </c>
      <c r="DO38" s="13">
        <f>IF('Données projet'!$A$166&gt;35,DO37+DN38-DW37,IF(A38&lt;'Données projet'!$A$166,$DL$205^A38,IF(A38='Données projet'!$A$166,'Données projet'!$B$166,DO37+DN38-DW37)))</f>
        <v>167.94871794871801</v>
      </c>
      <c r="DP38" s="18">
        <f>DO38*VLOOKUP('Données projet'!$B$14,Paramètres!$A$1:$I$89,3,0)*VLOOKUP('Données projet'!$B$14,Paramètres!$A$1:$I$89,5,0)</f>
        <v>96.94000000000004</v>
      </c>
      <c r="DQ38" s="14">
        <f t="shared" si="43"/>
        <v>26.231681420965788</v>
      </c>
      <c r="DR38" s="22">
        <f t="shared" si="16"/>
        <v>214.52401180818211</v>
      </c>
      <c r="DS38" s="62">
        <f t="shared" si="17"/>
        <v>458.17454453275661</v>
      </c>
      <c r="DT38" s="62">
        <f ca="1">AVERAGE(OFFSET($DS$3,0,0,'Données projet'!$E$14+1,1))-AVERAGE(OFFSET($H$3,0,0,'Données projet'!$E$14+1,1))</f>
        <v>172.86120068224633</v>
      </c>
      <c r="DU38" s="62">
        <f t="shared" si="44"/>
        <v>269.4995727085078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79</v>
      </c>
      <c r="EH38" s="13">
        <f>VLOOKUP(A38,'Données projet'!$A$191:$I$211,9,0)</f>
        <v>5</v>
      </c>
      <c r="EI38" s="13">
        <f t="array" ref="EI38">INDEX(EH:EH,MIN(IF(ISNUMBER(EH38:EH234),ROW(EH38:EH234),"")))</f>
        <v>5</v>
      </c>
      <c r="EJ38" s="13">
        <f>IF('Données projet'!$A$192&gt;35,EJ37+EI38-ER37,IF(A38&lt;'Données projet'!$A$192,$EG$205^A38,IF(A38='Données projet'!$A$192,'Données projet'!$B$192,EJ37+EI38-ER37)))</f>
        <v>78.999999999999986</v>
      </c>
      <c r="EK38" s="18">
        <f>EJ38*VLOOKUP('Données projet'!$B$15,Paramètres!$A$1:$I$89,3,0)*VLOOKUP('Données projet'!$B$15,Paramètres!$A$1:$I$89,5,0)</f>
        <v>66.549599999999998</v>
      </c>
      <c r="EL38" s="14">
        <f t="shared" si="45"/>
        <v>18.814097226522279</v>
      </c>
      <c r="EM38" s="22">
        <f t="shared" si="19"/>
        <v>148.67510600285962</v>
      </c>
      <c r="EN38" s="62">
        <f t="shared" si="20"/>
        <v>392.32563872743413</v>
      </c>
      <c r="EO38" s="62">
        <f ca="1">AVERAGE(OFFSET($EN$3,0,0,'Données projet'!$E$15+1,1))-AVERAGE(OFFSET($H$3,0,0,'Données projet'!$E$15+1,1))</f>
        <v>346.97972840139914</v>
      </c>
      <c r="EP38" s="62">
        <f t="shared" si="46"/>
        <v>158.41433650660613</v>
      </c>
      <c r="EQ38" s="16">
        <f>IF(ISNA(VLOOKUP(A38,'Données projet'!$A$191:$I$211,3,0)),0,VLOOKUP(A38,'Données projet'!$A$191:$I$211,3,0))</f>
        <v>1</v>
      </c>
      <c r="ER38" s="16">
        <f>IF(ISNA(VLOOKUP(A38,'Données projet'!$A$191:$I$211,4,0)),0,VLOOKUP(A38,'Données projet'!$A$191:$I$211,4,0))</f>
        <v>13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144</v>
      </c>
      <c r="FC38" s="13">
        <f>VLOOKUP(A38,'Données projet'!$A$217:$I$237,9,0)</f>
        <v>6.2</v>
      </c>
      <c r="FD38" s="13">
        <f t="array" ref="FD38">INDEX(FC:FC,MIN(IF(ISNUMBER(FC38:FC234),ROW(FC38:FC234),"")))</f>
        <v>6.2</v>
      </c>
      <c r="FE38" s="13">
        <f>IF('Données projet'!$A$218&gt;35,FE37+FD38-FM37,IF(A38&lt;'Données projet'!$A$218,$FB$205^A38,IF(A38='Données projet'!$A$218,'Données projet'!$B$218,FE37+FD38-FM37)))</f>
        <v>143.99999999999991</v>
      </c>
      <c r="FF38" s="18">
        <f>FE38*VLOOKUP('Données projet'!$B$16,Paramètres!$A$1:$I$89,3,0)*VLOOKUP('Données projet'!$B$16,Paramètres!$A$1:$I$89,5,0)</f>
        <v>94.34879999999994</v>
      </c>
      <c r="FG38" s="14">
        <f t="shared" si="47"/>
        <v>25.611153022386439</v>
      </c>
      <c r="FH38" s="22">
        <f t="shared" si="22"/>
        <v>208.93025151398959</v>
      </c>
      <c r="FI38" s="62">
        <f t="shared" si="23"/>
        <v>452.58078423856409</v>
      </c>
      <c r="FJ38" s="62">
        <f ca="1">AVERAGE(OFFSET($FI$3,0,0,'Données projet'!$E$16+1,1))-AVERAGE(OFFSET($H$3,0,0,'Données projet'!$E$16+1,1))</f>
        <v>235.88453308732235</v>
      </c>
      <c r="FK38" s="62">
        <f t="shared" si="48"/>
        <v>220.72810812053521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35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104.79456</v>
      </c>
      <c r="P39" s="14">
        <f t="shared" si="33"/>
        <v>28.101103481959861</v>
      </c>
      <c r="Q39" s="22">
        <f t="shared" si="53"/>
        <v>231.45994723108012</v>
      </c>
      <c r="R39" s="62">
        <f t="shared" si="0"/>
        <v>475.97236547211457</v>
      </c>
      <c r="S39" s="62">
        <f ca="1">AVERAGE(OFFSET($R$3,0,0,'Données projet'!$E$9+1,1))-AVERAGE(OFFSET($H$3,0,0,'Données projet'!$E$9+1,1))</f>
        <v>442.98179778678298</v>
      </c>
      <c r="T39" s="62">
        <f t="shared" si="34"/>
        <v>251.96153561746942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163.80000000000001</v>
      </c>
      <c r="AJ39" s="14">
        <f>AI39*VLOOKUP('Données projet'!$B$10,Paramètres!$A$1:$I$89,3,0)*VLOOKUP('Données projet'!$B$10,Paramètres!$A$1:$I$89,5,0)</f>
        <v>107.32176000000001</v>
      </c>
      <c r="AK39" s="14">
        <f t="shared" si="35"/>
        <v>28.699067963776873</v>
      </c>
      <c r="AL39" s="22">
        <f t="shared" si="4"/>
        <v>236.90294203691141</v>
      </c>
      <c r="AM39" s="62">
        <f t="shared" si="5"/>
        <v>481.41536027794587</v>
      </c>
      <c r="AN39" s="62">
        <f ca="1">AVERAGE(OFFSET($AM$3,0,0,'Données projet'!$E$10+1,1))-AVERAGE(OFFSET($H$3,0,0,'Données projet'!$E$10+1,1))</f>
        <v>304.35088214287919</v>
      </c>
      <c r="AO39" s="62">
        <f t="shared" si="36"/>
        <v>288.72611053217599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7.9487179487179507</v>
      </c>
      <c r="BD39" s="13">
        <f>IF('Données projet'!$A$88&gt;35,BD38+BC39-BL38,IF(A39&lt;'Données projet'!$A$88,$BA$205^A39,IF(A39='Données projet'!$A$88,'Données projet'!$B$88,BD38+BC39-BL38)))</f>
        <v>192.5641025641026</v>
      </c>
      <c r="BE39" s="14">
        <f>BD39*VLOOKUP('Données projet'!$B$11,Paramètres!$A$1:$I$89,3,0)*VLOOKUP('Données projet'!$B$11,Paramètres!$A$1:$I$89,5,0)</f>
        <v>123.16400000000003</v>
      </c>
      <c r="BF39" s="14">
        <f t="shared" si="37"/>
        <v>32.411828878612589</v>
      </c>
      <c r="BG39" s="22">
        <f t="shared" si="7"/>
        <v>270.96123529691698</v>
      </c>
      <c r="BH39" s="62">
        <f t="shared" si="8"/>
        <v>515.47365353795135</v>
      </c>
      <c r="BI39" s="62">
        <f ca="1">AVERAGE(OFFSET($BH$3,0,0,'Données projet'!$E$11+1,1))-AVERAGE(OFFSET($H$3,0,0,'Données projet'!$E$11+1,1))</f>
        <v>285.09561428624352</v>
      </c>
      <c r="BJ39" s="62">
        <f t="shared" si="38"/>
        <v>261.05678516705564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7.6</v>
      </c>
      <c r="BY39" s="13">
        <f>IF('Données projet'!$A$114&gt;35,BY38+BX39-CG38,IF(A39&lt;'Données projet'!$A$114,$BV$205^A39,IF(A39='Données projet'!$A$114,'Données projet'!$B$114,BY38+BX39-CG38)))</f>
        <v>121.60000000000005</v>
      </c>
      <c r="BZ39" s="14">
        <f>BY39*VLOOKUP('Données projet'!$B$12,Paramètres!$A$1:$I$89,3,0)*VLOOKUP('Données projet'!$B$12,Paramètres!$A$1:$I$89,5,0)</f>
        <v>98.641920000000042</v>
      </c>
      <c r="CA39" s="14">
        <f t="shared" si="39"/>
        <v>26.638196684151392</v>
      </c>
      <c r="CB39" s="22">
        <f t="shared" si="10"/>
        <v>218.19620322489709</v>
      </c>
      <c r="CC39" s="62">
        <f t="shared" si="11"/>
        <v>462.70862146593151</v>
      </c>
      <c r="CD39" s="62">
        <f ca="1">AVERAGE(OFFSET($CC$3,0,0,'Données projet'!$E$12+1,1))-AVERAGE(OFFSET($H$3,0,0,'Données projet'!$E$12+1,1))</f>
        <v>272.69564942740931</v>
      </c>
      <c r="CE39" s="62">
        <f t="shared" si="40"/>
        <v>316.57989180609252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7.8</v>
      </c>
      <c r="CT39" s="13">
        <f>IF('Données projet'!$A$140&gt;35,CT38+CS39-DB38,IF(A39&lt;'Données projet'!$A$140,$CQ$205^A39,IF(A39='Données projet'!$A$140,'Données projet'!$B$140,CT38+CS39-DB38)))</f>
        <v>163.80000000000001</v>
      </c>
      <c r="CU39" s="18">
        <f>CT39*VLOOKUP('Données projet'!$B$13,Paramètres!$A$1:$I$89,3,0)*VLOOKUP('Données projet'!$B$13,Paramètres!$A$1:$I$89,5,0)</f>
        <v>107.32176000000001</v>
      </c>
      <c r="CV39" s="14">
        <f t="shared" si="41"/>
        <v>28.699067963776873</v>
      </c>
      <c r="CW39" s="22">
        <f t="shared" si="13"/>
        <v>236.90294203691141</v>
      </c>
      <c r="CX39" s="62">
        <f t="shared" si="14"/>
        <v>481.41536027794587</v>
      </c>
      <c r="CY39" s="62">
        <f ca="1">AVERAGE(OFFSET($CX$3,0,0,'Données projet'!$E$13+1,1))-AVERAGE(OFFSET($H$3,0,0,'Données projet'!$E$13+1,1))</f>
        <v>304.35088214287919</v>
      </c>
      <c r="CZ39" s="62">
        <f t="shared" si="42"/>
        <v>288.72611053217599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>
        <f>VLOOKUP(A39,'Données projet'!$A$165:$I$185,2,0)</f>
        <v>173.7179487179487</v>
      </c>
      <c r="DM39" s="13">
        <f>VLOOKUP(A39,'Données projet'!$A$165:$I$185,9,0)</f>
        <v>5.7692307692307594</v>
      </c>
      <c r="DN39" s="13">
        <f t="array" ref="DN39">INDEX(DM:DM,MIN(IF(ISNUMBER(DM39:DM235),ROW(DM39:DM235),"")))</f>
        <v>5.7692307692307594</v>
      </c>
      <c r="DO39" s="13">
        <f>IF('Données projet'!$A$166&gt;35,DO38+DN39-DW38,IF(A39&lt;'Données projet'!$A$166,$DL$205^A39,IF(A39='Données projet'!$A$166,'Données projet'!$B$166,DO38+DN39-DW38)))</f>
        <v>173.71794871794879</v>
      </c>
      <c r="DP39" s="18">
        <f>DO39*VLOOKUP('Données projet'!$B$14,Paramètres!$A$1:$I$89,3,0)*VLOOKUP('Données projet'!$B$14,Paramètres!$A$1:$I$89,5,0)</f>
        <v>100.27000000000004</v>
      </c>
      <c r="DQ39" s="14">
        <f t="shared" si="43"/>
        <v>27.026311227445213</v>
      </c>
      <c r="DR39" s="22">
        <f t="shared" si="16"/>
        <v>221.7077420544671</v>
      </c>
      <c r="DS39" s="62">
        <f t="shared" si="17"/>
        <v>466.2201602955015</v>
      </c>
      <c r="DT39" s="62">
        <f ca="1">AVERAGE(OFFSET($DS$3,0,0,'Données projet'!$E$14+1,1))-AVERAGE(OFFSET($H$3,0,0,'Données projet'!$E$14+1,1))</f>
        <v>172.86120068224633</v>
      </c>
      <c r="DU39" s="62">
        <f t="shared" si="44"/>
        <v>269.4995727085078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5.4</v>
      </c>
      <c r="EJ39" s="13">
        <f>IF('Données projet'!$A$192&gt;35,EJ38+EI39-ER38,IF(A39&lt;'Données projet'!$A$192,$EG$205^A39,IF(A39='Données projet'!$A$192,'Données projet'!$B$192,EJ38+EI39-ER38)))</f>
        <v>71.399999999999991</v>
      </c>
      <c r="EK39" s="18">
        <f>EJ39*VLOOKUP('Données projet'!$B$15,Paramètres!$A$1:$I$89,3,0)*VLOOKUP('Données projet'!$B$15,Paramètres!$A$1:$I$89,5,0)</f>
        <v>60.147359999999999</v>
      </c>
      <c r="EL39" s="14">
        <f t="shared" si="45"/>
        <v>17.205520923258081</v>
      </c>
      <c r="EM39" s="22">
        <f t="shared" si="19"/>
        <v>134.72293427467449</v>
      </c>
      <c r="EN39" s="62">
        <f t="shared" si="20"/>
        <v>379.23535251570888</v>
      </c>
      <c r="EO39" s="62">
        <f ca="1">AVERAGE(OFFSET($EN$3,0,0,'Données projet'!$E$15+1,1))-AVERAGE(OFFSET($H$3,0,0,'Données projet'!$E$15+1,1))</f>
        <v>346.97972840139914</v>
      </c>
      <c r="EP39" s="62">
        <f t="shared" si="46"/>
        <v>158.41433650660613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6</v>
      </c>
      <c r="FE39" s="13">
        <f>IF('Données projet'!$A$218&gt;35,FE38+FD39-FM38,IF(A39&lt;'Données projet'!$A$218,$FB$205^A39,IF(A39='Données projet'!$A$218,'Données projet'!$B$218,FE38+FD39-FM38)))</f>
        <v>114.99999999999991</v>
      </c>
      <c r="FF39" s="18">
        <f>FE39*VLOOKUP('Données projet'!$B$16,Paramètres!$A$1:$I$89,3,0)*VLOOKUP('Données projet'!$B$16,Paramètres!$A$1:$I$89,5,0)</f>
        <v>75.347999999999942</v>
      </c>
      <c r="FG39" s="14">
        <f t="shared" si="47"/>
        <v>20.995810517717022</v>
      </c>
      <c r="FH39" s="22">
        <f t="shared" si="22"/>
        <v>167.79880331835705</v>
      </c>
      <c r="FI39" s="62">
        <f t="shared" si="23"/>
        <v>412.31122155939147</v>
      </c>
      <c r="FJ39" s="62">
        <f ca="1">AVERAGE(OFFSET($FI$3,0,0,'Données projet'!$E$16+1,1))-AVERAGE(OFFSET($H$3,0,0,'Données projet'!$E$16+1,1))</f>
        <v>235.88453308732235</v>
      </c>
      <c r="FK39" s="62">
        <f t="shared" si="48"/>
        <v>220.72810812053521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111.87072000000003</v>
      </c>
      <c r="P40" s="14">
        <f t="shared" si="33"/>
        <v>29.771307279851975</v>
      </c>
      <c r="Q40" s="22">
        <f t="shared" si="53"/>
        <v>246.69319751240889</v>
      </c>
      <c r="R40" s="62">
        <f t="shared" si="0"/>
        <v>492.05254948307999</v>
      </c>
      <c r="S40" s="62">
        <f ca="1">AVERAGE(OFFSET($R$3,0,0,'Données projet'!$E$9+1,1))-AVERAGE(OFFSET($H$3,0,0,'Données projet'!$E$9+1,1))</f>
        <v>442.98179778678298</v>
      </c>
      <c r="T40" s="62">
        <f t="shared" si="34"/>
        <v>251.96153561746942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171.60000000000002</v>
      </c>
      <c r="AJ40" s="14">
        <f>AI40*VLOOKUP('Données projet'!$B$10,Paramètres!$A$1:$I$89,3,0)*VLOOKUP('Données projet'!$B$10,Paramètres!$A$1:$I$89,5,0)</f>
        <v>112.43232</v>
      </c>
      <c r="AK40" s="14">
        <f t="shared" si="35"/>
        <v>29.903326635598326</v>
      </c>
      <c r="AL40" s="22">
        <f t="shared" si="4"/>
        <v>247.90125122366706</v>
      </c>
      <c r="AM40" s="62">
        <f t="shared" si="5"/>
        <v>493.26060319433816</v>
      </c>
      <c r="AN40" s="62">
        <f ca="1">AVERAGE(OFFSET($AM$3,0,0,'Données projet'!$E$10+1,1))-AVERAGE(OFFSET($H$3,0,0,'Données projet'!$E$10+1,1))</f>
        <v>304.35088214287919</v>
      </c>
      <c r="AO40" s="62">
        <f t="shared" si="36"/>
        <v>288.72611053217599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7.9487179487179507</v>
      </c>
      <c r="BD40" s="13">
        <f>IF('Données projet'!$A$88&gt;35,BD39+BC40-BL39,IF(A40&lt;'Données projet'!$A$88,$BA$205^A40,IF(A40='Données projet'!$A$88,'Données projet'!$B$88,BD39+BC40-BL39)))</f>
        <v>200.51282051282055</v>
      </c>
      <c r="BE40" s="14">
        <f>BD40*VLOOKUP('Données projet'!$B$11,Paramètres!$A$1:$I$89,3,0)*VLOOKUP('Données projet'!$B$11,Paramètres!$A$1:$I$89,5,0)</f>
        <v>128.24800000000002</v>
      </c>
      <c r="BF40" s="14">
        <f t="shared" si="37"/>
        <v>33.591204432643657</v>
      </c>
      <c r="BG40" s="22">
        <f t="shared" si="7"/>
        <v>281.86994772018772</v>
      </c>
      <c r="BH40" s="62">
        <f t="shared" si="8"/>
        <v>527.22929969085885</v>
      </c>
      <c r="BI40" s="62">
        <f ca="1">AVERAGE(OFFSET($BH$3,0,0,'Données projet'!$E$11+1,1))-AVERAGE(OFFSET($H$3,0,0,'Données projet'!$E$11+1,1))</f>
        <v>285.09561428624352</v>
      </c>
      <c r="BJ40" s="62">
        <f t="shared" si="38"/>
        <v>261.05678516705564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7.6</v>
      </c>
      <c r="BY40" s="13">
        <f>IF('Données projet'!$A$114&gt;35,BY39+BX40-CG39,IF(A40&lt;'Données projet'!$A$114,$BV$205^A40,IF(A40='Données projet'!$A$114,'Données projet'!$B$114,BY39+BX40-CG39)))</f>
        <v>129.20000000000005</v>
      </c>
      <c r="BZ40" s="14">
        <f>BY40*VLOOKUP('Données projet'!$B$12,Paramètres!$A$1:$I$89,3,0)*VLOOKUP('Données projet'!$B$12,Paramètres!$A$1:$I$89,5,0)</f>
        <v>104.80704000000004</v>
      </c>
      <c r="CA40" s="14">
        <f t="shared" si="39"/>
        <v>28.104060486002457</v>
      </c>
      <c r="CB40" s="22">
        <f t="shared" si="10"/>
        <v>231.48683334645435</v>
      </c>
      <c r="CC40" s="62">
        <f t="shared" si="11"/>
        <v>476.84618531712545</v>
      </c>
      <c r="CD40" s="62">
        <f ca="1">AVERAGE(OFFSET($CC$3,0,0,'Données projet'!$E$12+1,1))-AVERAGE(OFFSET($H$3,0,0,'Données projet'!$E$12+1,1))</f>
        <v>272.69564942740931</v>
      </c>
      <c r="CE40" s="62">
        <f t="shared" si="40"/>
        <v>316.57989180609252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7.8</v>
      </c>
      <c r="CT40" s="13">
        <f>IF('Données projet'!$A$140&gt;35,CT39+CS40-DB39,IF(A40&lt;'Données projet'!$A$140,$CQ$205^A40,IF(A40='Données projet'!$A$140,'Données projet'!$B$140,CT39+CS40-DB39)))</f>
        <v>171.60000000000002</v>
      </c>
      <c r="CU40" s="18">
        <f>CT40*VLOOKUP('Données projet'!$B$13,Paramètres!$A$1:$I$89,3,0)*VLOOKUP('Données projet'!$B$13,Paramètres!$A$1:$I$89,5,0)</f>
        <v>112.43232</v>
      </c>
      <c r="CV40" s="14">
        <f t="shared" si="41"/>
        <v>29.903326635598326</v>
      </c>
      <c r="CW40" s="22">
        <f t="shared" si="13"/>
        <v>247.90125122366706</v>
      </c>
      <c r="CX40" s="62">
        <f t="shared" si="14"/>
        <v>493.26060319433816</v>
      </c>
      <c r="CY40" s="62">
        <f ca="1">AVERAGE(OFFSET($CX$3,0,0,'Données projet'!$E$13+1,1))-AVERAGE(OFFSET($H$3,0,0,'Données projet'!$E$13+1,1))</f>
        <v>304.35088214287919</v>
      </c>
      <c r="CZ40" s="62">
        <f t="shared" si="42"/>
        <v>288.72611053217599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5.1282051282051384</v>
      </c>
      <c r="DO40" s="13">
        <f>IF('Données projet'!$A$166&gt;35,DO39+DN40-DW39,IF(A40&lt;'Données projet'!$A$166,$DL$205^A40,IF(A40='Données projet'!$A$166,'Données projet'!$B$166,DO39+DN40-DW39)))</f>
        <v>178.84615384615392</v>
      </c>
      <c r="DP40" s="18">
        <f>DO40*VLOOKUP('Données projet'!$B$14,Paramètres!$A$1:$I$89,3,0)*VLOOKUP('Données projet'!$B$14,Paramètres!$A$1:$I$89,5,0)</f>
        <v>103.23000000000005</v>
      </c>
      <c r="DQ40" s="14">
        <f t="shared" si="43"/>
        <v>27.730071046098878</v>
      </c>
      <c r="DR40" s="22">
        <f t="shared" si="16"/>
        <v>228.08879040528896</v>
      </c>
      <c r="DS40" s="62">
        <f t="shared" si="17"/>
        <v>473.44814237596006</v>
      </c>
      <c r="DT40" s="62">
        <f ca="1">AVERAGE(OFFSET($DS$3,0,0,'Données projet'!$E$14+1,1))-AVERAGE(OFFSET($H$3,0,0,'Données projet'!$E$14+1,1))</f>
        <v>172.86120068224633</v>
      </c>
      <c r="DU40" s="62">
        <f t="shared" si="44"/>
        <v>269.4995727085078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5.4</v>
      </c>
      <c r="EJ40" s="13">
        <f>IF('Données projet'!$A$192&gt;35,EJ39+EI40-ER39,IF(A40&lt;'Données projet'!$A$192,$EG$205^A40,IF(A40='Données projet'!$A$192,'Données projet'!$B$192,EJ39+EI40-ER39)))</f>
        <v>76.8</v>
      </c>
      <c r="EK40" s="18">
        <f>EJ40*VLOOKUP('Données projet'!$B$15,Paramètres!$A$1:$I$89,3,0)*VLOOKUP('Données projet'!$B$15,Paramètres!$A$1:$I$89,5,0)</f>
        <v>64.69632</v>
      </c>
      <c r="EL40" s="14">
        <f t="shared" si="45"/>
        <v>18.350388371049714</v>
      </c>
      <c r="EM40" s="22">
        <f t="shared" si="19"/>
        <v>144.63968374624491</v>
      </c>
      <c r="EN40" s="62">
        <f t="shared" si="20"/>
        <v>389.99903571691601</v>
      </c>
      <c r="EO40" s="62">
        <f ca="1">AVERAGE(OFFSET($EN$3,0,0,'Données projet'!$E$15+1,1))-AVERAGE(OFFSET($H$3,0,0,'Données projet'!$E$15+1,1))</f>
        <v>346.97972840139914</v>
      </c>
      <c r="EP40" s="62">
        <f t="shared" si="46"/>
        <v>158.41433650660613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6</v>
      </c>
      <c r="FE40" s="13">
        <f>IF('Données projet'!$A$218&gt;35,FE39+FD40-FM39,IF(A40&lt;'Données projet'!$A$218,$FB$205^A40,IF(A40='Données projet'!$A$218,'Données projet'!$B$218,FE39+FD40-FM39)))</f>
        <v>120.99999999999991</v>
      </c>
      <c r="FF40" s="18">
        <f>FE40*VLOOKUP('Données projet'!$B$16,Paramètres!$A$1:$I$89,3,0)*VLOOKUP('Données projet'!$B$16,Paramètres!$A$1:$I$89,5,0)</f>
        <v>79.279199999999946</v>
      </c>
      <c r="FG40" s="14">
        <f t="shared" si="47"/>
        <v>21.960852053344627</v>
      </c>
      <c r="FH40" s="22">
        <f t="shared" si="22"/>
        <v>176.32642399290845</v>
      </c>
      <c r="FI40" s="62">
        <f t="shared" si="23"/>
        <v>421.68577596357954</v>
      </c>
      <c r="FJ40" s="62">
        <f ca="1">AVERAGE(OFFSET($FI$3,0,0,'Données projet'!$E$16+1,1))-AVERAGE(OFFSET($H$3,0,0,'Données projet'!$E$16+1,1))</f>
        <v>235.88453308732235</v>
      </c>
      <c r="FK40" s="62">
        <f t="shared" si="48"/>
        <v>220.72810812053521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118.94688000000004</v>
      </c>
      <c r="P41" s="14">
        <f t="shared" si="33"/>
        <v>31.429250481525276</v>
      </c>
      <c r="Q41" s="22">
        <f t="shared" si="53"/>
        <v>261.90509392198993</v>
      </c>
      <c r="R41" s="62">
        <f t="shared" si="0"/>
        <v>508.09668721554863</v>
      </c>
      <c r="S41" s="62">
        <f ca="1">AVERAGE(OFFSET($R$3,0,0,'Données projet'!$E$9+1,1))-AVERAGE(OFFSET($H$3,0,0,'Données projet'!$E$9+1,1))</f>
        <v>442.98179778678298</v>
      </c>
      <c r="T41" s="62">
        <f t="shared" si="34"/>
        <v>251.96153561746942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179.40000000000003</v>
      </c>
      <c r="AJ41" s="14">
        <f>AI41*VLOOKUP('Données projet'!$B$10,Paramètres!$A$1:$I$89,3,0)*VLOOKUP('Données projet'!$B$10,Paramètres!$A$1:$I$89,5,0)</f>
        <v>117.54288000000003</v>
      </c>
      <c r="AK41" s="14">
        <f t="shared" si="35"/>
        <v>31.101228198889224</v>
      </c>
      <c r="AL41" s="22">
        <f t="shared" si="4"/>
        <v>258.88848844639881</v>
      </c>
      <c r="AM41" s="62">
        <f t="shared" si="5"/>
        <v>505.08008173995756</v>
      </c>
      <c r="AN41" s="62">
        <f ca="1">AVERAGE(OFFSET($AM$3,0,0,'Données projet'!$E$10+1,1))-AVERAGE(OFFSET($H$3,0,0,'Données projet'!$E$10+1,1))</f>
        <v>304.35088214287919</v>
      </c>
      <c r="AO41" s="62">
        <f t="shared" si="36"/>
        <v>288.72611053217599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7.9487179487179507</v>
      </c>
      <c r="BD41" s="13">
        <f>IF('Données projet'!$A$88&gt;35,BD40+BC41-BL40,IF(A41&lt;'Données projet'!$A$88,$BA$205^A41,IF(A41='Données projet'!$A$88,'Données projet'!$B$88,BD40+BC41-BL40)))</f>
        <v>208.46153846153851</v>
      </c>
      <c r="BE41" s="14">
        <f>BD41*VLOOKUP('Données projet'!$B$11,Paramètres!$A$1:$I$89,3,0)*VLOOKUP('Données projet'!$B$11,Paramètres!$A$1:$I$89,5,0)</f>
        <v>133.33200000000005</v>
      </c>
      <c r="BF41" s="14">
        <f t="shared" si="37"/>
        <v>34.765149001798996</v>
      </c>
      <c r="BG41" s="22">
        <f t="shared" si="7"/>
        <v>292.7692011781333</v>
      </c>
      <c r="BH41" s="62">
        <f t="shared" si="8"/>
        <v>538.960794471692</v>
      </c>
      <c r="BI41" s="62">
        <f ca="1">AVERAGE(OFFSET($BH$3,0,0,'Données projet'!$E$11+1,1))-AVERAGE(OFFSET($H$3,0,0,'Données projet'!$E$11+1,1))</f>
        <v>285.09561428624352</v>
      </c>
      <c r="BJ41" s="62">
        <f t="shared" si="38"/>
        <v>261.05678516705564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7.6</v>
      </c>
      <c r="BY41" s="13">
        <f>IF('Données projet'!$A$114&gt;35,BY40+BX41-CG40,IF(A41&lt;'Données projet'!$A$114,$BV$205^A41,IF(A41='Données projet'!$A$114,'Données projet'!$B$114,BY40+BX41-CG40)))</f>
        <v>136.80000000000004</v>
      </c>
      <c r="BZ41" s="14">
        <f>BY41*VLOOKUP('Données projet'!$B$12,Paramètres!$A$1:$I$89,3,0)*VLOOKUP('Données projet'!$B$12,Paramètres!$A$1:$I$89,5,0)</f>
        <v>110.97216000000004</v>
      </c>
      <c r="CA41" s="14">
        <f t="shared" si="39"/>
        <v>29.559915623187329</v>
      </c>
      <c r="CB41" s="22">
        <f t="shared" si="10"/>
        <v>244.76003171038471</v>
      </c>
      <c r="CC41" s="62">
        <f t="shared" si="11"/>
        <v>490.95162500394343</v>
      </c>
      <c r="CD41" s="62">
        <f ca="1">AVERAGE(OFFSET($CC$3,0,0,'Données projet'!$E$12+1,1))-AVERAGE(OFFSET($H$3,0,0,'Données projet'!$E$12+1,1))</f>
        <v>272.69564942740931</v>
      </c>
      <c r="CE41" s="62">
        <f t="shared" si="40"/>
        <v>316.57989180609252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7.8</v>
      </c>
      <c r="CT41" s="13">
        <f>IF('Données projet'!$A$140&gt;35,CT40+CS41-DB40,IF(A41&lt;'Données projet'!$A$140,$CQ$205^A41,IF(A41='Données projet'!$A$140,'Données projet'!$B$140,CT40+CS41-DB40)))</f>
        <v>179.40000000000003</v>
      </c>
      <c r="CU41" s="18">
        <f>CT41*VLOOKUP('Données projet'!$B$13,Paramètres!$A$1:$I$89,3,0)*VLOOKUP('Données projet'!$B$13,Paramètres!$A$1:$I$89,5,0)</f>
        <v>117.54288000000003</v>
      </c>
      <c r="CV41" s="14">
        <f t="shared" si="41"/>
        <v>31.101228198889224</v>
      </c>
      <c r="CW41" s="22">
        <f t="shared" si="13"/>
        <v>258.88848844639881</v>
      </c>
      <c r="CX41" s="62">
        <f t="shared" si="14"/>
        <v>505.08008173995756</v>
      </c>
      <c r="CY41" s="62">
        <f ca="1">AVERAGE(OFFSET($CX$3,0,0,'Données projet'!$E$13+1,1))-AVERAGE(OFFSET($H$3,0,0,'Données projet'!$E$13+1,1))</f>
        <v>304.35088214287919</v>
      </c>
      <c r="CZ41" s="62">
        <f t="shared" si="42"/>
        <v>288.72611053217599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>
        <f>VLOOKUP(A41,'Données projet'!$A$165:$I$185,2,0)</f>
        <v>183.97435897435898</v>
      </c>
      <c r="DM41" s="13">
        <f>VLOOKUP(A41,'Données projet'!$A$165:$I$185,9,0)</f>
        <v>5.1282051282051384</v>
      </c>
      <c r="DN41" s="13">
        <f t="array" ref="DN41">INDEX(DM:DM,MIN(IF(ISNUMBER(DM41:DM237),ROW(DM41:DM237),"")))</f>
        <v>5.1282051282051384</v>
      </c>
      <c r="DO41" s="13">
        <f>IF('Données projet'!$A$166&gt;35,DO40+DN41-DW40,IF(A41&lt;'Données projet'!$A$166,$DL$205^A41,IF(A41='Données projet'!$A$166,'Données projet'!$B$166,DO40+DN41-DW40)))</f>
        <v>183.97435897435906</v>
      </c>
      <c r="DP41" s="18">
        <f>DO41*VLOOKUP('Données projet'!$B$14,Paramètres!$A$1:$I$89,3,0)*VLOOKUP('Données projet'!$B$14,Paramètres!$A$1:$I$89,5,0)</f>
        <v>106.19000000000004</v>
      </c>
      <c r="DQ41" s="14">
        <f t="shared" si="43"/>
        <v>28.431485547694862</v>
      </c>
      <c r="DR41" s="22">
        <f t="shared" si="16"/>
        <v>234.46575399556863</v>
      </c>
      <c r="DS41" s="62">
        <f t="shared" si="17"/>
        <v>480.65734728912736</v>
      </c>
      <c r="DT41" s="62">
        <f ca="1">AVERAGE(OFFSET($DS$3,0,0,'Données projet'!$E$14+1,1))-AVERAGE(OFFSET($H$3,0,0,'Données projet'!$E$14+1,1))</f>
        <v>172.86120068224633</v>
      </c>
      <c r="DU41" s="62">
        <f t="shared" si="44"/>
        <v>269.4995727085078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5.4</v>
      </c>
      <c r="EJ41" s="13">
        <f>IF('Données projet'!$A$192&gt;35,EJ40+EI41-ER40,IF(A41&lt;'Données projet'!$A$192,$EG$205^A41,IF(A41='Données projet'!$A$192,'Données projet'!$B$192,EJ40+EI41-ER40)))</f>
        <v>82.2</v>
      </c>
      <c r="EK41" s="18">
        <f>EJ41*VLOOKUP('Données projet'!$B$15,Paramètres!$A$1:$I$89,3,0)*VLOOKUP('Données projet'!$B$15,Paramètres!$A$1:$I$89,5,0)</f>
        <v>69.245280000000008</v>
      </c>
      <c r="EL41" s="14">
        <f t="shared" si="45"/>
        <v>19.485915913622929</v>
      </c>
      <c r="EM41" s="22">
        <f t="shared" si="19"/>
        <v>154.54016621622662</v>
      </c>
      <c r="EN41" s="62">
        <f t="shared" si="20"/>
        <v>400.73175950978532</v>
      </c>
      <c r="EO41" s="62">
        <f ca="1">AVERAGE(OFFSET($EN$3,0,0,'Données projet'!$E$15+1,1))-AVERAGE(OFFSET($H$3,0,0,'Données projet'!$E$15+1,1))</f>
        <v>346.97972840139914</v>
      </c>
      <c r="EP41" s="62">
        <f t="shared" si="46"/>
        <v>158.41433650660613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6</v>
      </c>
      <c r="FE41" s="13">
        <f>IF('Données projet'!$A$218&gt;35,FE40+FD41-FM40,IF(A41&lt;'Données projet'!$A$218,$FB$205^A41,IF(A41='Données projet'!$A$218,'Données projet'!$B$218,FE40+FD41-FM40)))</f>
        <v>126.99999999999991</v>
      </c>
      <c r="FF41" s="18">
        <f>FE41*VLOOKUP('Données projet'!$B$16,Paramètres!$A$1:$I$89,3,0)*VLOOKUP('Données projet'!$B$16,Paramètres!$A$1:$I$89,5,0)</f>
        <v>83.210399999999936</v>
      </c>
      <c r="FG41" s="14">
        <f t="shared" si="47"/>
        <v>22.920337105048574</v>
      </c>
      <c r="FH41" s="22">
        <f t="shared" si="22"/>
        <v>184.84436712462616</v>
      </c>
      <c r="FI41" s="62">
        <f t="shared" si="23"/>
        <v>431.03596041818491</v>
      </c>
      <c r="FJ41" s="62">
        <f ca="1">AVERAGE(OFFSET($FI$3,0,0,'Données projet'!$E$16+1,1))-AVERAGE(OFFSET($H$3,0,0,'Données projet'!$E$16+1,1))</f>
        <v>235.88453308732235</v>
      </c>
      <c r="FK41" s="62">
        <f t="shared" si="48"/>
        <v>220.72810812053521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126.02304000000004</v>
      </c>
      <c r="P42" s="14">
        <f t="shared" si="33"/>
        <v>33.075745544773369</v>
      </c>
      <c r="Q42" s="22">
        <f t="shared" si="53"/>
        <v>277.0970514904804</v>
      </c>
      <c r="R42" s="62">
        <f t="shared" si="0"/>
        <v>524.10644858058754</v>
      </c>
      <c r="S42" s="62">
        <f ca="1">AVERAGE(OFFSET($R$3,0,0,'Données projet'!$E$9+1,1))-AVERAGE(OFFSET($H$3,0,0,'Données projet'!$E$9+1,1))</f>
        <v>442.98179778678298</v>
      </c>
      <c r="T42" s="62">
        <f t="shared" si="34"/>
        <v>251.96153561746942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187.20000000000005</v>
      </c>
      <c r="AJ42" s="14">
        <f>AI42*VLOOKUP('Données projet'!$B$10,Paramètres!$A$1:$I$89,3,0)*VLOOKUP('Données projet'!$B$10,Paramètres!$A$1:$I$89,5,0)</f>
        <v>122.65344000000002</v>
      </c>
      <c r="AK42" s="14">
        <f t="shared" si="35"/>
        <v>32.293080640759037</v>
      </c>
      <c r="AL42" s="22">
        <f t="shared" si="4"/>
        <v>269.8651901159887</v>
      </c>
      <c r="AM42" s="62">
        <f t="shared" si="5"/>
        <v>516.87458720609584</v>
      </c>
      <c r="AN42" s="62">
        <f ca="1">AVERAGE(OFFSET($AM$3,0,0,'Données projet'!$E$10+1,1))-AVERAGE(OFFSET($H$3,0,0,'Données projet'!$E$10+1,1))</f>
        <v>304.35088214287919</v>
      </c>
      <c r="AO42" s="62">
        <f t="shared" si="36"/>
        <v>288.72611053217599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7.9487179487179507</v>
      </c>
      <c r="BD42" s="13">
        <f>IF('Données projet'!$A$88&gt;35,BD41+BC42-BL41,IF(A42&lt;'Données projet'!$A$88,$BA$205^A42,IF(A42='Données projet'!$A$88,'Données projet'!$B$88,BD41+BC42-BL41)))</f>
        <v>216.41025641025647</v>
      </c>
      <c r="BE42" s="14">
        <f>BD42*VLOOKUP('Données projet'!$B$11,Paramètres!$A$1:$I$89,3,0)*VLOOKUP('Données projet'!$B$11,Paramètres!$A$1:$I$89,5,0)</f>
        <v>138.41600000000003</v>
      </c>
      <c r="BF42" s="14">
        <f t="shared" si="37"/>
        <v>35.933893377923624</v>
      </c>
      <c r="BG42" s="22">
        <f t="shared" si="7"/>
        <v>303.659397633217</v>
      </c>
      <c r="BH42" s="62">
        <f t="shared" si="8"/>
        <v>550.66879472332414</v>
      </c>
      <c r="BI42" s="62">
        <f ca="1">AVERAGE(OFFSET($BH$3,0,0,'Données projet'!$E$11+1,1))-AVERAGE(OFFSET($H$3,0,0,'Données projet'!$E$11+1,1))</f>
        <v>285.09561428624352</v>
      </c>
      <c r="BJ42" s="62">
        <f t="shared" si="38"/>
        <v>261.05678516705564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7.6</v>
      </c>
      <c r="BY42" s="13">
        <f>IF('Données projet'!$A$114&gt;35,BY41+BX42-CG41,IF(A42&lt;'Données projet'!$A$114,$BV$205^A42,IF(A42='Données projet'!$A$114,'Données projet'!$B$114,BY41+BX42-CG41)))</f>
        <v>144.40000000000003</v>
      </c>
      <c r="BZ42" s="14">
        <f>BY42*VLOOKUP('Données projet'!$B$12,Paramètres!$A$1:$I$89,3,0)*VLOOKUP('Données projet'!$B$12,Paramètres!$A$1:$I$89,5,0)</f>
        <v>117.13728000000003</v>
      </c>
      <c r="CA42" s="14">
        <f t="shared" si="39"/>
        <v>31.006381507018595</v>
      </c>
      <c r="CB42" s="22">
        <f t="shared" si="10"/>
        <v>258.01687712472409</v>
      </c>
      <c r="CC42" s="62">
        <f t="shared" si="11"/>
        <v>505.02627421483123</v>
      </c>
      <c r="CD42" s="62">
        <f ca="1">AVERAGE(OFFSET($CC$3,0,0,'Données projet'!$E$12+1,1))-AVERAGE(OFFSET($H$3,0,0,'Données projet'!$E$12+1,1))</f>
        <v>272.69564942740931</v>
      </c>
      <c r="CE42" s="62">
        <f t="shared" si="40"/>
        <v>316.57989180609252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7.8</v>
      </c>
      <c r="CT42" s="13">
        <f>IF('Données projet'!$A$140&gt;35,CT41+CS42-DB41,IF(A42&lt;'Données projet'!$A$140,$CQ$205^A42,IF(A42='Données projet'!$A$140,'Données projet'!$B$140,CT41+CS42-DB41)))</f>
        <v>187.20000000000005</v>
      </c>
      <c r="CU42" s="18">
        <f>CT42*VLOOKUP('Données projet'!$B$13,Paramètres!$A$1:$I$89,3,0)*VLOOKUP('Données projet'!$B$13,Paramètres!$A$1:$I$89,5,0)</f>
        <v>122.65344000000002</v>
      </c>
      <c r="CV42" s="14">
        <f t="shared" si="41"/>
        <v>32.293080640759037</v>
      </c>
      <c r="CW42" s="22">
        <f t="shared" si="13"/>
        <v>269.8651901159887</v>
      </c>
      <c r="CX42" s="62">
        <f t="shared" si="14"/>
        <v>516.87458720609584</v>
      </c>
      <c r="CY42" s="62">
        <f ca="1">AVERAGE(OFFSET($CX$3,0,0,'Données projet'!$E$13+1,1))-AVERAGE(OFFSET($H$3,0,0,'Données projet'!$E$13+1,1))</f>
        <v>304.35088214287919</v>
      </c>
      <c r="CZ42" s="62">
        <f t="shared" si="42"/>
        <v>288.72611053217599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4.8076923076923066</v>
      </c>
      <c r="DO42" s="13">
        <f>IF('Données projet'!$A$166&gt;35,DO41+DN42-DW41,IF(A42&lt;'Données projet'!$A$166,$DL$205^A42,IF(A42='Données projet'!$A$166,'Données projet'!$B$166,DO41+DN42-DW41)))</f>
        <v>188.78205128205138</v>
      </c>
      <c r="DP42" s="18">
        <f>DO42*VLOOKUP('Données projet'!$B$14,Paramètres!$A$1:$I$89,3,0)*VLOOKUP('Données projet'!$B$14,Paramètres!$A$1:$I$89,5,0)</f>
        <v>108.96500000000006</v>
      </c>
      <c r="DQ42" s="14">
        <f t="shared" si="43"/>
        <v>29.086996493238374</v>
      </c>
      <c r="DR42" s="22">
        <f t="shared" si="16"/>
        <v>240.44056055905693</v>
      </c>
      <c r="DS42" s="62">
        <f t="shared" si="17"/>
        <v>487.44995764916405</v>
      </c>
      <c r="DT42" s="62">
        <f ca="1">AVERAGE(OFFSET($DS$3,0,0,'Données projet'!$E$14+1,1))-AVERAGE(OFFSET($H$3,0,0,'Données projet'!$E$14+1,1))</f>
        <v>172.86120068224633</v>
      </c>
      <c r="DU42" s="62">
        <f t="shared" si="44"/>
        <v>269.4995727085078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5.4</v>
      </c>
      <c r="EJ42" s="13">
        <f>IF('Données projet'!$A$192&gt;35,EJ41+EI42-ER41,IF(A42&lt;'Données projet'!$A$192,$EG$205^A42,IF(A42='Données projet'!$A$192,'Données projet'!$B$192,EJ41+EI42-ER41)))</f>
        <v>87.600000000000009</v>
      </c>
      <c r="EK42" s="18">
        <f>EJ42*VLOOKUP('Données projet'!$B$15,Paramètres!$A$1:$I$89,3,0)*VLOOKUP('Données projet'!$B$15,Paramètres!$A$1:$I$89,5,0)</f>
        <v>73.794240000000016</v>
      </c>
      <c r="EL42" s="14">
        <f t="shared" si="45"/>
        <v>20.612786943824918</v>
      </c>
      <c r="EM42" s="22">
        <f t="shared" si="19"/>
        <v>164.42557192716174</v>
      </c>
      <c r="EN42" s="62">
        <f t="shared" si="20"/>
        <v>411.43496901726883</v>
      </c>
      <c r="EO42" s="62">
        <f ca="1">AVERAGE(OFFSET($EN$3,0,0,'Données projet'!$E$15+1,1))-AVERAGE(OFFSET($H$3,0,0,'Données projet'!$E$15+1,1))</f>
        <v>346.97972840139914</v>
      </c>
      <c r="EP42" s="62">
        <f t="shared" si="46"/>
        <v>158.41433650660613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6</v>
      </c>
      <c r="FE42" s="13">
        <f>IF('Données projet'!$A$218&gt;35,FE41+FD42-FM41,IF(A42&lt;'Données projet'!$A$218,$FB$205^A42,IF(A42='Données projet'!$A$218,'Données projet'!$B$218,FE41+FD42-FM41)))</f>
        <v>132.99999999999991</v>
      </c>
      <c r="FF42" s="18">
        <f>FE42*VLOOKUP('Données projet'!$B$16,Paramètres!$A$1:$I$89,3,0)*VLOOKUP('Données projet'!$B$16,Paramètres!$A$1:$I$89,5,0)</f>
        <v>87.14159999999994</v>
      </c>
      <c r="FG42" s="14">
        <f t="shared" si="47"/>
        <v>23.874558158360944</v>
      </c>
      <c r="FH42" s="22">
        <f t="shared" si="22"/>
        <v>193.35314212581184</v>
      </c>
      <c r="FI42" s="62">
        <f t="shared" si="23"/>
        <v>440.36253921591896</v>
      </c>
      <c r="FJ42" s="62">
        <f ca="1">AVERAGE(OFFSET($FI$3,0,0,'Données projet'!$E$16+1,1))-AVERAGE(OFFSET($H$3,0,0,'Données projet'!$E$16+1,1))</f>
        <v>235.88453308732235</v>
      </c>
      <c r="FK42" s="62">
        <f t="shared" si="48"/>
        <v>220.72810812053521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133.09920000000002</v>
      </c>
      <c r="P43" s="14">
        <f t="shared" si="33"/>
        <v>34.71150853565117</v>
      </c>
      <c r="Q43" s="22">
        <f t="shared" si="53"/>
        <v>292.27031736625912</v>
      </c>
      <c r="R43" s="62">
        <f t="shared" si="0"/>
        <v>540.08333118537996</v>
      </c>
      <c r="S43" s="62">
        <f ca="1">AVERAGE(OFFSET($R$3,0,0,'Données projet'!$E$9+1,1))-AVERAGE(OFFSET($H$3,0,0,'Données projet'!$E$9+1,1))</f>
        <v>442.98179778678298</v>
      </c>
      <c r="T43" s="62">
        <f t="shared" si="34"/>
        <v>251.96153561746942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195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195.00000000000006</v>
      </c>
      <c r="AJ43" s="14">
        <f>AI43*VLOOKUP('Données projet'!$B$10,Paramètres!$A$1:$I$89,3,0)*VLOOKUP('Données projet'!$B$10,Paramètres!$A$1:$I$89,5,0)</f>
        <v>127.76400000000004</v>
      </c>
      <c r="AK43" s="14">
        <f t="shared" si="35"/>
        <v>33.479164830670079</v>
      </c>
      <c r="AL43" s="22">
        <f t="shared" si="4"/>
        <v>280.83184541341706</v>
      </c>
      <c r="AM43" s="62">
        <f t="shared" si="5"/>
        <v>528.6448592325379</v>
      </c>
      <c r="AN43" s="62">
        <f ca="1">AVERAGE(OFFSET($AM$3,0,0,'Données projet'!$E$10+1,1))-AVERAGE(OFFSET($H$3,0,0,'Données projet'!$E$10+1,1))</f>
        <v>304.35088214287919</v>
      </c>
      <c r="AO43" s="62">
        <f t="shared" si="36"/>
        <v>288.72611053217599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224.35897435897436</v>
      </c>
      <c r="BB43" s="13">
        <f>VLOOKUP(A43,'Données projet'!$A$87:$I$107,9,0)</f>
        <v>7.9487179487179507</v>
      </c>
      <c r="BC43" s="13">
        <f t="array" ref="BC43">INDEX(BB:BB,MIN(IF(ISNUMBER(BB43:BB239),ROW(BB43:BB239),"")))</f>
        <v>7.9487179487179507</v>
      </c>
      <c r="BD43" s="13">
        <f>IF('Données projet'!$A$88&gt;35,BD42+BC43-BL42,IF(A43&lt;'Données projet'!$A$88,$BA$205^A43,IF(A43='Données projet'!$A$88,'Données projet'!$B$88,BD42+BC43-BL42)))</f>
        <v>224.35897435897442</v>
      </c>
      <c r="BE43" s="14">
        <f>BD43*VLOOKUP('Données projet'!$B$11,Paramètres!$A$1:$I$89,3,0)*VLOOKUP('Données projet'!$B$11,Paramètres!$A$1:$I$89,5,0)</f>
        <v>143.50000000000003</v>
      </c>
      <c r="BF43" s="14">
        <f t="shared" si="37"/>
        <v>37.097650438246141</v>
      </c>
      <c r="BG43" s="22">
        <f t="shared" si="7"/>
        <v>314.54090784661207</v>
      </c>
      <c r="BH43" s="62">
        <f t="shared" si="8"/>
        <v>562.35392166573286</v>
      </c>
      <c r="BI43" s="62">
        <f ca="1">AVERAGE(OFFSET($BH$3,0,0,'Données projet'!$E$11+1,1))-AVERAGE(OFFSET($H$3,0,0,'Données projet'!$E$11+1,1))</f>
        <v>285.09561428624352</v>
      </c>
      <c r="BJ43" s="62">
        <f t="shared" si="38"/>
        <v>261.05678516705564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135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152</v>
      </c>
      <c r="BW43" s="13">
        <f>VLOOKUP(A43,'Données projet'!$A$113:$I$133,9,0)</f>
        <v>7.6</v>
      </c>
      <c r="BX43" s="13">
        <f t="array" ref="BX43">INDEX(BW:BW,MIN(IF(ISNUMBER(BW43:BW239),ROW(BW43:BW239),"")))</f>
        <v>7.6</v>
      </c>
      <c r="BY43" s="13">
        <f>IF('Données projet'!$A$114&gt;35,BY42+BX43-CG42,IF(A43&lt;'Données projet'!$A$114,$BV$205^A43,IF(A43='Données projet'!$A$114,'Données projet'!$B$114,BY42+BX43-CG42)))</f>
        <v>152.00000000000003</v>
      </c>
      <c r="BZ43" s="14">
        <f>BY43*VLOOKUP('Données projet'!$B$12,Paramètres!$A$1:$I$89,3,0)*VLOOKUP('Données projet'!$B$12,Paramètres!$A$1:$I$89,5,0)</f>
        <v>123.30240000000003</v>
      </c>
      <c r="CA43" s="14">
        <f t="shared" si="39"/>
        <v>32.444008665071891</v>
      </c>
      <c r="CB43" s="22">
        <f t="shared" si="10"/>
        <v>271.25832842500023</v>
      </c>
      <c r="CC43" s="62">
        <f t="shared" si="11"/>
        <v>519.07134224412107</v>
      </c>
      <c r="CD43" s="62">
        <f ca="1">AVERAGE(OFFSET($CC$3,0,0,'Données projet'!$E$12+1,1))-AVERAGE(OFFSET($H$3,0,0,'Données projet'!$E$12+1,1))</f>
        <v>272.69564942740931</v>
      </c>
      <c r="CE43" s="62">
        <f t="shared" si="40"/>
        <v>316.57989180609252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195</v>
      </c>
      <c r="CR43" s="13">
        <f>VLOOKUP(A43,'Données projet'!$A$139:$I$159,9,0)</f>
        <v>7.8</v>
      </c>
      <c r="CS43" s="13">
        <f t="array" ref="CS43">INDEX(CR:CR,MIN(IF(ISNUMBER(CR43:CR239),ROW(CR43:CR239),"")))</f>
        <v>7.8</v>
      </c>
      <c r="CT43" s="13">
        <f>IF('Données projet'!$A$140&gt;35,CT42+CS43-DB42,IF(A43&lt;'Données projet'!$A$140,$CQ$205^A43,IF(A43='Données projet'!$A$140,'Données projet'!$B$140,CT42+CS43-DB42)))</f>
        <v>195.00000000000006</v>
      </c>
      <c r="CU43" s="18">
        <f>CT43*VLOOKUP('Données projet'!$B$13,Paramètres!$A$1:$I$89,3,0)*VLOOKUP('Données projet'!$B$13,Paramètres!$A$1:$I$89,5,0)</f>
        <v>127.76400000000004</v>
      </c>
      <c r="CV43" s="14">
        <f t="shared" si="41"/>
        <v>33.479164830670079</v>
      </c>
      <c r="CW43" s="22">
        <f t="shared" si="13"/>
        <v>280.83184541341706</v>
      </c>
      <c r="CX43" s="62">
        <f t="shared" si="14"/>
        <v>528.6448592325379</v>
      </c>
      <c r="CY43" s="62">
        <f ca="1">AVERAGE(OFFSET($CX$3,0,0,'Données projet'!$E$13+1,1))-AVERAGE(OFFSET($H$3,0,0,'Données projet'!$E$13+1,1))</f>
        <v>304.35088214287919</v>
      </c>
      <c r="CZ43" s="62">
        <f t="shared" si="42"/>
        <v>288.72611053217599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193.58974358974359</v>
      </c>
      <c r="DM43" s="13">
        <f>VLOOKUP(A43,'Données projet'!$A$165:$I$185,9,0)</f>
        <v>4.8076923076923066</v>
      </c>
      <c r="DN43" s="13">
        <f t="array" ref="DN43">INDEX(DM:DM,MIN(IF(ISNUMBER(DM43:DM239),ROW(DM43:DM239),"")))</f>
        <v>4.8076923076923066</v>
      </c>
      <c r="DO43" s="13">
        <f>IF('Données projet'!$A$166&gt;35,DO42+DN43-DW42,IF(A43&lt;'Données projet'!$A$166,$DL$205^A43,IF(A43='Données projet'!$A$166,'Données projet'!$B$166,DO42+DN43-DW42)))</f>
        <v>193.5897435897437</v>
      </c>
      <c r="DP43" s="18">
        <f>DO43*VLOOKUP('Données projet'!$B$14,Paramètres!$A$1:$I$89,3,0)*VLOOKUP('Données projet'!$B$14,Paramètres!$A$1:$I$89,5,0)</f>
        <v>111.74000000000007</v>
      </c>
      <c r="DQ43" s="14">
        <f t="shared" si="43"/>
        <v>29.740566932890832</v>
      </c>
      <c r="DR43" s="22">
        <f t="shared" si="16"/>
        <v>246.41198740811831</v>
      </c>
      <c r="DS43" s="62">
        <f t="shared" si="17"/>
        <v>494.22500122723909</v>
      </c>
      <c r="DT43" s="62">
        <f ca="1">AVERAGE(OFFSET($DS$3,0,0,'Données projet'!$E$14+1,1))-AVERAGE(OFFSET($H$3,0,0,'Données projet'!$E$14+1,1))</f>
        <v>172.86120068224633</v>
      </c>
      <c r="DU43" s="62">
        <f t="shared" si="44"/>
        <v>269.4995727085078</v>
      </c>
      <c r="DV43" s="16">
        <f>IF(ISNA(VLOOKUP(A43,'Données projet'!$A$165:$I$185,3,0)),0,VLOOKUP(A43,'Données projet'!$A$165:$I$185,3,0))</f>
        <v>8</v>
      </c>
      <c r="DW43" s="16">
        <f>IF(ISNA(VLOOKUP(A43,'Données projet'!$A$165:$I$185,4,0)),0,VLOOKUP(A43,'Données projet'!$A$165:$I$185,4,0))</f>
        <v>193.58974358974359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93</v>
      </c>
      <c r="EH43" s="13">
        <f>VLOOKUP(A43,'Données projet'!$A$191:$I$211,9,0)</f>
        <v>5.4</v>
      </c>
      <c r="EI43" s="13">
        <f t="array" ref="EI43">INDEX(EH:EH,MIN(IF(ISNUMBER(EH43:EH239),ROW(EH43:EH239),"")))</f>
        <v>5.4</v>
      </c>
      <c r="EJ43" s="13">
        <f>IF('Données projet'!$A$192&gt;35,EJ42+EI43-ER42,IF(A43&lt;'Données projet'!$A$192,$EG$205^A43,IF(A43='Données projet'!$A$192,'Données projet'!$B$192,EJ42+EI43-ER42)))</f>
        <v>93.000000000000014</v>
      </c>
      <c r="EK43" s="18">
        <f>EJ43*VLOOKUP('Données projet'!$B$15,Paramètres!$A$1:$I$89,3,0)*VLOOKUP('Données projet'!$B$15,Paramètres!$A$1:$I$89,5,0)</f>
        <v>78.343200000000024</v>
      </c>
      <c r="EL43" s="14">
        <f t="shared" si="45"/>
        <v>21.731595839251806</v>
      </c>
      <c r="EM43" s="22">
        <f t="shared" si="19"/>
        <v>174.29693608669695</v>
      </c>
      <c r="EN43" s="62">
        <f t="shared" si="20"/>
        <v>422.10994990581776</v>
      </c>
      <c r="EO43" s="62">
        <f ca="1">AVERAGE(OFFSET($EN$3,0,0,'Données projet'!$E$15+1,1))-AVERAGE(OFFSET($H$3,0,0,'Données projet'!$E$15+1,1))</f>
        <v>346.97972840139914</v>
      </c>
      <c r="EP43" s="62">
        <f t="shared" si="46"/>
        <v>158.41433650660613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139</v>
      </c>
      <c r="FC43" s="13">
        <f>VLOOKUP(A43,'Données projet'!$A$217:$I$237,9,0)</f>
        <v>6</v>
      </c>
      <c r="FD43" s="13">
        <f t="array" ref="FD43">INDEX(FC:FC,MIN(IF(ISNUMBER(FC43:FC239),ROW(FC43:FC239),"")))</f>
        <v>6</v>
      </c>
      <c r="FE43" s="13">
        <f>IF('Données projet'!$A$218&gt;35,FE42+FD43-FM42,IF(A43&lt;'Données projet'!$A$218,$FB$205^A43,IF(A43='Données projet'!$A$218,'Données projet'!$B$218,FE42+FD43-FM42)))</f>
        <v>138.99999999999991</v>
      </c>
      <c r="FF43" s="18">
        <f>FE43*VLOOKUP('Données projet'!$B$16,Paramètres!$A$1:$I$89,3,0)*VLOOKUP('Données projet'!$B$16,Paramètres!$A$1:$I$89,5,0)</f>
        <v>91.072799999999944</v>
      </c>
      <c r="FG43" s="14">
        <f t="shared" si="47"/>
        <v>24.823779817332358</v>
      </c>
      <c r="FH43" s="22">
        <f t="shared" si="22"/>
        <v>201.85320984852044</v>
      </c>
      <c r="FI43" s="62">
        <f t="shared" si="23"/>
        <v>449.66622366764125</v>
      </c>
      <c r="FJ43" s="62">
        <f ca="1">AVERAGE(OFFSET($FI$3,0,0,'Données projet'!$E$16+1,1))-AVERAGE(OFFSET($H$3,0,0,'Données projet'!$E$16+1,1))</f>
        <v>235.88453308732235</v>
      </c>
      <c r="FK43" s="62">
        <f t="shared" si="48"/>
        <v>220.72810812053521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104.79456000000003</v>
      </c>
      <c r="P44" s="14">
        <f t="shared" si="33"/>
        <v>28.101103481959861</v>
      </c>
      <c r="Q44" s="22">
        <f t="shared" si="53"/>
        <v>231.45994723108015</v>
      </c>
      <c r="R44" s="62">
        <f t="shared" si="0"/>
        <v>480.06263682558415</v>
      </c>
      <c r="S44" s="62">
        <f ca="1">AVERAGE(OFFSET($R$3,0,0,'Données projet'!$E$9+1,1))-AVERAGE(OFFSET($H$3,0,0,'Données projet'!$E$9+1,1))</f>
        <v>442.98179778678298</v>
      </c>
      <c r="T44" s="62">
        <f t="shared" si="34"/>
        <v>251.96153561746942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7.4</v>
      </c>
      <c r="AI44" s="14">
        <f>IF('Données projet'!$A$62&gt;35,AI43+AH44-AQ43,IF(A44&lt;'Données projet'!$A$62,$AF$205^A44,IF(A44='Données projet'!$A$62,'Données projet'!$B$62,AI43+AH44-AQ43)))</f>
        <v>202.40000000000006</v>
      </c>
      <c r="AJ44" s="14">
        <f>AI44*VLOOKUP('Données projet'!$B$10,Paramètres!$A$1:$I$89,3,0)*VLOOKUP('Données projet'!$B$10,Paramètres!$A$1:$I$89,5,0)</f>
        <v>132.61248000000003</v>
      </c>
      <c r="AK44" s="14">
        <f t="shared" si="35"/>
        <v>34.599325938965464</v>
      </c>
      <c r="AL44" s="22">
        <f t="shared" si="4"/>
        <v>291.22722867703152</v>
      </c>
      <c r="AM44" s="62">
        <f t="shared" si="5"/>
        <v>539.82991827153546</v>
      </c>
      <c r="AN44" s="62">
        <f ca="1">AVERAGE(OFFSET($AM$3,0,0,'Données projet'!$E$10+1,1))-AVERAGE(OFFSET($H$3,0,0,'Données projet'!$E$10+1,1))</f>
        <v>304.35088214287919</v>
      </c>
      <c r="AO44" s="62">
        <f t="shared" si="36"/>
        <v>288.72611053217599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12.602564102564102</v>
      </c>
      <c r="BD44" s="13">
        <f>IF('Données projet'!$A$88&gt;35,BD43+BC44-BL43,IF(A44&lt;'Données projet'!$A$88,$BA$205^A44,IF(A44='Données projet'!$A$88,'Données projet'!$B$88,BD43+BC44-BL43)))</f>
        <v>101.96153846153851</v>
      </c>
      <c r="BE44" s="14">
        <f>BD44*VLOOKUP('Données projet'!$B$11,Paramètres!$A$1:$I$89,3,0)*VLOOKUP('Données projet'!$B$11,Paramètres!$A$1:$I$89,5,0)</f>
        <v>65.214600000000033</v>
      </c>
      <c r="BF44" s="14">
        <f t="shared" si="37"/>
        <v>18.480221017226782</v>
      </c>
      <c r="BG44" s="22">
        <f t="shared" si="7"/>
        <v>145.7684799383367</v>
      </c>
      <c r="BH44" s="62">
        <f t="shared" si="8"/>
        <v>394.37116953284067</v>
      </c>
      <c r="BI44" s="62">
        <f ca="1">AVERAGE(OFFSET($BH$3,0,0,'Données projet'!$E$11+1,1))-AVERAGE(OFFSET($H$3,0,0,'Données projet'!$E$11+1,1))</f>
        <v>285.09561428624352</v>
      </c>
      <c r="BJ44" s="62">
        <f t="shared" si="38"/>
        <v>261.05678516705564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7.6</v>
      </c>
      <c r="BY44" s="13">
        <f>IF('Données projet'!$A$114&gt;35,BY43+BX44-CG43,IF(A44&lt;'Données projet'!$A$114,$BV$205^A44,IF(A44='Données projet'!$A$114,'Données projet'!$B$114,BY43+BX44-CG43)))</f>
        <v>159.60000000000002</v>
      </c>
      <c r="BZ44" s="14">
        <f>BY44*VLOOKUP('Données projet'!$B$12,Paramètres!$A$1:$I$89,3,0)*VLOOKUP('Données projet'!$B$12,Paramètres!$A$1:$I$89,5,0)</f>
        <v>129.46752000000004</v>
      </c>
      <c r="CA44" s="14">
        <f t="shared" si="39"/>
        <v>33.873289462262882</v>
      </c>
      <c r="CB44" s="22">
        <f t="shared" si="10"/>
        <v>284.48524314677451</v>
      </c>
      <c r="CC44" s="62">
        <f t="shared" si="11"/>
        <v>533.08793274127845</v>
      </c>
      <c r="CD44" s="62">
        <f ca="1">AVERAGE(OFFSET($CC$3,0,0,'Données projet'!$E$12+1,1))-AVERAGE(OFFSET($H$3,0,0,'Données projet'!$E$12+1,1))</f>
        <v>272.69564942740931</v>
      </c>
      <c r="CE44" s="62">
        <f t="shared" si="40"/>
        <v>316.57989180609252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7.4</v>
      </c>
      <c r="CT44" s="13">
        <f>IF('Données projet'!$A$140&gt;35,CT43+CS44-DB43,IF(A44&lt;'Données projet'!$A$140,$CQ$205^A44,IF(A44='Données projet'!$A$140,'Données projet'!$B$140,CT43+CS44-DB43)))</f>
        <v>202.40000000000006</v>
      </c>
      <c r="CU44" s="18">
        <f>CT44*VLOOKUP('Données projet'!$B$13,Paramètres!$A$1:$I$89,3,0)*VLOOKUP('Données projet'!$B$13,Paramètres!$A$1:$I$89,5,0)</f>
        <v>132.61248000000003</v>
      </c>
      <c r="CV44" s="14">
        <f t="shared" si="41"/>
        <v>34.599325938965464</v>
      </c>
      <c r="CW44" s="22">
        <f t="shared" si="13"/>
        <v>291.22722867703152</v>
      </c>
      <c r="CX44" s="62">
        <f t="shared" si="14"/>
        <v>539.82991827153546</v>
      </c>
      <c r="CY44" s="62">
        <f ca="1">AVERAGE(OFFSET($CX$3,0,0,'Données projet'!$E$13+1,1))-AVERAGE(OFFSET($H$3,0,0,'Données projet'!$E$13+1,1))</f>
        <v>304.35088214287919</v>
      </c>
      <c r="CZ44" s="62">
        <f t="shared" si="42"/>
        <v>288.72611053217599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1.1368683772161603E-13</v>
      </c>
      <c r="DP44" s="18">
        <f>DO44*VLOOKUP('Données projet'!$B$14,Paramètres!$A$1:$I$89,3,0)*VLOOKUP('Données projet'!$B$14,Paramètres!$A$1:$I$89,5,0)</f>
        <v>6.5620042732916778E-14</v>
      </c>
      <c r="DQ44" s="14">
        <f t="shared" si="43"/>
        <v>1.0353460337118015E-12</v>
      </c>
      <c r="DR44" s="22">
        <f t="shared" si="16"/>
        <v>1.9175159164745509E-12</v>
      </c>
      <c r="DS44" s="62">
        <f t="shared" si="17"/>
        <v>248.60268959450588</v>
      </c>
      <c r="DT44" s="62">
        <f ca="1">AVERAGE(OFFSET($DS$3,0,0,'Données projet'!$E$14+1,1))-AVERAGE(OFFSET($H$3,0,0,'Données projet'!$E$14+1,1))</f>
        <v>172.86120068224633</v>
      </c>
      <c r="DU44" s="62">
        <f t="shared" si="44"/>
        <v>269.4995727085078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5.4</v>
      </c>
      <c r="EJ44" s="13">
        <f>IF('Données projet'!$A$192&gt;35,EJ43+EI44-ER43,IF(A44&lt;'Données projet'!$A$192,$EG$205^A44,IF(A44='Données projet'!$A$192,'Données projet'!$B$192,EJ43+EI44-ER43)))</f>
        <v>98.40000000000002</v>
      </c>
      <c r="EK44" s="18">
        <f>EJ44*VLOOKUP('Données projet'!$B$15,Paramètres!$A$1:$I$89,3,0)*VLOOKUP('Données projet'!$B$15,Paramètres!$A$1:$I$89,5,0)</f>
        <v>82.892160000000032</v>
      </c>
      <c r="EL44" s="14">
        <f t="shared" si="45"/>
        <v>22.842864054032376</v>
      </c>
      <c r="EM44" s="22">
        <f t="shared" si="19"/>
        <v>184.15516689410643</v>
      </c>
      <c r="EN44" s="62">
        <f t="shared" si="20"/>
        <v>432.7578564886104</v>
      </c>
      <c r="EO44" s="62">
        <f ca="1">AVERAGE(OFFSET($EN$3,0,0,'Données projet'!$E$15+1,1))-AVERAGE(OFFSET($H$3,0,0,'Données projet'!$E$15+1,1))</f>
        <v>346.97972840139914</v>
      </c>
      <c r="EP44" s="62">
        <f t="shared" si="46"/>
        <v>158.41433650660613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5.6</v>
      </c>
      <c r="FE44" s="13">
        <f>IF('Données projet'!$A$218&gt;35,FE43+FD44-FM43,IF(A44&lt;'Données projet'!$A$218,$FB$205^A44,IF(A44='Données projet'!$A$218,'Données projet'!$B$218,FE43+FD44-FM43)))</f>
        <v>144.59999999999991</v>
      </c>
      <c r="FF44" s="18">
        <f>FE44*VLOOKUP('Données projet'!$B$16,Paramètres!$A$1:$I$89,3,0)*VLOOKUP('Données projet'!$B$16,Paramètres!$A$1:$I$89,5,0)</f>
        <v>94.741919999999936</v>
      </c>
      <c r="FG44" s="14">
        <f t="shared" si="47"/>
        <v>25.7054219203964</v>
      </c>
      <c r="FH44" s="22">
        <f t="shared" si="22"/>
        <v>209.77912051135695</v>
      </c>
      <c r="FI44" s="62">
        <f t="shared" si="23"/>
        <v>458.38181010586095</v>
      </c>
      <c r="FJ44" s="62">
        <f ca="1">AVERAGE(OFFSET($FI$3,0,0,'Données projet'!$E$16+1,1))-AVERAGE(OFFSET($H$3,0,0,'Données projet'!$E$16+1,1))</f>
        <v>235.88453308732235</v>
      </c>
      <c r="FK44" s="62">
        <f t="shared" si="48"/>
        <v>220.72810812053521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111.87072000000005</v>
      </c>
      <c r="P45" s="14">
        <f t="shared" si="33"/>
        <v>29.771307279851975</v>
      </c>
      <c r="Q45" s="22">
        <f t="shared" si="53"/>
        <v>246.69319751240889</v>
      </c>
      <c r="R45" s="62">
        <f t="shared" si="0"/>
        <v>496.07186377304362</v>
      </c>
      <c r="S45" s="62">
        <f ca="1">AVERAGE(OFFSET($R$3,0,0,'Données projet'!$E$9+1,1))-AVERAGE(OFFSET($H$3,0,0,'Données projet'!$E$9+1,1))</f>
        <v>442.98179778678298</v>
      </c>
      <c r="T45" s="62">
        <f t="shared" si="34"/>
        <v>251.96153561746942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7.4</v>
      </c>
      <c r="AI45" s="14">
        <f>IF('Données projet'!$A$62&gt;35,AI44+AH45-AQ44,IF(A45&lt;'Données projet'!$A$62,$AF$205^A45,IF(A45='Données projet'!$A$62,'Données projet'!$B$62,AI44+AH45-AQ44)))</f>
        <v>209.80000000000007</v>
      </c>
      <c r="AJ45" s="14">
        <f>AI45*VLOOKUP('Données projet'!$B$10,Paramètres!$A$1:$I$89,3,0)*VLOOKUP('Données projet'!$B$10,Paramètres!$A$1:$I$89,5,0)</f>
        <v>137.46096000000006</v>
      </c>
      <c r="AK45" s="14">
        <f t="shared" si="35"/>
        <v>35.714728952321281</v>
      </c>
      <c r="AL45" s="22">
        <f t="shared" si="4"/>
        <v>301.61432492529298</v>
      </c>
      <c r="AM45" s="62">
        <f t="shared" si="5"/>
        <v>550.99299118592774</v>
      </c>
      <c r="AN45" s="62">
        <f ca="1">AVERAGE(OFFSET($AM$3,0,0,'Données projet'!$E$10+1,1))-AVERAGE(OFFSET($H$3,0,0,'Données projet'!$E$10+1,1))</f>
        <v>304.35088214287919</v>
      </c>
      <c r="AO45" s="62">
        <f t="shared" si="36"/>
        <v>288.72611053217599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12.602564102564102</v>
      </c>
      <c r="BD45" s="13">
        <f>IF('Données projet'!$A$88&gt;35,BD44+BC45-BL44,IF(A45&lt;'Données projet'!$A$88,$BA$205^A45,IF(A45='Données projet'!$A$88,'Données projet'!$B$88,BD44+BC45-BL44)))</f>
        <v>114.56410256410261</v>
      </c>
      <c r="BE45" s="14">
        <f>BD45*VLOOKUP('Données projet'!$B$11,Paramètres!$A$1:$I$89,3,0)*VLOOKUP('Données projet'!$B$11,Paramètres!$A$1:$I$89,5,0)</f>
        <v>73.275200000000027</v>
      </c>
      <c r="BF45" s="14">
        <f t="shared" si="37"/>
        <v>20.484627977168635</v>
      </c>
      <c r="BG45" s="22">
        <f t="shared" si="7"/>
        <v>163.29836706023542</v>
      </c>
      <c r="BH45" s="62">
        <f t="shared" si="8"/>
        <v>412.67703332087012</v>
      </c>
      <c r="BI45" s="62">
        <f ca="1">AVERAGE(OFFSET($BH$3,0,0,'Données projet'!$E$11+1,1))-AVERAGE(OFFSET($H$3,0,0,'Données projet'!$E$11+1,1))</f>
        <v>285.09561428624352</v>
      </c>
      <c r="BJ45" s="62">
        <f t="shared" si="38"/>
        <v>261.05678516705564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7.6</v>
      </c>
      <c r="BY45" s="13">
        <f>IF('Données projet'!$A$114&gt;35,BY44+BX45-CG44,IF(A45&lt;'Données projet'!$A$114,$BV$205^A45,IF(A45='Données projet'!$A$114,'Données projet'!$B$114,BY44+BX45-CG44)))</f>
        <v>167.20000000000002</v>
      </c>
      <c r="BZ45" s="14">
        <f>BY45*VLOOKUP('Données projet'!$B$12,Paramètres!$A$1:$I$89,3,0)*VLOOKUP('Données projet'!$B$12,Paramètres!$A$1:$I$89,5,0)</f>
        <v>135.63264000000004</v>
      </c>
      <c r="CA45" s="14">
        <f t="shared" si="39"/>
        <v>35.294666721954265</v>
      </c>
      <c r="CB45" s="22">
        <f t="shared" si="10"/>
        <v>297.69839254073707</v>
      </c>
      <c r="CC45" s="62">
        <f t="shared" si="11"/>
        <v>547.07705880137178</v>
      </c>
      <c r="CD45" s="62">
        <f ca="1">AVERAGE(OFFSET($CC$3,0,0,'Données projet'!$E$12+1,1))-AVERAGE(OFFSET($H$3,0,0,'Données projet'!$E$12+1,1))</f>
        <v>272.69564942740931</v>
      </c>
      <c r="CE45" s="62">
        <f t="shared" si="40"/>
        <v>316.57989180609252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7.4</v>
      </c>
      <c r="CT45" s="13">
        <f>IF('Données projet'!$A$140&gt;35,CT44+CS45-DB44,IF(A45&lt;'Données projet'!$A$140,$CQ$205^A45,IF(A45='Données projet'!$A$140,'Données projet'!$B$140,CT44+CS45-DB44)))</f>
        <v>209.80000000000007</v>
      </c>
      <c r="CU45" s="18">
        <f>CT45*VLOOKUP('Données projet'!$B$13,Paramètres!$A$1:$I$89,3,0)*VLOOKUP('Données projet'!$B$13,Paramètres!$A$1:$I$89,5,0)</f>
        <v>137.46096000000006</v>
      </c>
      <c r="CV45" s="14">
        <f t="shared" si="41"/>
        <v>35.714728952321281</v>
      </c>
      <c r="CW45" s="22">
        <f t="shared" si="13"/>
        <v>301.61432492529298</v>
      </c>
      <c r="CX45" s="62">
        <f t="shared" si="14"/>
        <v>550.99299118592774</v>
      </c>
      <c r="CY45" s="62">
        <f ca="1">AVERAGE(OFFSET($CX$3,0,0,'Données projet'!$E$13+1,1))-AVERAGE(OFFSET($H$3,0,0,'Données projet'!$E$13+1,1))</f>
        <v>304.35088214287919</v>
      </c>
      <c r="CZ45" s="62">
        <f t="shared" si="42"/>
        <v>288.72611053217599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1.1368683772161603E-13</v>
      </c>
      <c r="DP45" s="18">
        <f>DO45*VLOOKUP('Données projet'!$B$14,Paramètres!$A$1:$I$89,3,0)*VLOOKUP('Données projet'!$B$14,Paramètres!$A$1:$I$89,5,0)</f>
        <v>6.5620042732916778E-14</v>
      </c>
      <c r="DQ45" s="14">
        <f t="shared" si="43"/>
        <v>1.0353460337118015E-12</v>
      </c>
      <c r="DR45" s="22">
        <f t="shared" si="16"/>
        <v>1.9175159164745509E-12</v>
      </c>
      <c r="DS45" s="62">
        <f t="shared" si="17"/>
        <v>249.37866626063663</v>
      </c>
      <c r="DT45" s="62">
        <f ca="1">AVERAGE(OFFSET($DS$3,0,0,'Données projet'!$E$14+1,1))-AVERAGE(OFFSET($H$3,0,0,'Données projet'!$E$14+1,1))</f>
        <v>172.86120068224633</v>
      </c>
      <c r="DU45" s="62">
        <f t="shared" si="44"/>
        <v>269.4995727085078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5.4</v>
      </c>
      <c r="EJ45" s="13">
        <f>IF('Données projet'!$A$192&gt;35,EJ44+EI45-ER44,IF(A45&lt;'Données projet'!$A$192,$EG$205^A45,IF(A45='Données projet'!$A$192,'Données projet'!$B$192,EJ44+EI45-ER44)))</f>
        <v>103.80000000000003</v>
      </c>
      <c r="EK45" s="18">
        <f>EJ45*VLOOKUP('Données projet'!$B$15,Paramètres!$A$1:$I$89,3,0)*VLOOKUP('Données projet'!$B$15,Paramètres!$A$1:$I$89,5,0)</f>
        <v>87.441120000000041</v>
      </c>
      <c r="EL45" s="14">
        <f t="shared" si="45"/>
        <v>23.947052577122424</v>
      </c>
      <c r="EM45" s="22">
        <f t="shared" si="19"/>
        <v>194.0010672384883</v>
      </c>
      <c r="EN45" s="62">
        <f t="shared" si="20"/>
        <v>443.37973349912306</v>
      </c>
      <c r="EO45" s="62">
        <f ca="1">AVERAGE(OFFSET($EN$3,0,0,'Données projet'!$E$15+1,1))-AVERAGE(OFFSET($H$3,0,0,'Données projet'!$E$15+1,1))</f>
        <v>346.97972840139914</v>
      </c>
      <c r="EP45" s="62">
        <f t="shared" si="46"/>
        <v>158.41433650660613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5.6</v>
      </c>
      <c r="FE45" s="13">
        <f>IF('Données projet'!$A$218&gt;35,FE44+FD45-FM44,IF(A45&lt;'Données projet'!$A$218,$FB$205^A45,IF(A45='Données projet'!$A$218,'Données projet'!$B$218,FE44+FD45-FM44)))</f>
        <v>150.1999999999999</v>
      </c>
      <c r="FF45" s="18">
        <f>FE45*VLOOKUP('Données projet'!$B$16,Paramètres!$A$1:$I$89,3,0)*VLOOKUP('Données projet'!$B$16,Paramètres!$A$1:$I$89,5,0)</f>
        <v>98.411039999999943</v>
      </c>
      <c r="FG45" s="14">
        <f t="shared" si="47"/>
        <v>26.583097580562715</v>
      </c>
      <c r="FH45" s="22">
        <f t="shared" si="22"/>
        <v>217.69812295281329</v>
      </c>
      <c r="FI45" s="62">
        <f t="shared" si="23"/>
        <v>467.07678921344802</v>
      </c>
      <c r="FJ45" s="62">
        <f ca="1">AVERAGE(OFFSET($FI$3,0,0,'Données projet'!$E$16+1,1))-AVERAGE(OFFSET($H$3,0,0,'Données projet'!$E$16+1,1))</f>
        <v>235.88453308732235</v>
      </c>
      <c r="FK45" s="62">
        <f t="shared" si="48"/>
        <v>220.72810812053521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118.94688000000005</v>
      </c>
      <c r="P46" s="14">
        <f t="shared" si="33"/>
        <v>31.429250481525276</v>
      </c>
      <c r="Q46" s="22">
        <f t="shared" si="53"/>
        <v>261.90509392198993</v>
      </c>
      <c r="R46" s="62">
        <f t="shared" si="0"/>
        <v>512.04627538842192</v>
      </c>
      <c r="S46" s="62">
        <f ca="1">AVERAGE(OFFSET($R$3,0,0,'Données projet'!$E$9+1,1))-AVERAGE(OFFSET($H$3,0,0,'Données projet'!$E$9+1,1))</f>
        <v>442.98179778678298</v>
      </c>
      <c r="T46" s="62">
        <f t="shared" si="34"/>
        <v>251.96153561746942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7.4</v>
      </c>
      <c r="AI46" s="14">
        <f>IF('Données projet'!$A$62&gt;35,AI45+AH46-AQ45,IF(A46&lt;'Données projet'!$A$62,$AF$205^A46,IF(A46='Données projet'!$A$62,'Données projet'!$B$62,AI45+AH46-AQ45)))</f>
        <v>217.20000000000007</v>
      </c>
      <c r="AJ46" s="14">
        <f>AI46*VLOOKUP('Données projet'!$B$10,Paramètres!$A$1:$I$89,3,0)*VLOOKUP('Données projet'!$B$10,Paramètres!$A$1:$I$89,5,0)</f>
        <v>142.30944000000005</v>
      </c>
      <c r="AK46" s="14">
        <f t="shared" si="35"/>
        <v>36.825560926488883</v>
      </c>
      <c r="AL46" s="22">
        <f t="shared" si="4"/>
        <v>311.99345994696824</v>
      </c>
      <c r="AM46" s="62">
        <f t="shared" si="5"/>
        <v>562.13464141340023</v>
      </c>
      <c r="AN46" s="62">
        <f ca="1">AVERAGE(OFFSET($AM$3,0,0,'Données projet'!$E$10+1,1))-AVERAGE(OFFSET($H$3,0,0,'Données projet'!$E$10+1,1))</f>
        <v>304.35088214287919</v>
      </c>
      <c r="AO46" s="62">
        <f t="shared" si="36"/>
        <v>288.72611053217599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12.602564102564102</v>
      </c>
      <c r="BD46" s="13">
        <f>IF('Données projet'!$A$88&gt;35,BD45+BC46-BL45,IF(A46&lt;'Données projet'!$A$88,$BA$205^A46,IF(A46='Données projet'!$A$88,'Données projet'!$B$88,BD45+BC46-BL45)))</f>
        <v>127.16666666666671</v>
      </c>
      <c r="BE46" s="14">
        <f>BD46*VLOOKUP('Données projet'!$B$11,Paramètres!$A$1:$I$89,3,0)*VLOOKUP('Données projet'!$B$11,Paramètres!$A$1:$I$89,5,0)</f>
        <v>81.335800000000035</v>
      </c>
      <c r="BF46" s="14">
        <f t="shared" si="37"/>
        <v>22.463478730210714</v>
      </c>
      <c r="BG46" s="22">
        <f t="shared" si="7"/>
        <v>180.78374378845038</v>
      </c>
      <c r="BH46" s="62">
        <f t="shared" si="8"/>
        <v>430.9249252548824</v>
      </c>
      <c r="BI46" s="62">
        <f ca="1">AVERAGE(OFFSET($BH$3,0,0,'Données projet'!$E$11+1,1))-AVERAGE(OFFSET($H$3,0,0,'Données projet'!$E$11+1,1))</f>
        <v>285.09561428624352</v>
      </c>
      <c r="BJ46" s="62">
        <f t="shared" si="38"/>
        <v>261.05678516705564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7.6</v>
      </c>
      <c r="BY46" s="13">
        <f>IF('Données projet'!$A$114&gt;35,BY45+BX46-CG45,IF(A46&lt;'Données projet'!$A$114,$BV$205^A46,IF(A46='Données projet'!$A$114,'Données projet'!$B$114,BY45+BX46-CG45)))</f>
        <v>174.8</v>
      </c>
      <c r="BZ46" s="14">
        <f>BY46*VLOOKUP('Données projet'!$B$12,Paramètres!$A$1:$I$89,3,0)*VLOOKUP('Données projet'!$B$12,Paramètres!$A$1:$I$89,5,0)</f>
        <v>141.79776000000004</v>
      </c>
      <c r="CA46" s="14">
        <f t="shared" si="39"/>
        <v>36.708540735279854</v>
      </c>
      <c r="CB46" s="22">
        <f t="shared" si="10"/>
        <v>310.89847378061245</v>
      </c>
      <c r="CC46" s="62">
        <f t="shared" si="11"/>
        <v>561.03965524704449</v>
      </c>
      <c r="CD46" s="62">
        <f ca="1">AVERAGE(OFFSET($CC$3,0,0,'Données projet'!$E$12+1,1))-AVERAGE(OFFSET($H$3,0,0,'Données projet'!$E$12+1,1))</f>
        <v>272.69564942740931</v>
      </c>
      <c r="CE46" s="62">
        <f t="shared" si="40"/>
        <v>316.57989180609252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7.4</v>
      </c>
      <c r="CT46" s="13">
        <f>IF('Données projet'!$A$140&gt;35,CT45+CS46-DB45,IF(A46&lt;'Données projet'!$A$140,$CQ$205^A46,IF(A46='Données projet'!$A$140,'Données projet'!$B$140,CT45+CS46-DB45)))</f>
        <v>217.20000000000007</v>
      </c>
      <c r="CU46" s="18">
        <f>CT46*VLOOKUP('Données projet'!$B$13,Paramètres!$A$1:$I$89,3,0)*VLOOKUP('Données projet'!$B$13,Paramètres!$A$1:$I$89,5,0)</f>
        <v>142.30944000000005</v>
      </c>
      <c r="CV46" s="14">
        <f t="shared" si="41"/>
        <v>36.825560926488883</v>
      </c>
      <c r="CW46" s="22">
        <f t="shared" si="13"/>
        <v>311.99345994696824</v>
      </c>
      <c r="CX46" s="62">
        <f t="shared" si="14"/>
        <v>562.13464141340023</v>
      </c>
      <c r="CY46" s="62">
        <f ca="1">AVERAGE(OFFSET($CX$3,0,0,'Données projet'!$E$13+1,1))-AVERAGE(OFFSET($H$3,0,0,'Données projet'!$E$13+1,1))</f>
        <v>304.35088214287919</v>
      </c>
      <c r="CZ46" s="62">
        <f t="shared" si="42"/>
        <v>288.72611053217599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1.1368683772161603E-13</v>
      </c>
      <c r="DP46" s="18">
        <f>DO46*VLOOKUP('Données projet'!$B$14,Paramètres!$A$1:$I$89,3,0)*VLOOKUP('Données projet'!$B$14,Paramètres!$A$1:$I$89,5,0)</f>
        <v>6.5620042732916778E-14</v>
      </c>
      <c r="DQ46" s="14">
        <f t="shared" si="43"/>
        <v>1.0353460337118015E-12</v>
      </c>
      <c r="DR46" s="22">
        <f t="shared" si="16"/>
        <v>1.9175159164745509E-12</v>
      </c>
      <c r="DS46" s="62">
        <f t="shared" si="17"/>
        <v>250.14118146643395</v>
      </c>
      <c r="DT46" s="62">
        <f ca="1">AVERAGE(OFFSET($DS$3,0,0,'Données projet'!$E$14+1,1))-AVERAGE(OFFSET($H$3,0,0,'Données projet'!$E$14+1,1))</f>
        <v>172.86120068224633</v>
      </c>
      <c r="DU46" s="62">
        <f t="shared" si="44"/>
        <v>269.4995727085078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5.4</v>
      </c>
      <c r="EJ46" s="13">
        <f>IF('Données projet'!$A$192&gt;35,EJ45+EI46-ER45,IF(A46&lt;'Données projet'!$A$192,$EG$205^A46,IF(A46='Données projet'!$A$192,'Données projet'!$B$192,EJ45+EI46-ER45)))</f>
        <v>109.20000000000003</v>
      </c>
      <c r="EK46" s="18">
        <f>EJ46*VLOOKUP('Données projet'!$B$15,Paramètres!$A$1:$I$89,3,0)*VLOOKUP('Données projet'!$B$15,Paramètres!$A$1:$I$89,5,0)</f>
        <v>91.990080000000034</v>
      </c>
      <c r="EL46" s="14">
        <f t="shared" si="45"/>
        <v>25.044571724233414</v>
      </c>
      <c r="EM46" s="22">
        <f t="shared" si="19"/>
        <v>203.83535175303987</v>
      </c>
      <c r="EN46" s="62">
        <f t="shared" si="20"/>
        <v>453.97653321947189</v>
      </c>
      <c r="EO46" s="62">
        <f ca="1">AVERAGE(OFFSET($EN$3,0,0,'Données projet'!$E$15+1,1))-AVERAGE(OFFSET($H$3,0,0,'Données projet'!$E$15+1,1))</f>
        <v>346.97972840139914</v>
      </c>
      <c r="EP46" s="62">
        <f t="shared" si="46"/>
        <v>158.41433650660613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5.6</v>
      </c>
      <c r="FE46" s="13">
        <f>IF('Données projet'!$A$218&gt;35,FE45+FD46-FM45,IF(A46&lt;'Données projet'!$A$218,$FB$205^A46,IF(A46='Données projet'!$A$218,'Données projet'!$B$218,FE45+FD46-FM45)))</f>
        <v>155.7999999999999</v>
      </c>
      <c r="FF46" s="18">
        <f>FE46*VLOOKUP('Données projet'!$B$16,Paramètres!$A$1:$I$89,3,0)*VLOOKUP('Données projet'!$B$16,Paramètres!$A$1:$I$89,5,0)</f>
        <v>102.08015999999992</v>
      </c>
      <c r="FG46" s="14">
        <f t="shared" si="47"/>
        <v>27.456971614793169</v>
      </c>
      <c r="FH46" s="22">
        <f t="shared" si="22"/>
        <v>225.61050422909793</v>
      </c>
      <c r="FI46" s="62">
        <f t="shared" si="23"/>
        <v>475.75168569553</v>
      </c>
      <c r="FJ46" s="62">
        <f ca="1">AVERAGE(OFFSET($FI$3,0,0,'Données projet'!$E$16+1,1))-AVERAGE(OFFSET($H$3,0,0,'Données projet'!$E$16+1,1))</f>
        <v>235.88453308732235</v>
      </c>
      <c r="FK46" s="62">
        <f t="shared" si="48"/>
        <v>220.72810812053521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126.02304000000005</v>
      </c>
      <c r="P47" s="14">
        <f t="shared" si="33"/>
        <v>33.075745544773369</v>
      </c>
      <c r="Q47" s="22">
        <f t="shared" si="53"/>
        <v>277.0970514904804</v>
      </c>
      <c r="R47" s="62">
        <f t="shared" si="0"/>
        <v>527.98752022861777</v>
      </c>
      <c r="S47" s="62">
        <f ca="1">AVERAGE(OFFSET($R$3,0,0,'Données projet'!$E$9+1,1))-AVERAGE(OFFSET($H$3,0,0,'Données projet'!$E$9+1,1))</f>
        <v>442.98179778678298</v>
      </c>
      <c r="T47" s="62">
        <f t="shared" si="34"/>
        <v>251.96153561746942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7.4</v>
      </c>
      <c r="AI47" s="14">
        <f>IF('Données projet'!$A$62&gt;35,AI46+AH47-AQ46,IF(A47&lt;'Données projet'!$A$62,$AF$205^A47,IF(A47='Données projet'!$A$62,'Données projet'!$B$62,AI46+AH47-AQ46)))</f>
        <v>224.60000000000008</v>
      </c>
      <c r="AJ47" s="14">
        <f>AI47*VLOOKUP('Données projet'!$B$10,Paramètres!$A$1:$I$89,3,0)*VLOOKUP('Données projet'!$B$10,Paramètres!$A$1:$I$89,5,0)</f>
        <v>147.15792000000008</v>
      </c>
      <c r="AK47" s="14">
        <f t="shared" si="35"/>
        <v>37.931995448211751</v>
      </c>
      <c r="AL47" s="22">
        <f t="shared" si="4"/>
        <v>322.36493607230227</v>
      </c>
      <c r="AM47" s="62">
        <f t="shared" si="5"/>
        <v>573.2554048104397</v>
      </c>
      <c r="AN47" s="62">
        <f ca="1">AVERAGE(OFFSET($AM$3,0,0,'Données projet'!$E$10+1,1))-AVERAGE(OFFSET($H$3,0,0,'Données projet'!$E$10+1,1))</f>
        <v>304.35088214287919</v>
      </c>
      <c r="AO47" s="62">
        <f t="shared" si="36"/>
        <v>288.72611053217599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12.602564102564102</v>
      </c>
      <c r="BD47" s="13">
        <f>IF('Données projet'!$A$88&gt;35,BD46+BC47-BL46,IF(A47&lt;'Données projet'!$A$88,$BA$205^A47,IF(A47='Données projet'!$A$88,'Données projet'!$B$88,BD46+BC47-BL46)))</f>
        <v>139.76923076923083</v>
      </c>
      <c r="BE47" s="14">
        <f>BD47*VLOOKUP('Données projet'!$B$11,Paramètres!$A$1:$I$89,3,0)*VLOOKUP('Données projet'!$B$11,Paramètres!$A$1:$I$89,5,0)</f>
        <v>89.396400000000042</v>
      </c>
      <c r="BF47" s="14">
        <f t="shared" si="37"/>
        <v>24.419594244722955</v>
      </c>
      <c r="BG47" s="22">
        <f t="shared" si="7"/>
        <v>198.22952330955923</v>
      </c>
      <c r="BH47" s="62">
        <f t="shared" si="8"/>
        <v>449.11999204769666</v>
      </c>
      <c r="BI47" s="62">
        <f ca="1">AVERAGE(OFFSET($BH$3,0,0,'Données projet'!$E$11+1,1))-AVERAGE(OFFSET($H$3,0,0,'Données projet'!$E$11+1,1))</f>
        <v>285.09561428624352</v>
      </c>
      <c r="BJ47" s="62">
        <f t="shared" si="38"/>
        <v>261.05678516705564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7.6</v>
      </c>
      <c r="BY47" s="13">
        <f>IF('Données projet'!$A$114&gt;35,BY46+BX47-CG46,IF(A47&lt;'Données projet'!$A$114,$BV$205^A47,IF(A47='Données projet'!$A$114,'Données projet'!$B$114,BY46+BX47-CG46)))</f>
        <v>182.4</v>
      </c>
      <c r="BZ47" s="14">
        <f>BY47*VLOOKUP('Données projet'!$B$12,Paramètres!$A$1:$I$89,3,0)*VLOOKUP('Données projet'!$B$12,Paramètres!$A$1:$I$89,5,0)</f>
        <v>147.96288000000001</v>
      </c>
      <c r="CA47" s="14">
        <f t="shared" si="39"/>
        <v>38.115275017059226</v>
      </c>
      <c r="CB47" s="22">
        <f t="shared" si="10"/>
        <v>324.0861199880448</v>
      </c>
      <c r="CC47" s="62">
        <f t="shared" si="11"/>
        <v>574.97658872618217</v>
      </c>
      <c r="CD47" s="62">
        <f ca="1">AVERAGE(OFFSET($CC$3,0,0,'Données projet'!$E$12+1,1))-AVERAGE(OFFSET($H$3,0,0,'Données projet'!$E$12+1,1))</f>
        <v>272.69564942740931</v>
      </c>
      <c r="CE47" s="62">
        <f t="shared" si="40"/>
        <v>316.57989180609252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7.4</v>
      </c>
      <c r="CT47" s="13">
        <f>IF('Données projet'!$A$140&gt;35,CT46+CS47-DB46,IF(A47&lt;'Données projet'!$A$140,$CQ$205^A47,IF(A47='Données projet'!$A$140,'Données projet'!$B$140,CT46+CS47-DB46)))</f>
        <v>224.60000000000008</v>
      </c>
      <c r="CU47" s="18">
        <f>CT47*VLOOKUP('Données projet'!$B$13,Paramètres!$A$1:$I$89,3,0)*VLOOKUP('Données projet'!$B$13,Paramètres!$A$1:$I$89,5,0)</f>
        <v>147.15792000000008</v>
      </c>
      <c r="CV47" s="14">
        <f t="shared" si="41"/>
        <v>37.931995448211751</v>
      </c>
      <c r="CW47" s="22">
        <f t="shared" si="13"/>
        <v>322.36493607230227</v>
      </c>
      <c r="CX47" s="62">
        <f t="shared" si="14"/>
        <v>573.2554048104397</v>
      </c>
      <c r="CY47" s="62">
        <f ca="1">AVERAGE(OFFSET($CX$3,0,0,'Données projet'!$E$13+1,1))-AVERAGE(OFFSET($H$3,0,0,'Données projet'!$E$13+1,1))</f>
        <v>304.35088214287919</v>
      </c>
      <c r="CZ47" s="62">
        <f t="shared" si="42"/>
        <v>288.72611053217599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1.1368683772161603E-13</v>
      </c>
      <c r="DP47" s="18">
        <f>DO47*VLOOKUP('Données projet'!$B$14,Paramètres!$A$1:$I$89,3,0)*VLOOKUP('Données projet'!$B$14,Paramètres!$A$1:$I$89,5,0)</f>
        <v>6.5620042732916778E-14</v>
      </c>
      <c r="DQ47" s="14">
        <f t="shared" si="43"/>
        <v>1.0353460337118015E-12</v>
      </c>
      <c r="DR47" s="22">
        <f t="shared" si="16"/>
        <v>1.9175159164745509E-12</v>
      </c>
      <c r="DS47" s="62">
        <f t="shared" si="17"/>
        <v>250.89046873813933</v>
      </c>
      <c r="DT47" s="62">
        <f ca="1">AVERAGE(OFFSET($DS$3,0,0,'Données projet'!$E$14+1,1))-AVERAGE(OFFSET($H$3,0,0,'Données projet'!$E$14+1,1))</f>
        <v>172.86120068224633</v>
      </c>
      <c r="DU47" s="62">
        <f t="shared" si="44"/>
        <v>269.4995727085078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5.4</v>
      </c>
      <c r="EJ47" s="13">
        <f>IF('Données projet'!$A$192&gt;35,EJ46+EI47-ER46,IF(A47&lt;'Données projet'!$A$192,$EG$205^A47,IF(A47='Données projet'!$A$192,'Données projet'!$B$192,EJ46+EI47-ER46)))</f>
        <v>114.60000000000004</v>
      </c>
      <c r="EK47" s="18">
        <f>EJ47*VLOOKUP('Données projet'!$B$15,Paramètres!$A$1:$I$89,3,0)*VLOOKUP('Données projet'!$B$15,Paramètres!$A$1:$I$89,5,0)</f>
        <v>96.539040000000043</v>
      </c>
      <c r="EL47" s="14">
        <f t="shared" si="45"/>
        <v>26.135788937894091</v>
      </c>
      <c r="EM47" s="22">
        <f t="shared" si="19"/>
        <v>213.65866040016559</v>
      </c>
      <c r="EN47" s="62">
        <f t="shared" si="20"/>
        <v>464.54912913830299</v>
      </c>
      <c r="EO47" s="62">
        <f ca="1">AVERAGE(OFFSET($EN$3,0,0,'Données projet'!$E$15+1,1))-AVERAGE(OFFSET($H$3,0,0,'Données projet'!$E$15+1,1))</f>
        <v>346.97972840139914</v>
      </c>
      <c r="EP47" s="62">
        <f t="shared" si="46"/>
        <v>158.41433650660613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5.6</v>
      </c>
      <c r="FE47" s="13">
        <f>IF('Données projet'!$A$218&gt;35,FE46+FD47-FM46,IF(A47&lt;'Données projet'!$A$218,$FB$205^A47,IF(A47='Données projet'!$A$218,'Données projet'!$B$218,FE46+FD47-FM46)))</f>
        <v>161.39999999999989</v>
      </c>
      <c r="FF47" s="18">
        <f>FE47*VLOOKUP('Données projet'!$B$16,Paramètres!$A$1:$I$89,3,0)*VLOOKUP('Données projet'!$B$16,Paramètres!$A$1:$I$89,5,0)</f>
        <v>105.74927999999993</v>
      </c>
      <c r="FG47" s="14">
        <f t="shared" si="47"/>
        <v>28.327196320252849</v>
      </c>
      <c r="FH47" s="22">
        <f t="shared" si="22"/>
        <v>233.51652959110689</v>
      </c>
      <c r="FI47" s="62">
        <f t="shared" si="23"/>
        <v>484.40699832924429</v>
      </c>
      <c r="FJ47" s="62">
        <f ca="1">AVERAGE(OFFSET($FI$3,0,0,'Données projet'!$E$16+1,1))-AVERAGE(OFFSET($H$3,0,0,'Données projet'!$E$16+1,1))</f>
        <v>235.88453308732235</v>
      </c>
      <c r="FK47" s="62">
        <f t="shared" si="48"/>
        <v>220.72810812053521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133.09920000000005</v>
      </c>
      <c r="P48" s="14">
        <f t="shared" si="33"/>
        <v>34.71150853565117</v>
      </c>
      <c r="Q48" s="22">
        <f t="shared" si="53"/>
        <v>292.27031736625918</v>
      </c>
      <c r="R48" s="62">
        <f t="shared" si="0"/>
        <v>543.89707491709328</v>
      </c>
      <c r="S48" s="62">
        <f ca="1">AVERAGE(OFFSET($R$3,0,0,'Données projet'!$E$9+1,1))-AVERAGE(OFFSET($H$3,0,0,'Données projet'!$E$9+1,1))</f>
        <v>442.98179778678298</v>
      </c>
      <c r="T48" s="62">
        <f t="shared" si="34"/>
        <v>251.96153561746942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7.4</v>
      </c>
      <c r="AH48" s="13">
        <f t="array" ref="AH48">INDEX(AG:AG,MIN(IF(ISNUMBER(AG48:AG244),ROW(AG48:AG244),"")))</f>
        <v>7.4</v>
      </c>
      <c r="AI48" s="14">
        <f>IF('Données projet'!$A$62&gt;35,AI47+AH48-AQ47,IF(A48&lt;'Données projet'!$A$62,$AF$205^A48,IF(A48='Données projet'!$A$62,'Données projet'!$B$62,AI47+AH48-AQ47)))</f>
        <v>232.00000000000009</v>
      </c>
      <c r="AJ48" s="14">
        <f>AI48*VLOOKUP('Données projet'!$B$10,Paramètres!$A$1:$I$89,3,0)*VLOOKUP('Données projet'!$B$10,Paramètres!$A$1:$I$89,5,0)</f>
        <v>152.00640000000004</v>
      </c>
      <c r="AK48" s="14">
        <f t="shared" si="35"/>
        <v>39.034194016561486</v>
      </c>
      <c r="AL48" s="22">
        <f t="shared" si="4"/>
        <v>332.72903457884462</v>
      </c>
      <c r="AM48" s="62">
        <f t="shared" si="5"/>
        <v>584.35579212967878</v>
      </c>
      <c r="AN48" s="62">
        <f ca="1">AVERAGE(OFFSET($AM$3,0,0,'Données projet'!$E$10+1,1))-AVERAGE(OFFSET($H$3,0,0,'Données projet'!$E$10+1,1))</f>
        <v>304.35088214287919</v>
      </c>
      <c r="AO48" s="62">
        <f t="shared" si="36"/>
        <v>288.72611053217599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12.602564102564102</v>
      </c>
      <c r="BD48" s="13">
        <f>IF('Données projet'!$A$88&gt;35,BD47+BC48-BL47,IF(A48&lt;'Données projet'!$A$88,$BA$205^A48,IF(A48='Données projet'!$A$88,'Données projet'!$B$88,BD47+BC48-BL47)))</f>
        <v>152.37179487179492</v>
      </c>
      <c r="BE48" s="14">
        <f>BD48*VLOOKUP('Données projet'!$B$11,Paramètres!$A$1:$I$89,3,0)*VLOOKUP('Données projet'!$B$11,Paramètres!$A$1:$I$89,5,0)</f>
        <v>97.457000000000036</v>
      </c>
      <c r="BF48" s="14">
        <f t="shared" si="37"/>
        <v>26.355257613045527</v>
      </c>
      <c r="BG48" s="22">
        <f t="shared" si="7"/>
        <v>215.63968200938768</v>
      </c>
      <c r="BH48" s="62">
        <f t="shared" si="8"/>
        <v>467.26643956022178</v>
      </c>
      <c r="BI48" s="62">
        <f ca="1">AVERAGE(OFFSET($BH$3,0,0,'Données projet'!$E$11+1,1))-AVERAGE(OFFSET($H$3,0,0,'Données projet'!$E$11+1,1))</f>
        <v>285.09561428624352</v>
      </c>
      <c r="BJ48" s="62">
        <f t="shared" si="38"/>
        <v>261.05678516705564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190</v>
      </c>
      <c r="BW48" s="13">
        <f>VLOOKUP(A48,'Données projet'!$A$113:$I$133,9,0)</f>
        <v>7.6</v>
      </c>
      <c r="BX48" s="13">
        <f t="array" ref="BX48">INDEX(BW:BW,MIN(IF(ISNUMBER(BW48:BW244),ROW(BW48:BW244),"")))</f>
        <v>7.6</v>
      </c>
      <c r="BY48" s="13">
        <f>IF('Données projet'!$A$114&gt;35,BY47+BX48-CG47,IF(A48&lt;'Données projet'!$A$114,$BV$205^A48,IF(A48='Données projet'!$A$114,'Données projet'!$B$114,BY47+BX48-CG47)))</f>
        <v>190</v>
      </c>
      <c r="BZ48" s="14">
        <f>BY48*VLOOKUP('Données projet'!$B$12,Paramètres!$A$1:$I$89,3,0)*VLOOKUP('Données projet'!$B$12,Paramètres!$A$1:$I$89,5,0)</f>
        <v>154.12800000000001</v>
      </c>
      <c r="CA48" s="14">
        <f t="shared" si="39"/>
        <v>39.515201075361155</v>
      </c>
      <c r="CB48" s="22">
        <f t="shared" si="10"/>
        <v>337.26190853958735</v>
      </c>
      <c r="CC48" s="62">
        <f t="shared" si="11"/>
        <v>588.88866609042145</v>
      </c>
      <c r="CD48" s="62">
        <f ca="1">AVERAGE(OFFSET($CC$3,0,0,'Données projet'!$E$12+1,1))-AVERAGE(OFFSET($H$3,0,0,'Données projet'!$E$12+1,1))</f>
        <v>272.69564942740931</v>
      </c>
      <c r="CE48" s="62">
        <f t="shared" si="40"/>
        <v>316.57989180609252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232</v>
      </c>
      <c r="CR48" s="13">
        <f>VLOOKUP(A48,'Données projet'!$A$139:$I$159,9,0)</f>
        <v>7.4</v>
      </c>
      <c r="CS48" s="13">
        <f t="array" ref="CS48">INDEX(CR:CR,MIN(IF(ISNUMBER(CR48:CR244),ROW(CR48:CR244),"")))</f>
        <v>7.4</v>
      </c>
      <c r="CT48" s="13">
        <f>IF('Données projet'!$A$140&gt;35,CT47+CS48-DB47,IF(A48&lt;'Données projet'!$A$140,$CQ$205^A48,IF(A48='Données projet'!$A$140,'Données projet'!$B$140,CT47+CS48-DB47)))</f>
        <v>232.00000000000009</v>
      </c>
      <c r="CU48" s="18">
        <f>CT48*VLOOKUP('Données projet'!$B$13,Paramètres!$A$1:$I$89,3,0)*VLOOKUP('Données projet'!$B$13,Paramètres!$A$1:$I$89,5,0)</f>
        <v>152.00640000000004</v>
      </c>
      <c r="CV48" s="14">
        <f t="shared" si="41"/>
        <v>39.034194016561486</v>
      </c>
      <c r="CW48" s="22">
        <f t="shared" si="13"/>
        <v>332.72903457884462</v>
      </c>
      <c r="CX48" s="62">
        <f t="shared" si="14"/>
        <v>584.35579212967878</v>
      </c>
      <c r="CY48" s="62">
        <f ca="1">AVERAGE(OFFSET($CX$3,0,0,'Données projet'!$E$13+1,1))-AVERAGE(OFFSET($H$3,0,0,'Données projet'!$E$13+1,1))</f>
        <v>304.35088214287919</v>
      </c>
      <c r="CZ48" s="62">
        <f t="shared" si="42"/>
        <v>288.72611053217599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1.1368683772161603E-13</v>
      </c>
      <c r="DP48" s="18">
        <f>DO48*VLOOKUP('Données projet'!$B$14,Paramètres!$A$1:$I$89,3,0)*VLOOKUP('Données projet'!$B$14,Paramètres!$A$1:$I$89,5,0)</f>
        <v>6.5620042732916778E-14</v>
      </c>
      <c r="DQ48" s="14">
        <f t="shared" si="43"/>
        <v>1.0353460337118015E-12</v>
      </c>
      <c r="DR48" s="22">
        <f t="shared" si="16"/>
        <v>1.9175159164745509E-12</v>
      </c>
      <c r="DS48" s="62">
        <f t="shared" si="17"/>
        <v>251.62675755083603</v>
      </c>
      <c r="DT48" s="62">
        <f ca="1">AVERAGE(OFFSET($DS$3,0,0,'Données projet'!$E$14+1,1))-AVERAGE(OFFSET($H$3,0,0,'Données projet'!$E$14+1,1))</f>
        <v>172.86120068224633</v>
      </c>
      <c r="DU48" s="62">
        <f t="shared" si="44"/>
        <v>269.4995727085078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120</v>
      </c>
      <c r="EH48" s="13">
        <f>VLOOKUP(A48,'Données projet'!$A$191:$I$211,9,0)</f>
        <v>5.4</v>
      </c>
      <c r="EI48" s="13">
        <f t="array" ref="EI48">INDEX(EH:EH,MIN(IF(ISNUMBER(EH48:EH244),ROW(EH48:EH244),"")))</f>
        <v>5.4</v>
      </c>
      <c r="EJ48" s="13">
        <f>IF('Données projet'!$A$192&gt;35,EJ47+EI48-ER47,IF(A48&lt;'Données projet'!$A$192,$EG$205^A48,IF(A48='Données projet'!$A$192,'Données projet'!$B$192,EJ47+EI48-ER47)))</f>
        <v>120.00000000000004</v>
      </c>
      <c r="EK48" s="18">
        <f>EJ48*VLOOKUP('Données projet'!$B$15,Paramètres!$A$1:$I$89,3,0)*VLOOKUP('Données projet'!$B$15,Paramètres!$A$1:$I$89,5,0)</f>
        <v>101.08800000000004</v>
      </c>
      <c r="EL48" s="14">
        <f t="shared" si="45"/>
        <v>27.221035075711939</v>
      </c>
      <c r="EM48" s="22">
        <f t="shared" si="19"/>
        <v>223.47156942353163</v>
      </c>
      <c r="EN48" s="62">
        <f t="shared" si="20"/>
        <v>475.09832697436576</v>
      </c>
      <c r="EO48" s="62">
        <f ca="1">AVERAGE(OFFSET($EN$3,0,0,'Données projet'!$E$15+1,1))-AVERAGE(OFFSET($H$3,0,0,'Données projet'!$E$15+1,1))</f>
        <v>346.97972840139914</v>
      </c>
      <c r="EP48" s="62">
        <f t="shared" si="46"/>
        <v>158.41433650660613</v>
      </c>
      <c r="EQ48" s="16">
        <f>IF(ISNA(VLOOKUP(A48,'Données projet'!$A$191:$I$211,3,0)),0,VLOOKUP(A48,'Données projet'!$A$191:$I$211,3,0))</f>
        <v>2</v>
      </c>
      <c r="ER48" s="16">
        <f>IF(ISNA(VLOOKUP(A48,'Données projet'!$A$191:$I$211,4,0)),0,VLOOKUP(A48,'Données projet'!$A$191:$I$211,4,0))</f>
        <v>27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167</v>
      </c>
      <c r="FC48" s="13">
        <f>VLOOKUP(A48,'Données projet'!$A$217:$I$237,9,0)</f>
        <v>5.6</v>
      </c>
      <c r="FD48" s="13">
        <f t="array" ref="FD48">INDEX(FC:FC,MIN(IF(ISNUMBER(FC48:FC244),ROW(FC48:FC244),"")))</f>
        <v>5.6</v>
      </c>
      <c r="FE48" s="13">
        <f>IF('Données projet'!$A$218&gt;35,FE47+FD48-FM47,IF(A48&lt;'Données projet'!$A$218,$FB$205^A48,IF(A48='Données projet'!$A$218,'Données projet'!$B$218,FE47+FD48-FM47)))</f>
        <v>166.99999999999989</v>
      </c>
      <c r="FF48" s="18">
        <f>FE48*VLOOKUP('Données projet'!$B$16,Paramètres!$A$1:$I$89,3,0)*VLOOKUP('Données projet'!$B$16,Paramètres!$A$1:$I$89,5,0)</f>
        <v>109.41839999999992</v>
      </c>
      <c r="FG48" s="14">
        <f t="shared" si="47"/>
        <v>29.193912826430939</v>
      </c>
      <c r="FH48" s="22">
        <f t="shared" si="22"/>
        <v>241.41644483936707</v>
      </c>
      <c r="FI48" s="62">
        <f t="shared" si="23"/>
        <v>493.0432023902012</v>
      </c>
      <c r="FJ48" s="62">
        <f ca="1">AVERAGE(OFFSET($FI$3,0,0,'Données projet'!$E$16+1,1))-AVERAGE(OFFSET($H$3,0,0,'Données projet'!$E$16+1,1))</f>
        <v>235.88453308732235</v>
      </c>
      <c r="FK48" s="62">
        <f t="shared" si="48"/>
        <v>220.72810812053521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38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140.00688000000005</v>
      </c>
      <c r="P49" s="14">
        <f t="shared" si="33"/>
        <v>36.29858160188811</v>
      </c>
      <c r="Q49" s="22">
        <f t="shared" si="53"/>
        <v>307.06534562328858</v>
      </c>
      <c r="R49" s="62">
        <f t="shared" si="0"/>
        <v>559.4156190220142</v>
      </c>
      <c r="S49" s="62">
        <f ca="1">AVERAGE(OFFSET($R$3,0,0,'Données projet'!$E$9+1,1))-AVERAGE(OFFSET($H$3,0,0,'Données projet'!$E$9+1,1))</f>
        <v>442.98179778678298</v>
      </c>
      <c r="T49" s="62">
        <f t="shared" si="34"/>
        <v>251.96153561746942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6.6</v>
      </c>
      <c r="AI49" s="14">
        <f>IF('Données projet'!$A$62&gt;35,AI48+AH49-AQ48,IF(A49&lt;'Données projet'!$A$62,$AF$205^A49,IF(A49='Données projet'!$A$62,'Données projet'!$B$62,AI48+AH49-AQ48)))</f>
        <v>188.60000000000008</v>
      </c>
      <c r="AJ49" s="14">
        <f>AI49*VLOOKUP('Données projet'!$B$10,Paramètres!$A$1:$I$89,3,0)*VLOOKUP('Données projet'!$B$10,Paramètres!$A$1:$I$89,5,0)</f>
        <v>123.57072000000005</v>
      </c>
      <c r="AK49" s="14">
        <f t="shared" si="35"/>
        <v>32.506384557027701</v>
      </c>
      <c r="AL49" s="22">
        <f t="shared" si="4"/>
        <v>271.83429043682332</v>
      </c>
      <c r="AM49" s="62">
        <f t="shared" si="5"/>
        <v>524.18456383554894</v>
      </c>
      <c r="AN49" s="62">
        <f ca="1">AVERAGE(OFFSET($AM$3,0,0,'Données projet'!$E$10+1,1))-AVERAGE(OFFSET($H$3,0,0,'Données projet'!$E$10+1,1))</f>
        <v>304.35088214287919</v>
      </c>
      <c r="AO49" s="62">
        <f t="shared" si="36"/>
        <v>288.72611053217599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12.602564102564102</v>
      </c>
      <c r="BD49" s="13">
        <f>IF('Données projet'!$A$88&gt;35,BD48+BC49-BL48,IF(A49&lt;'Données projet'!$A$88,$BA$205^A49,IF(A49='Données projet'!$A$88,'Données projet'!$B$88,BD48+BC49-BL48)))</f>
        <v>164.97435897435901</v>
      </c>
      <c r="BE49" s="14">
        <f>BD49*VLOOKUP('Données projet'!$B$11,Paramètres!$A$1:$I$89,3,0)*VLOOKUP('Données projet'!$B$11,Paramètres!$A$1:$I$89,5,0)</f>
        <v>105.51760000000002</v>
      </c>
      <c r="BF49" s="14">
        <f t="shared" si="37"/>
        <v>28.272352734447949</v>
      </c>
      <c r="BG49" s="22">
        <f t="shared" si="7"/>
        <v>233.01750101249687</v>
      </c>
      <c r="BH49" s="62">
        <f t="shared" si="8"/>
        <v>485.36777441122251</v>
      </c>
      <c r="BI49" s="62">
        <f ca="1">AVERAGE(OFFSET($BH$3,0,0,'Données projet'!$E$11+1,1))-AVERAGE(OFFSET($H$3,0,0,'Données projet'!$E$11+1,1))</f>
        <v>285.09561428624352</v>
      </c>
      <c r="BJ49" s="62">
        <f t="shared" si="38"/>
        <v>261.05678516705564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7.6</v>
      </c>
      <c r="BY49" s="13">
        <f>IF('Données projet'!$A$114&gt;35,BY48+BX49-CG48,IF(A49&lt;'Données projet'!$A$114,$BV$205^A49,IF(A49='Données projet'!$A$114,'Données projet'!$B$114,BY48+BX49-CG48)))</f>
        <v>197.6</v>
      </c>
      <c r="BZ49" s="14">
        <f>BY49*VLOOKUP('Données projet'!$B$12,Paramètres!$A$1:$I$89,3,0)*VLOOKUP('Données projet'!$B$12,Paramètres!$A$1:$I$89,5,0)</f>
        <v>160.29311999999999</v>
      </c>
      <c r="CA49" s="14">
        <f t="shared" si="39"/>
        <v>40.908622396455648</v>
      </c>
      <c r="CB49" s="22">
        <f t="shared" si="10"/>
        <v>350.42636800716019</v>
      </c>
      <c r="CC49" s="62">
        <f t="shared" si="11"/>
        <v>602.77664140588581</v>
      </c>
      <c r="CD49" s="62">
        <f ca="1">AVERAGE(OFFSET($CC$3,0,0,'Données projet'!$E$12+1,1))-AVERAGE(OFFSET($H$3,0,0,'Données projet'!$E$12+1,1))</f>
        <v>272.69564942740931</v>
      </c>
      <c r="CE49" s="62">
        <f t="shared" si="40"/>
        <v>316.57989180609252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</v>
      </c>
      <c r="CT49" s="13">
        <f>IF('Données projet'!$A$140&gt;35,CT48+CS49-DB48,IF(A49&lt;'Données projet'!$A$140,$CQ$205^A49,IF(A49='Données projet'!$A$140,'Données projet'!$B$140,CT48+CS49-DB48)))</f>
        <v>188.60000000000008</v>
      </c>
      <c r="CU49" s="18">
        <f>CT49*VLOOKUP('Données projet'!$B$13,Paramètres!$A$1:$I$89,3,0)*VLOOKUP('Données projet'!$B$13,Paramètres!$A$1:$I$89,5,0)</f>
        <v>123.57072000000005</v>
      </c>
      <c r="CV49" s="14">
        <f t="shared" si="41"/>
        <v>32.506384557027701</v>
      </c>
      <c r="CW49" s="22">
        <f t="shared" si="13"/>
        <v>271.83429043682332</v>
      </c>
      <c r="CX49" s="62">
        <f t="shared" si="14"/>
        <v>524.18456383554894</v>
      </c>
      <c r="CY49" s="62">
        <f ca="1">AVERAGE(OFFSET($CX$3,0,0,'Données projet'!$E$13+1,1))-AVERAGE(OFFSET($H$3,0,0,'Données projet'!$E$13+1,1))</f>
        <v>304.35088214287919</v>
      </c>
      <c r="CZ49" s="62">
        <f t="shared" si="42"/>
        <v>288.72611053217599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1.1368683772161603E-13</v>
      </c>
      <c r="DP49" s="18">
        <f>DO49*VLOOKUP('Données projet'!$B$14,Paramètres!$A$1:$I$89,3,0)*VLOOKUP('Données projet'!$B$14,Paramètres!$A$1:$I$89,5,0)</f>
        <v>6.5620042732916778E-14</v>
      </c>
      <c r="DQ49" s="14">
        <f t="shared" si="43"/>
        <v>1.0353460337118015E-12</v>
      </c>
      <c r="DR49" s="22">
        <f t="shared" si="16"/>
        <v>1.9175159164745509E-12</v>
      </c>
      <c r="DS49" s="62">
        <f t="shared" si="17"/>
        <v>252.35027339872755</v>
      </c>
      <c r="DT49" s="62">
        <f ca="1">AVERAGE(OFFSET($DS$3,0,0,'Données projet'!$E$14+1,1))-AVERAGE(OFFSET($H$3,0,0,'Données projet'!$E$14+1,1))</f>
        <v>172.86120068224633</v>
      </c>
      <c r="DU49" s="62">
        <f t="shared" si="44"/>
        <v>269.4995727085078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5.6</v>
      </c>
      <c r="EJ49" s="13">
        <f>IF('Données projet'!$A$192&gt;35,EJ48+EI49-ER48,IF(A49&lt;'Données projet'!$A$192,$EG$205^A49,IF(A49='Données projet'!$A$192,'Données projet'!$B$192,EJ48+EI49-ER48)))</f>
        <v>98.600000000000037</v>
      </c>
      <c r="EK49" s="18">
        <f>EJ49*VLOOKUP('Données projet'!$B$15,Paramètres!$A$1:$I$89,3,0)*VLOOKUP('Données projet'!$B$15,Paramètres!$A$1:$I$89,5,0)</f>
        <v>83.060640000000035</v>
      </c>
      <c r="EL49" s="14">
        <f t="shared" si="45"/>
        <v>22.883883502951015</v>
      </c>
      <c r="EM49" s="22">
        <f t="shared" si="19"/>
        <v>184.52004510097308</v>
      </c>
      <c r="EN49" s="62">
        <f t="shared" si="20"/>
        <v>436.87031849969873</v>
      </c>
      <c r="EO49" s="62">
        <f ca="1">AVERAGE(OFFSET($EN$3,0,0,'Données projet'!$E$15+1,1))-AVERAGE(OFFSET($H$3,0,0,'Données projet'!$E$15+1,1))</f>
        <v>346.97972840139914</v>
      </c>
      <c r="EP49" s="62">
        <f t="shared" si="46"/>
        <v>158.41433650660613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</v>
      </c>
      <c r="FE49" s="13">
        <f>IF('Données projet'!$A$218&gt;35,FE48+FD49-FM48,IF(A49&lt;'Données projet'!$A$218,$FB$205^A49,IF(A49='Données projet'!$A$218,'Données projet'!$B$218,FE48+FD49-FM48)))</f>
        <v>133.99999999999989</v>
      </c>
      <c r="FF49" s="18">
        <f>FE49*VLOOKUP('Données projet'!$B$16,Paramètres!$A$1:$I$89,3,0)*VLOOKUP('Données projet'!$B$16,Paramètres!$A$1:$I$89,5,0)</f>
        <v>87.796799999999934</v>
      </c>
      <c r="FG49" s="14">
        <f t="shared" si="47"/>
        <v>24.033102173590805</v>
      </c>
      <c r="FH49" s="22">
        <f t="shared" si="22"/>
        <v>194.77041295233721</v>
      </c>
      <c r="FI49" s="62">
        <f t="shared" si="23"/>
        <v>447.12068635106289</v>
      </c>
      <c r="FJ49" s="62">
        <f ca="1">AVERAGE(OFFSET($FI$3,0,0,'Données projet'!$E$16+1,1))-AVERAGE(OFFSET($H$3,0,0,'Données projet'!$E$16+1,1))</f>
        <v>235.88453308732235</v>
      </c>
      <c r="FK49" s="62">
        <f t="shared" si="48"/>
        <v>220.72810812053521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146.91456000000005</v>
      </c>
      <c r="P50" s="14">
        <f t="shared" si="33"/>
        <v>37.87656239799518</v>
      </c>
      <c r="Q50" s="22">
        <f t="shared" si="53"/>
        <v>321.84453817650837</v>
      </c>
      <c r="R50" s="62">
        <f t="shared" si="0"/>
        <v>574.90577604070381</v>
      </c>
      <c r="S50" s="62">
        <f ca="1">AVERAGE(OFFSET($R$3,0,0,'Données projet'!$E$9+1,1))-AVERAGE(OFFSET($H$3,0,0,'Données projet'!$E$9+1,1))</f>
        <v>442.98179778678298</v>
      </c>
      <c r="T50" s="62">
        <f t="shared" si="34"/>
        <v>251.96153561746942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6.6</v>
      </c>
      <c r="AI50" s="14">
        <f>IF('Données projet'!$A$62&gt;35,AI49+AH50-AQ49,IF(A50&lt;'Données projet'!$A$62,$AF$205^A50,IF(A50='Données projet'!$A$62,'Données projet'!$B$62,AI49+AH50-AQ49)))</f>
        <v>195.20000000000007</v>
      </c>
      <c r="AJ50" s="14">
        <f>AI50*VLOOKUP('Données projet'!$B$10,Paramètres!$A$1:$I$89,3,0)*VLOOKUP('Données projet'!$B$10,Paramètres!$A$1:$I$89,5,0)</f>
        <v>127.89504000000004</v>
      </c>
      <c r="AK50" s="14">
        <f t="shared" si="35"/>
        <v>33.509503727991913</v>
      </c>
      <c r="AL50" s="22">
        <f t="shared" si="4"/>
        <v>281.11291365958601</v>
      </c>
      <c r="AM50" s="62">
        <f t="shared" si="5"/>
        <v>534.17415152378135</v>
      </c>
      <c r="AN50" s="62">
        <f ca="1">AVERAGE(OFFSET($AM$3,0,0,'Données projet'!$E$10+1,1))-AVERAGE(OFFSET($H$3,0,0,'Données projet'!$E$10+1,1))</f>
        <v>304.35088214287919</v>
      </c>
      <c r="AO50" s="62">
        <f t="shared" si="36"/>
        <v>288.72611053217599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12.602564102564102</v>
      </c>
      <c r="BD50" s="13">
        <f>IF('Données projet'!$A$88&gt;35,BD49+BC50-BL49,IF(A50&lt;'Données projet'!$A$88,$BA$205^A50,IF(A50='Données projet'!$A$88,'Données projet'!$B$88,BD49+BC50-BL49)))</f>
        <v>177.57692307692309</v>
      </c>
      <c r="BE50" s="14">
        <f>BD50*VLOOKUP('Données projet'!$B$11,Paramètres!$A$1:$I$89,3,0)*VLOOKUP('Données projet'!$B$11,Paramètres!$A$1:$I$89,5,0)</f>
        <v>113.57820000000001</v>
      </c>
      <c r="BF50" s="14">
        <f t="shared" si="37"/>
        <v>30.172459336215461</v>
      </c>
      <c r="BG50" s="22">
        <f t="shared" si="7"/>
        <v>250.36573167724194</v>
      </c>
      <c r="BH50" s="62">
        <f t="shared" si="8"/>
        <v>503.4269695414373</v>
      </c>
      <c r="BI50" s="62">
        <f ca="1">AVERAGE(OFFSET($BH$3,0,0,'Données projet'!$E$11+1,1))-AVERAGE(OFFSET($H$3,0,0,'Données projet'!$E$11+1,1))</f>
        <v>285.09561428624352</v>
      </c>
      <c r="BJ50" s="62">
        <f t="shared" si="38"/>
        <v>261.05678516705564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7.6</v>
      </c>
      <c r="BY50" s="13">
        <f>IF('Données projet'!$A$114&gt;35,BY49+BX50-CG49,IF(A50&lt;'Données projet'!$A$114,$BV$205^A50,IF(A50='Données projet'!$A$114,'Données projet'!$B$114,BY49+BX50-CG49)))</f>
        <v>205.2</v>
      </c>
      <c r="BZ50" s="14">
        <f>BY50*VLOOKUP('Données projet'!$B$12,Paramètres!$A$1:$I$89,3,0)*VLOOKUP('Données projet'!$B$12,Paramètres!$A$1:$I$89,5,0)</f>
        <v>166.45823999999999</v>
      </c>
      <c r="CA50" s="14">
        <f t="shared" si="39"/>
        <v>42.295817799452642</v>
      </c>
      <c r="CB50" s="22">
        <f t="shared" si="10"/>
        <v>363.5799840007133</v>
      </c>
      <c r="CC50" s="62">
        <f t="shared" si="11"/>
        <v>616.64122186490863</v>
      </c>
      <c r="CD50" s="62">
        <f ca="1">AVERAGE(OFFSET($CC$3,0,0,'Données projet'!$E$12+1,1))-AVERAGE(OFFSET($H$3,0,0,'Données projet'!$E$12+1,1))</f>
        <v>272.69564942740931</v>
      </c>
      <c r="CE50" s="62">
        <f t="shared" si="40"/>
        <v>316.57989180609252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</v>
      </c>
      <c r="CT50" s="13">
        <f>IF('Données projet'!$A$140&gt;35,CT49+CS50-DB49,IF(A50&lt;'Données projet'!$A$140,$CQ$205^A50,IF(A50='Données projet'!$A$140,'Données projet'!$B$140,CT49+CS50-DB49)))</f>
        <v>195.20000000000007</v>
      </c>
      <c r="CU50" s="18">
        <f>CT50*VLOOKUP('Données projet'!$B$13,Paramètres!$A$1:$I$89,3,0)*VLOOKUP('Données projet'!$B$13,Paramètres!$A$1:$I$89,5,0)</f>
        <v>127.89504000000004</v>
      </c>
      <c r="CV50" s="14">
        <f t="shared" si="41"/>
        <v>33.509503727991913</v>
      </c>
      <c r="CW50" s="22">
        <f t="shared" si="13"/>
        <v>281.11291365958601</v>
      </c>
      <c r="CX50" s="62">
        <f t="shared" si="14"/>
        <v>534.17415152378135</v>
      </c>
      <c r="CY50" s="62">
        <f ca="1">AVERAGE(OFFSET($CX$3,0,0,'Données projet'!$E$13+1,1))-AVERAGE(OFFSET($H$3,0,0,'Données projet'!$E$13+1,1))</f>
        <v>304.35088214287919</v>
      </c>
      <c r="CZ50" s="62">
        <f t="shared" si="42"/>
        <v>288.72611053217599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1.1368683772161603E-13</v>
      </c>
      <c r="DP50" s="18">
        <f>DO50*VLOOKUP('Données projet'!$B$14,Paramètres!$A$1:$I$89,3,0)*VLOOKUP('Données projet'!$B$14,Paramètres!$A$1:$I$89,5,0)</f>
        <v>6.5620042732916778E-14</v>
      </c>
      <c r="DQ50" s="14">
        <f t="shared" si="43"/>
        <v>1.0353460337118015E-12</v>
      </c>
      <c r="DR50" s="22">
        <f t="shared" si="16"/>
        <v>1.9175159164745509E-12</v>
      </c>
      <c r="DS50" s="62">
        <f t="shared" si="17"/>
        <v>253.0612378641973</v>
      </c>
      <c r="DT50" s="62">
        <f ca="1">AVERAGE(OFFSET($DS$3,0,0,'Données projet'!$E$14+1,1))-AVERAGE(OFFSET($H$3,0,0,'Données projet'!$E$14+1,1))</f>
        <v>172.86120068224633</v>
      </c>
      <c r="DU50" s="62">
        <f t="shared" si="44"/>
        <v>269.4995727085078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5.6</v>
      </c>
      <c r="EJ50" s="13">
        <f>IF('Données projet'!$A$192&gt;35,EJ49+EI50-ER49,IF(A50&lt;'Données projet'!$A$192,$EG$205^A50,IF(A50='Données projet'!$A$192,'Données projet'!$B$192,EJ49+EI50-ER49)))</f>
        <v>104.20000000000003</v>
      </c>
      <c r="EK50" s="18">
        <f>EJ50*VLOOKUP('Données projet'!$B$15,Paramètres!$A$1:$I$89,3,0)*VLOOKUP('Données projet'!$B$15,Paramètres!$A$1:$I$89,5,0)</f>
        <v>87.778080000000031</v>
      </c>
      <c r="EL50" s="14">
        <f t="shared" si="45"/>
        <v>24.028574260451634</v>
      </c>
      <c r="EM50" s="22">
        <f t="shared" si="19"/>
        <v>194.72992283695331</v>
      </c>
      <c r="EN50" s="62">
        <f t="shared" si="20"/>
        <v>447.79116070114867</v>
      </c>
      <c r="EO50" s="62">
        <f ca="1">AVERAGE(OFFSET($EN$3,0,0,'Données projet'!$E$15+1,1))-AVERAGE(OFFSET($H$3,0,0,'Données projet'!$E$15+1,1))</f>
        <v>346.97972840139914</v>
      </c>
      <c r="EP50" s="62">
        <f t="shared" si="46"/>
        <v>158.41433650660613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</v>
      </c>
      <c r="FE50" s="13">
        <f>IF('Données projet'!$A$218&gt;35,FE49+FD50-FM49,IF(A50&lt;'Données projet'!$A$218,$FB$205^A50,IF(A50='Données projet'!$A$218,'Données projet'!$B$218,FE49+FD50-FM49)))</f>
        <v>138.99999999999989</v>
      </c>
      <c r="FF50" s="18">
        <f>FE50*VLOOKUP('Données projet'!$B$16,Paramètres!$A$1:$I$89,3,0)*VLOOKUP('Données projet'!$B$16,Paramètres!$A$1:$I$89,5,0)</f>
        <v>91.07279999999993</v>
      </c>
      <c r="FG50" s="14">
        <f t="shared" si="47"/>
        <v>24.823779817332358</v>
      </c>
      <c r="FH50" s="22">
        <f t="shared" si="22"/>
        <v>201.85320984852038</v>
      </c>
      <c r="FI50" s="62">
        <f t="shared" si="23"/>
        <v>454.91444771271574</v>
      </c>
      <c r="FJ50" s="62">
        <f ca="1">AVERAGE(OFFSET($FI$3,0,0,'Données projet'!$E$16+1,1))-AVERAGE(OFFSET($H$3,0,0,'Données projet'!$E$16+1,1))</f>
        <v>235.88453308732235</v>
      </c>
      <c r="FK50" s="62">
        <f t="shared" si="48"/>
        <v>220.72810812053521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153.82224000000002</v>
      </c>
      <c r="P51" s="14">
        <f t="shared" si="33"/>
        <v>39.445927244182762</v>
      </c>
      <c r="Q51" s="22">
        <f t="shared" si="53"/>
        <v>336.60872461695169</v>
      </c>
      <c r="R51" s="62">
        <f t="shared" si="0"/>
        <v>590.36859330261939</v>
      </c>
      <c r="S51" s="62">
        <f ca="1">AVERAGE(OFFSET($R$3,0,0,'Données projet'!$E$9+1,1))-AVERAGE(OFFSET($H$3,0,0,'Données projet'!$E$9+1,1))</f>
        <v>442.98179778678298</v>
      </c>
      <c r="T51" s="62">
        <f t="shared" si="34"/>
        <v>251.96153561746942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6.6</v>
      </c>
      <c r="AI51" s="14">
        <f>IF('Données projet'!$A$62&gt;35,AI50+AH51-AQ50,IF(A51&lt;'Données projet'!$A$62,$AF$205^A51,IF(A51='Données projet'!$A$62,'Données projet'!$B$62,AI50+AH51-AQ50)))</f>
        <v>201.80000000000007</v>
      </c>
      <c r="AJ51" s="14">
        <f>AI51*VLOOKUP('Données projet'!$B$10,Paramètres!$A$1:$I$89,3,0)*VLOOKUP('Données projet'!$B$10,Paramètres!$A$1:$I$89,5,0)</f>
        <v>132.21936000000005</v>
      </c>
      <c r="AK51" s="14">
        <f t="shared" si="35"/>
        <v>34.508681932648301</v>
      </c>
      <c r="AL51" s="22">
        <f t="shared" si="4"/>
        <v>290.3846730326959</v>
      </c>
      <c r="AM51" s="62">
        <f t="shared" si="5"/>
        <v>544.1445417183636</v>
      </c>
      <c r="AN51" s="62">
        <f ca="1">AVERAGE(OFFSET($AM$3,0,0,'Données projet'!$E$10+1,1))-AVERAGE(OFFSET($H$3,0,0,'Données projet'!$E$10+1,1))</f>
        <v>304.35088214287919</v>
      </c>
      <c r="AO51" s="62">
        <f t="shared" si="36"/>
        <v>288.72611053217599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12.602564102564102</v>
      </c>
      <c r="BD51" s="13">
        <f>IF('Données projet'!$A$88&gt;35,BD50+BC51-BL50,IF(A51&lt;'Données projet'!$A$88,$BA$205^A51,IF(A51='Données projet'!$A$88,'Données projet'!$B$88,BD50+BC51-BL50)))</f>
        <v>190.17948717948718</v>
      </c>
      <c r="BE51" s="14">
        <f>BD51*VLOOKUP('Données projet'!$B$11,Paramètres!$A$1:$I$89,3,0)*VLOOKUP('Données projet'!$B$11,Paramètres!$A$1:$I$89,5,0)</f>
        <v>121.6388</v>
      </c>
      <c r="BF51" s="14">
        <f t="shared" si="37"/>
        <v>32.056920216971605</v>
      </c>
      <c r="BG51" s="22">
        <f t="shared" si="7"/>
        <v>267.68671271122554</v>
      </c>
      <c r="BH51" s="62">
        <f t="shared" si="8"/>
        <v>521.44658139689318</v>
      </c>
      <c r="BI51" s="62">
        <f ca="1">AVERAGE(OFFSET($BH$3,0,0,'Données projet'!$E$11+1,1))-AVERAGE(OFFSET($H$3,0,0,'Données projet'!$E$11+1,1))</f>
        <v>285.09561428624352</v>
      </c>
      <c r="BJ51" s="62">
        <f t="shared" si="38"/>
        <v>261.05678516705564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7.6</v>
      </c>
      <c r="BY51" s="13">
        <f>IF('Données projet'!$A$114&gt;35,BY50+BX51-CG50,IF(A51&lt;'Données projet'!$A$114,$BV$205^A51,IF(A51='Données projet'!$A$114,'Données projet'!$B$114,BY50+BX51-CG50)))</f>
        <v>212.79999999999998</v>
      </c>
      <c r="BZ51" s="14">
        <f>BY51*VLOOKUP('Données projet'!$B$12,Paramètres!$A$1:$I$89,3,0)*VLOOKUP('Données projet'!$B$12,Paramètres!$A$1:$I$89,5,0)</f>
        <v>172.62335999999999</v>
      </c>
      <c r="CA51" s="14">
        <f t="shared" si="39"/>
        <v>43.67704427998607</v>
      </c>
      <c r="CB51" s="22">
        <f t="shared" si="10"/>
        <v>376.72320412097571</v>
      </c>
      <c r="CC51" s="62">
        <f t="shared" si="11"/>
        <v>630.48307280664335</v>
      </c>
      <c r="CD51" s="62">
        <f ca="1">AVERAGE(OFFSET($CC$3,0,0,'Données projet'!$E$12+1,1))-AVERAGE(OFFSET($H$3,0,0,'Données projet'!$E$12+1,1))</f>
        <v>272.69564942740931</v>
      </c>
      <c r="CE51" s="62">
        <f t="shared" si="40"/>
        <v>316.57989180609252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</v>
      </c>
      <c r="CT51" s="13">
        <f>IF('Données projet'!$A$140&gt;35,CT50+CS51-DB50,IF(A51&lt;'Données projet'!$A$140,$CQ$205^A51,IF(A51='Données projet'!$A$140,'Données projet'!$B$140,CT50+CS51-DB50)))</f>
        <v>201.80000000000007</v>
      </c>
      <c r="CU51" s="18">
        <f>CT51*VLOOKUP('Données projet'!$B$13,Paramètres!$A$1:$I$89,3,0)*VLOOKUP('Données projet'!$B$13,Paramètres!$A$1:$I$89,5,0)</f>
        <v>132.21936000000005</v>
      </c>
      <c r="CV51" s="14">
        <f t="shared" si="41"/>
        <v>34.508681932648301</v>
      </c>
      <c r="CW51" s="22">
        <f t="shared" si="13"/>
        <v>290.3846730326959</v>
      </c>
      <c r="CX51" s="62">
        <f t="shared" si="14"/>
        <v>544.1445417183636</v>
      </c>
      <c r="CY51" s="62">
        <f ca="1">AVERAGE(OFFSET($CX$3,0,0,'Données projet'!$E$13+1,1))-AVERAGE(OFFSET($H$3,0,0,'Données projet'!$E$13+1,1))</f>
        <v>304.35088214287919</v>
      </c>
      <c r="CZ51" s="62">
        <f t="shared" si="42"/>
        <v>288.72611053217599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1.1368683772161603E-13</v>
      </c>
      <c r="DP51" s="18">
        <f>DO51*VLOOKUP('Données projet'!$B$14,Paramètres!$A$1:$I$89,3,0)*VLOOKUP('Données projet'!$B$14,Paramètres!$A$1:$I$89,5,0)</f>
        <v>6.5620042732916778E-14</v>
      </c>
      <c r="DQ51" s="14">
        <f t="shared" si="43"/>
        <v>1.0353460337118015E-12</v>
      </c>
      <c r="DR51" s="22">
        <f t="shared" si="16"/>
        <v>1.9175159164745509E-12</v>
      </c>
      <c r="DS51" s="62">
        <f t="shared" si="17"/>
        <v>253.7598686856696</v>
      </c>
      <c r="DT51" s="62">
        <f ca="1">AVERAGE(OFFSET($DS$3,0,0,'Données projet'!$E$14+1,1))-AVERAGE(OFFSET($H$3,0,0,'Données projet'!$E$14+1,1))</f>
        <v>172.86120068224633</v>
      </c>
      <c r="DU51" s="62">
        <f t="shared" si="44"/>
        <v>269.4995727085078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5.6</v>
      </c>
      <c r="EJ51" s="13">
        <f>IF('Données projet'!$A$192&gt;35,EJ50+EI51-ER50,IF(A51&lt;'Données projet'!$A$192,$EG$205^A51,IF(A51='Données projet'!$A$192,'Données projet'!$B$192,EJ50+EI51-ER50)))</f>
        <v>109.80000000000003</v>
      </c>
      <c r="EK51" s="18">
        <f>EJ51*VLOOKUP('Données projet'!$B$15,Paramètres!$A$1:$I$89,3,0)*VLOOKUP('Données projet'!$B$15,Paramètres!$A$1:$I$89,5,0)</f>
        <v>92.495520000000027</v>
      </c>
      <c r="EL51" s="14">
        <f t="shared" si="45"/>
        <v>25.166122941067407</v>
      </c>
      <c r="EM51" s="22">
        <f t="shared" si="19"/>
        <v>204.92736145569245</v>
      </c>
      <c r="EN51" s="62">
        <f t="shared" si="20"/>
        <v>458.68723014136015</v>
      </c>
      <c r="EO51" s="62">
        <f ca="1">AVERAGE(OFFSET($EN$3,0,0,'Données projet'!$E$15+1,1))-AVERAGE(OFFSET($H$3,0,0,'Données projet'!$E$15+1,1))</f>
        <v>346.97972840139914</v>
      </c>
      <c r="EP51" s="62">
        <f t="shared" si="46"/>
        <v>158.41433650660613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</v>
      </c>
      <c r="FE51" s="13">
        <f>IF('Données projet'!$A$218&gt;35,FE50+FD51-FM50,IF(A51&lt;'Données projet'!$A$218,$FB$205^A51,IF(A51='Données projet'!$A$218,'Données projet'!$B$218,FE50+FD51-FM50)))</f>
        <v>143.99999999999989</v>
      </c>
      <c r="FF51" s="18">
        <f>FE51*VLOOKUP('Données projet'!$B$16,Paramètres!$A$1:$I$89,3,0)*VLOOKUP('Données projet'!$B$16,Paramètres!$A$1:$I$89,5,0)</f>
        <v>94.348799999999926</v>
      </c>
      <c r="FG51" s="14">
        <f t="shared" si="47"/>
        <v>25.611153022386439</v>
      </c>
      <c r="FH51" s="22">
        <f t="shared" si="22"/>
        <v>208.93025151398959</v>
      </c>
      <c r="FI51" s="62">
        <f t="shared" si="23"/>
        <v>462.69012019965726</v>
      </c>
      <c r="FJ51" s="62">
        <f ca="1">AVERAGE(OFFSET($FI$3,0,0,'Données projet'!$E$16+1,1))-AVERAGE(OFFSET($H$3,0,0,'Données projet'!$E$16+1,1))</f>
        <v>235.88453308732235</v>
      </c>
      <c r="FK51" s="62">
        <f t="shared" si="48"/>
        <v>220.72810812053521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160.72992000000002</v>
      </c>
      <c r="P52" s="14">
        <f t="shared" si="33"/>
        <v>41.007107262069759</v>
      </c>
      <c r="Q52" s="22">
        <f t="shared" si="53"/>
        <v>351.35865581477151</v>
      </c>
      <c r="R52" s="62">
        <f t="shared" si="0"/>
        <v>605.80503563906348</v>
      </c>
      <c r="S52" s="62">
        <f ca="1">AVERAGE(OFFSET($R$3,0,0,'Données projet'!$E$9+1,1))-AVERAGE(OFFSET($H$3,0,0,'Données projet'!$E$9+1,1))</f>
        <v>442.98179778678298</v>
      </c>
      <c r="T52" s="62">
        <f t="shared" si="34"/>
        <v>251.96153561746942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6.6</v>
      </c>
      <c r="AI52" s="14">
        <f>IF('Données projet'!$A$62&gt;35,AI51+AH52-AQ51,IF(A52&lt;'Données projet'!$A$62,$AF$205^A52,IF(A52='Données projet'!$A$62,'Données projet'!$B$62,AI51+AH52-AQ51)))</f>
        <v>208.40000000000006</v>
      </c>
      <c r="AJ52" s="14">
        <f>AI52*VLOOKUP('Données projet'!$B$10,Paramètres!$A$1:$I$89,3,0)*VLOOKUP('Données projet'!$B$10,Paramètres!$A$1:$I$89,5,0)</f>
        <v>136.54368000000002</v>
      </c>
      <c r="AK52" s="14">
        <f t="shared" si="35"/>
        <v>35.504062844328153</v>
      </c>
      <c r="AL52" s="22">
        <f t="shared" si="4"/>
        <v>299.64981878720488</v>
      </c>
      <c r="AM52" s="62">
        <f t="shared" si="5"/>
        <v>554.0961986114969</v>
      </c>
      <c r="AN52" s="62">
        <f ca="1">AVERAGE(OFFSET($AM$3,0,0,'Données projet'!$E$10+1,1))-AVERAGE(OFFSET($H$3,0,0,'Données projet'!$E$10+1,1))</f>
        <v>304.35088214287919</v>
      </c>
      <c r="AO52" s="62">
        <f t="shared" si="36"/>
        <v>288.72611053217599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12.602564102564102</v>
      </c>
      <c r="BD52" s="13">
        <f>IF('Données projet'!$A$88&gt;35,BD51+BC52-BL51,IF(A52&lt;'Données projet'!$A$88,$BA$205^A52,IF(A52='Données projet'!$A$88,'Données projet'!$B$88,BD51+BC52-BL51)))</f>
        <v>202.78205128205127</v>
      </c>
      <c r="BE52" s="14">
        <f>BD52*VLOOKUP('Données projet'!$B$11,Paramètres!$A$1:$I$89,3,0)*VLOOKUP('Données projet'!$B$11,Paramètres!$A$1:$I$89,5,0)</f>
        <v>129.6994</v>
      </c>
      <c r="BF52" s="14">
        <f t="shared" si="37"/>
        <v>33.926890142481575</v>
      </c>
      <c r="BG52" s="22">
        <f t="shared" si="7"/>
        <v>284.98245533148872</v>
      </c>
      <c r="BH52" s="62">
        <f t="shared" si="8"/>
        <v>539.42883515578069</v>
      </c>
      <c r="BI52" s="62">
        <f ca="1">AVERAGE(OFFSET($BH$3,0,0,'Données projet'!$E$11+1,1))-AVERAGE(OFFSET($H$3,0,0,'Données projet'!$E$11+1,1))</f>
        <v>285.09561428624352</v>
      </c>
      <c r="BJ52" s="62">
        <f t="shared" si="38"/>
        <v>261.05678516705564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7.6</v>
      </c>
      <c r="BY52" s="13">
        <f>IF('Données projet'!$A$114&gt;35,BY51+BX52-CG51,IF(A52&lt;'Données projet'!$A$114,$BV$205^A52,IF(A52='Données projet'!$A$114,'Données projet'!$B$114,BY51+BX52-CG51)))</f>
        <v>220.39999999999998</v>
      </c>
      <c r="BZ52" s="14">
        <f>BY52*VLOOKUP('Données projet'!$B$12,Paramètres!$A$1:$I$89,3,0)*VLOOKUP('Données projet'!$B$12,Paramètres!$A$1:$I$89,5,0)</f>
        <v>178.78847999999999</v>
      </c>
      <c r="CA52" s="14">
        <f t="shared" si="39"/>
        <v>45.052539436241446</v>
      </c>
      <c r="CB52" s="22">
        <f t="shared" si="10"/>
        <v>389.85644218478711</v>
      </c>
      <c r="CC52" s="62">
        <f t="shared" si="11"/>
        <v>644.30282200907914</v>
      </c>
      <c r="CD52" s="62">
        <f ca="1">AVERAGE(OFFSET($CC$3,0,0,'Données projet'!$E$12+1,1))-AVERAGE(OFFSET($H$3,0,0,'Données projet'!$E$12+1,1))</f>
        <v>272.69564942740931</v>
      </c>
      <c r="CE52" s="62">
        <f t="shared" si="40"/>
        <v>316.57989180609252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</v>
      </c>
      <c r="CT52" s="13">
        <f>IF('Données projet'!$A$140&gt;35,CT51+CS52-DB51,IF(A52&lt;'Données projet'!$A$140,$CQ$205^A52,IF(A52='Données projet'!$A$140,'Données projet'!$B$140,CT51+CS52-DB51)))</f>
        <v>208.40000000000006</v>
      </c>
      <c r="CU52" s="18">
        <f>CT52*VLOOKUP('Données projet'!$B$13,Paramètres!$A$1:$I$89,3,0)*VLOOKUP('Données projet'!$B$13,Paramètres!$A$1:$I$89,5,0)</f>
        <v>136.54368000000002</v>
      </c>
      <c r="CV52" s="14">
        <f t="shared" si="41"/>
        <v>35.504062844328153</v>
      </c>
      <c r="CW52" s="22">
        <f t="shared" si="13"/>
        <v>299.64981878720488</v>
      </c>
      <c r="CX52" s="62">
        <f t="shared" si="14"/>
        <v>554.0961986114969</v>
      </c>
      <c r="CY52" s="62">
        <f ca="1">AVERAGE(OFFSET($CX$3,0,0,'Données projet'!$E$13+1,1))-AVERAGE(OFFSET($H$3,0,0,'Données projet'!$E$13+1,1))</f>
        <v>304.35088214287919</v>
      </c>
      <c r="CZ52" s="62">
        <f t="shared" si="42"/>
        <v>288.72611053217599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1.1368683772161603E-13</v>
      </c>
      <c r="DP52" s="18">
        <f>DO52*VLOOKUP('Données projet'!$B$14,Paramètres!$A$1:$I$89,3,0)*VLOOKUP('Données projet'!$B$14,Paramètres!$A$1:$I$89,5,0)</f>
        <v>6.5620042732916778E-14</v>
      </c>
      <c r="DQ52" s="14">
        <f t="shared" si="43"/>
        <v>1.0353460337118015E-12</v>
      </c>
      <c r="DR52" s="22">
        <f t="shared" si="16"/>
        <v>1.9175159164745509E-12</v>
      </c>
      <c r="DS52" s="62">
        <f t="shared" si="17"/>
        <v>254.44637982429387</v>
      </c>
      <c r="DT52" s="62">
        <f ca="1">AVERAGE(OFFSET($DS$3,0,0,'Données projet'!$E$14+1,1))-AVERAGE(OFFSET($H$3,0,0,'Données projet'!$E$14+1,1))</f>
        <v>172.86120068224633</v>
      </c>
      <c r="DU52" s="62">
        <f t="shared" si="44"/>
        <v>269.4995727085078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5.6</v>
      </c>
      <c r="EJ52" s="13">
        <f>IF('Données projet'!$A$192&gt;35,EJ51+EI52-ER51,IF(A52&lt;'Données projet'!$A$192,$EG$205^A52,IF(A52='Données projet'!$A$192,'Données projet'!$B$192,EJ51+EI52-ER51)))</f>
        <v>115.40000000000002</v>
      </c>
      <c r="EK52" s="18">
        <f>EJ52*VLOOKUP('Données projet'!$B$15,Paramètres!$A$1:$I$89,3,0)*VLOOKUP('Données projet'!$B$15,Paramètres!$A$1:$I$89,5,0)</f>
        <v>97.212960000000024</v>
      </c>
      <c r="EL52" s="14">
        <f t="shared" si="45"/>
        <v>26.296935359296459</v>
      </c>
      <c r="EM52" s="22">
        <f t="shared" si="19"/>
        <v>215.11306775077469</v>
      </c>
      <c r="EN52" s="62">
        <f t="shared" si="20"/>
        <v>469.55944757506666</v>
      </c>
      <c r="EO52" s="62">
        <f ca="1">AVERAGE(OFFSET($EN$3,0,0,'Données projet'!$E$15+1,1))-AVERAGE(OFFSET($H$3,0,0,'Données projet'!$E$15+1,1))</f>
        <v>346.97972840139914</v>
      </c>
      <c r="EP52" s="62">
        <f t="shared" si="46"/>
        <v>158.41433650660613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</v>
      </c>
      <c r="FE52" s="13">
        <f>IF('Données projet'!$A$218&gt;35,FE51+FD52-FM51,IF(A52&lt;'Données projet'!$A$218,$FB$205^A52,IF(A52='Données projet'!$A$218,'Données projet'!$B$218,FE51+FD52-FM51)))</f>
        <v>148.99999999999989</v>
      </c>
      <c r="FF52" s="18">
        <f>FE52*VLOOKUP('Données projet'!$B$16,Paramètres!$A$1:$I$89,3,0)*VLOOKUP('Données projet'!$B$16,Paramètres!$A$1:$I$89,5,0)</f>
        <v>97.624799999999922</v>
      </c>
      <c r="FG52" s="14">
        <f t="shared" si="47"/>
        <v>26.395349675372131</v>
      </c>
      <c r="FH52" s="22">
        <f t="shared" si="22"/>
        <v>216.00176068460632</v>
      </c>
      <c r="FI52" s="62">
        <f t="shared" si="23"/>
        <v>470.44814050889829</v>
      </c>
      <c r="FJ52" s="62">
        <f ca="1">AVERAGE(OFFSET($FI$3,0,0,'Données projet'!$E$16+1,1))-AVERAGE(OFFSET($H$3,0,0,'Données projet'!$E$16+1,1))</f>
        <v>235.88453308732235</v>
      </c>
      <c r="FK52" s="62">
        <f t="shared" si="48"/>
        <v>220.72810812053521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167.63760000000002</v>
      </c>
      <c r="P53" s="14">
        <f t="shared" si="33"/>
        <v>42.560494420898017</v>
      </c>
      <c r="Q53" s="22">
        <f t="shared" si="53"/>
        <v>366.09501444973074</v>
      </c>
      <c r="R53" s="62">
        <f t="shared" si="0"/>
        <v>621.2159959792009</v>
      </c>
      <c r="S53" s="62">
        <f ca="1">AVERAGE(OFFSET($R$3,0,0,'Données projet'!$E$9+1,1))-AVERAGE(OFFSET($H$3,0,0,'Données projet'!$E$9+1,1))</f>
        <v>442.98179778678298</v>
      </c>
      <c r="T53" s="62">
        <f t="shared" si="34"/>
        <v>251.96153561746942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215</v>
      </c>
      <c r="AG53" s="13">
        <f>VLOOKUP(A53,'Données projet'!$A$61:$I$81,9,0)</f>
        <v>6.6</v>
      </c>
      <c r="AH53" s="13">
        <f t="array" ref="AH53">INDEX(AG:AG,MIN(IF(ISNUMBER(AG53:AG249),ROW(AG53:AG249),"")))</f>
        <v>6.6</v>
      </c>
      <c r="AI53" s="14">
        <f>IF('Données projet'!$A$62&gt;35,AI52+AH53-AQ52,IF(A53&lt;'Données projet'!$A$62,$AF$205^A53,IF(A53='Données projet'!$A$62,'Données projet'!$B$62,AI52+AH53-AQ52)))</f>
        <v>215.00000000000006</v>
      </c>
      <c r="AJ53" s="14">
        <f>AI53*VLOOKUP('Données projet'!$B$10,Paramètres!$A$1:$I$89,3,0)*VLOOKUP('Données projet'!$B$10,Paramètres!$A$1:$I$89,5,0)</f>
        <v>140.86800000000005</v>
      </c>
      <c r="AK53" s="14">
        <f t="shared" si="35"/>
        <v>36.495780519346958</v>
      </c>
      <c r="AL53" s="22">
        <f t="shared" si="4"/>
        <v>308.90858440452939</v>
      </c>
      <c r="AM53" s="62">
        <f t="shared" si="5"/>
        <v>564.02956593399949</v>
      </c>
      <c r="AN53" s="62">
        <f ca="1">AVERAGE(OFFSET($AM$3,0,0,'Données projet'!$E$10+1,1))-AVERAGE(OFFSET($H$3,0,0,'Données projet'!$E$10+1,1))</f>
        <v>304.35088214287919</v>
      </c>
      <c r="AO53" s="62">
        <f t="shared" si="36"/>
        <v>288.72611053217599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215.38461538461539</v>
      </c>
      <c r="BB53" s="13">
        <f>VLOOKUP(A53,'Données projet'!$A$87:$I$107,9,0)</f>
        <v>12.602564102564102</v>
      </c>
      <c r="BC53" s="13">
        <f t="array" ref="BC53">INDEX(BB:BB,MIN(IF(ISNUMBER(BB53:BB249),ROW(BB53:BB249),"")))</f>
        <v>12.602564102564102</v>
      </c>
      <c r="BD53" s="13">
        <f>IF('Données projet'!$A$88&gt;35,BD52+BC53-BL52,IF(A53&lt;'Données projet'!$A$88,$BA$205^A53,IF(A53='Données projet'!$A$88,'Données projet'!$B$88,BD52+BC53-BL52)))</f>
        <v>215.38461538461536</v>
      </c>
      <c r="BE53" s="14">
        <f>BD53*VLOOKUP('Données projet'!$B$11,Paramètres!$A$1:$I$89,3,0)*VLOOKUP('Données projet'!$B$11,Paramètres!$A$1:$I$89,5,0)</f>
        <v>137.76</v>
      </c>
      <c r="BF53" s="14">
        <f t="shared" si="37"/>
        <v>35.783372232974429</v>
      </c>
      <c r="BG53" s="22">
        <f t="shared" si="7"/>
        <v>302.25470663909709</v>
      </c>
      <c r="BH53" s="62">
        <f t="shared" si="8"/>
        <v>557.37568816856719</v>
      </c>
      <c r="BI53" s="62">
        <f ca="1">AVERAGE(OFFSET($BH$3,0,0,'Données projet'!$E$11+1,1))-AVERAGE(OFFSET($H$3,0,0,'Données projet'!$E$11+1,1))</f>
        <v>285.09561428624352</v>
      </c>
      <c r="BJ53" s="62">
        <f t="shared" si="38"/>
        <v>261.05678516705564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57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228</v>
      </c>
      <c r="BW53" s="13">
        <f>VLOOKUP(A53,'Données projet'!$A$113:$I$133,9,0)</f>
        <v>7.6</v>
      </c>
      <c r="BX53" s="13">
        <f t="array" ref="BX53">INDEX(BW:BW,MIN(IF(ISNUMBER(BW53:BW249),ROW(BW53:BW249),"")))</f>
        <v>7.6</v>
      </c>
      <c r="BY53" s="13">
        <f>IF('Données projet'!$A$114&gt;35,BY52+BX53-CG52,IF(A53&lt;'Données projet'!$A$114,$BV$205^A53,IF(A53='Données projet'!$A$114,'Données projet'!$B$114,BY52+BX53-CG52)))</f>
        <v>227.99999999999997</v>
      </c>
      <c r="BZ53" s="14">
        <f>BY53*VLOOKUP('Données projet'!$B$12,Paramètres!$A$1:$I$89,3,0)*VLOOKUP('Données projet'!$B$12,Paramètres!$A$1:$I$89,5,0)</f>
        <v>184.95359999999999</v>
      </c>
      <c r="CA53" s="14">
        <f t="shared" si="39"/>
        <v>46.42252355095799</v>
      </c>
      <c r="CB53" s="22">
        <f t="shared" si="10"/>
        <v>402.98008185125178</v>
      </c>
      <c r="CC53" s="62">
        <f t="shared" si="11"/>
        <v>658.10106338072183</v>
      </c>
      <c r="CD53" s="62">
        <f ca="1">AVERAGE(OFFSET($CC$3,0,0,'Données projet'!$E$12+1,1))-AVERAGE(OFFSET($H$3,0,0,'Données projet'!$E$12+1,1))</f>
        <v>272.69564942740931</v>
      </c>
      <c r="CE53" s="62">
        <f t="shared" si="40"/>
        <v>316.57989180609252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215</v>
      </c>
      <c r="CR53" s="13">
        <f>VLOOKUP(A53,'Données projet'!$A$139:$I$159,9,0)</f>
        <v>6.6</v>
      </c>
      <c r="CS53" s="13">
        <f t="array" ref="CS53">INDEX(CR:CR,MIN(IF(ISNUMBER(CR53:CR249),ROW(CR53:CR249),"")))</f>
        <v>6.6</v>
      </c>
      <c r="CT53" s="13">
        <f>IF('Données projet'!$A$140&gt;35,CT52+CS53-DB52,IF(A53&lt;'Données projet'!$A$140,$CQ$205^A53,IF(A53='Données projet'!$A$140,'Données projet'!$B$140,CT52+CS53-DB52)))</f>
        <v>215.00000000000006</v>
      </c>
      <c r="CU53" s="18">
        <f>CT53*VLOOKUP('Données projet'!$B$13,Paramètres!$A$1:$I$89,3,0)*VLOOKUP('Données projet'!$B$13,Paramètres!$A$1:$I$89,5,0)</f>
        <v>140.86800000000005</v>
      </c>
      <c r="CV53" s="14">
        <f t="shared" si="41"/>
        <v>36.495780519346958</v>
      </c>
      <c r="CW53" s="22">
        <f t="shared" si="13"/>
        <v>308.90858440452939</v>
      </c>
      <c r="CX53" s="62">
        <f t="shared" si="14"/>
        <v>564.02956593399949</v>
      </c>
      <c r="CY53" s="62">
        <f ca="1">AVERAGE(OFFSET($CX$3,0,0,'Données projet'!$E$13+1,1))-AVERAGE(OFFSET($H$3,0,0,'Données projet'!$E$13+1,1))</f>
        <v>304.35088214287919</v>
      </c>
      <c r="CZ53" s="62">
        <f t="shared" si="42"/>
        <v>288.72611053217599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1.1368683772161603E-13</v>
      </c>
      <c r="DP53" s="18">
        <f>DO53*VLOOKUP('Données projet'!$B$14,Paramètres!$A$1:$I$89,3,0)*VLOOKUP('Données projet'!$B$14,Paramètres!$A$1:$I$89,5,0)</f>
        <v>6.5620042732916778E-14</v>
      </c>
      <c r="DQ53" s="14">
        <f t="shared" si="43"/>
        <v>1.0353460337118015E-12</v>
      </c>
      <c r="DR53" s="22">
        <f t="shared" si="16"/>
        <v>1.9175159164745509E-12</v>
      </c>
      <c r="DS53" s="62">
        <f t="shared" si="17"/>
        <v>255.120981529472</v>
      </c>
      <c r="DT53" s="62">
        <f ca="1">AVERAGE(OFFSET($DS$3,0,0,'Données projet'!$E$14+1,1))-AVERAGE(OFFSET($H$3,0,0,'Données projet'!$E$14+1,1))</f>
        <v>172.86120068224633</v>
      </c>
      <c r="DU53" s="62">
        <f t="shared" si="44"/>
        <v>269.4995727085078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121</v>
      </c>
      <c r="EH53" s="13">
        <f>VLOOKUP(A53,'Données projet'!$A$191:$I$211,9,0)</f>
        <v>5.6</v>
      </c>
      <c r="EI53" s="13">
        <f t="array" ref="EI53">INDEX(EH:EH,MIN(IF(ISNUMBER(EH53:EH249),ROW(EH53:EH249),"")))</f>
        <v>5.6</v>
      </c>
      <c r="EJ53" s="13">
        <f>IF('Données projet'!$A$192&gt;35,EJ52+EI53-ER52,IF(A53&lt;'Données projet'!$A$192,$EG$205^A53,IF(A53='Données projet'!$A$192,'Données projet'!$B$192,EJ52+EI53-ER52)))</f>
        <v>121.00000000000001</v>
      </c>
      <c r="EK53" s="18">
        <f>EJ53*VLOOKUP('Données projet'!$B$15,Paramètres!$A$1:$I$89,3,0)*VLOOKUP('Données projet'!$B$15,Paramètres!$A$1:$I$89,5,0)</f>
        <v>101.93040000000003</v>
      </c>
      <c r="EL53" s="14">
        <f t="shared" si="45"/>
        <v>27.421375718582158</v>
      </c>
      <c r="EM53" s="22">
        <f t="shared" si="19"/>
        <v>225.28767604319731</v>
      </c>
      <c r="EN53" s="62">
        <f t="shared" si="20"/>
        <v>480.40865757266738</v>
      </c>
      <c r="EO53" s="62">
        <f ca="1">AVERAGE(OFFSET($EN$3,0,0,'Données projet'!$E$15+1,1))-AVERAGE(OFFSET($H$3,0,0,'Données projet'!$E$15+1,1))</f>
        <v>346.97972840139914</v>
      </c>
      <c r="EP53" s="62">
        <f t="shared" si="46"/>
        <v>158.41433650660613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154</v>
      </c>
      <c r="FC53" s="13">
        <f>VLOOKUP(A53,'Données projet'!$A$217:$I$237,9,0)</f>
        <v>5</v>
      </c>
      <c r="FD53" s="13">
        <f t="array" ref="FD53">INDEX(FC:FC,MIN(IF(ISNUMBER(FC53:FC249),ROW(FC53:FC249),"")))</f>
        <v>5</v>
      </c>
      <c r="FE53" s="13">
        <f>IF('Données projet'!$A$218&gt;35,FE52+FD53-FM52,IF(A53&lt;'Données projet'!$A$218,$FB$205^A53,IF(A53='Données projet'!$A$218,'Données projet'!$B$218,FE52+FD53-FM52)))</f>
        <v>153.99999999999989</v>
      </c>
      <c r="FF53" s="18">
        <f>FE53*VLOOKUP('Données projet'!$B$16,Paramètres!$A$1:$I$89,3,0)*VLOOKUP('Données projet'!$B$16,Paramètres!$A$1:$I$89,5,0)</f>
        <v>100.90079999999992</v>
      </c>
      <c r="FG53" s="14">
        <f t="shared" si="47"/>
        <v>27.176488592921515</v>
      </c>
      <c r="FH53" s="22">
        <f t="shared" si="22"/>
        <v>223.06794429933814</v>
      </c>
      <c r="FI53" s="62">
        <f t="shared" si="23"/>
        <v>478.18892582880824</v>
      </c>
      <c r="FJ53" s="62">
        <f ca="1">AVERAGE(OFFSET($FI$3,0,0,'Données projet'!$E$16+1,1))-AVERAGE(OFFSET($H$3,0,0,'Données projet'!$E$16+1,1))</f>
        <v>235.88453308732235</v>
      </c>
      <c r="FK53" s="62">
        <f t="shared" si="48"/>
        <v>220.72810812053521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138.99600000000001</v>
      </c>
      <c r="P54" s="14">
        <f t="shared" si="33"/>
        <v>36.066906938767758</v>
      </c>
      <c r="Q54" s="22">
        <f t="shared" si="53"/>
        <v>304.90122958502047</v>
      </c>
      <c r="R54" s="62">
        <f t="shared" si="0"/>
        <v>560.6851099882673</v>
      </c>
      <c r="S54" s="62">
        <f ca="1">AVERAGE(OFFSET($R$3,0,0,'Données projet'!$E$9+1,1))-AVERAGE(OFFSET($H$3,0,0,'Données projet'!$E$9+1,1))</f>
        <v>442.98179778678298</v>
      </c>
      <c r="T54" s="62">
        <f t="shared" si="34"/>
        <v>251.96153561746942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6.4</v>
      </c>
      <c r="AI54" s="14">
        <f>IF('Données projet'!$A$62&gt;35,AI53+AH54-AQ53,IF(A54&lt;'Données projet'!$A$62,$AF$205^A54,IF(A54='Données projet'!$A$62,'Données projet'!$B$62,AI53+AH54-AQ53)))</f>
        <v>221.40000000000006</v>
      </c>
      <c r="AJ54" s="14">
        <f>AI54*VLOOKUP('Données projet'!$B$10,Paramètres!$A$1:$I$89,3,0)*VLOOKUP('Données projet'!$B$10,Paramètres!$A$1:$I$89,5,0)</f>
        <v>145.06128000000004</v>
      </c>
      <c r="AK54" s="14">
        <f t="shared" si="35"/>
        <v>37.454066301840541</v>
      </c>
      <c r="AL54" s="22">
        <f t="shared" si="4"/>
        <v>317.88089480903892</v>
      </c>
      <c r="AM54" s="62">
        <f t="shared" si="5"/>
        <v>573.6647752122858</v>
      </c>
      <c r="AN54" s="62">
        <f ca="1">AVERAGE(OFFSET($AM$3,0,0,'Données projet'!$E$10+1,1))-AVERAGE(OFFSET($H$3,0,0,'Données projet'!$E$10+1,1))</f>
        <v>304.35088214287919</v>
      </c>
      <c r="AO54" s="62">
        <f t="shared" si="36"/>
        <v>288.72611053217599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9.0333333333333314</v>
      </c>
      <c r="BD54" s="13">
        <f>IF('Données projet'!$A$88&gt;35,BD53+BC54-BL53,IF(A54&lt;'Données projet'!$A$88,$BA$205^A54,IF(A54='Données projet'!$A$88,'Données projet'!$B$88,BD53+BC54-BL53)))</f>
        <v>167.41794871794869</v>
      </c>
      <c r="BE54" s="14">
        <f>BD54*VLOOKUP('Données projet'!$B$11,Paramètres!$A$1:$I$89,3,0)*VLOOKUP('Données projet'!$B$11,Paramètres!$A$1:$I$89,5,0)</f>
        <v>107.08051999999999</v>
      </c>
      <c r="BF54" s="14">
        <f t="shared" si="37"/>
        <v>28.642059164602777</v>
      </c>
      <c r="BG54" s="22">
        <f t="shared" si="7"/>
        <v>236.38349204501648</v>
      </c>
      <c r="BH54" s="62">
        <f t="shared" si="8"/>
        <v>492.16737244826334</v>
      </c>
      <c r="BI54" s="62">
        <f ca="1">AVERAGE(OFFSET($BH$3,0,0,'Données projet'!$E$11+1,1))-AVERAGE(OFFSET($H$3,0,0,'Données projet'!$E$11+1,1))</f>
        <v>285.09561428624352</v>
      </c>
      <c r="BJ54" s="62">
        <f t="shared" si="38"/>
        <v>261.05678516705564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7.6</v>
      </c>
      <c r="BY54" s="13">
        <f>IF('Données projet'!$A$114&gt;35,BY53+BX54-CG53,IF(A54&lt;'Données projet'!$A$114,$BV$205^A54,IF(A54='Données projet'!$A$114,'Données projet'!$B$114,BY53+BX54-CG53)))</f>
        <v>235.59999999999997</v>
      </c>
      <c r="BZ54" s="14">
        <f>BY54*VLOOKUP('Données projet'!$B$12,Paramètres!$A$1:$I$89,3,0)*VLOOKUP('Données projet'!$B$12,Paramètres!$A$1:$I$89,5,0)</f>
        <v>191.11872</v>
      </c>
      <c r="CA54" s="14">
        <f t="shared" si="39"/>
        <v>47.787201388032145</v>
      </c>
      <c r="CB54" s="22">
        <f t="shared" si="10"/>
        <v>416.09447975082259</v>
      </c>
      <c r="CC54" s="62">
        <f t="shared" si="11"/>
        <v>671.87836015406947</v>
      </c>
      <c r="CD54" s="62">
        <f ca="1">AVERAGE(OFFSET($CC$3,0,0,'Données projet'!$E$12+1,1))-AVERAGE(OFFSET($H$3,0,0,'Données projet'!$E$12+1,1))</f>
        <v>272.69564942740931</v>
      </c>
      <c r="CE54" s="62">
        <f t="shared" si="40"/>
        <v>316.57989180609252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6.4</v>
      </c>
      <c r="CT54" s="13">
        <f>IF('Données projet'!$A$140&gt;35,CT53+CS54-DB53,IF(A54&lt;'Données projet'!$A$140,$CQ$205^A54,IF(A54='Données projet'!$A$140,'Données projet'!$B$140,CT53+CS54-DB53)))</f>
        <v>221.40000000000006</v>
      </c>
      <c r="CU54" s="18">
        <f>CT54*VLOOKUP('Données projet'!$B$13,Paramètres!$A$1:$I$89,3,0)*VLOOKUP('Données projet'!$B$13,Paramètres!$A$1:$I$89,5,0)</f>
        <v>145.06128000000004</v>
      </c>
      <c r="CV54" s="14">
        <f t="shared" si="41"/>
        <v>37.454066301840541</v>
      </c>
      <c r="CW54" s="22">
        <f t="shared" si="13"/>
        <v>317.88089480903892</v>
      </c>
      <c r="CX54" s="62">
        <f t="shared" si="14"/>
        <v>573.6647752122858</v>
      </c>
      <c r="CY54" s="62">
        <f ca="1">AVERAGE(OFFSET($CX$3,0,0,'Données projet'!$E$13+1,1))-AVERAGE(OFFSET($H$3,0,0,'Données projet'!$E$13+1,1))</f>
        <v>304.35088214287919</v>
      </c>
      <c r="CZ54" s="62">
        <f t="shared" si="42"/>
        <v>288.72611053217599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1.1368683772161603E-13</v>
      </c>
      <c r="DP54" s="18">
        <f>DO54*VLOOKUP('Données projet'!$B$14,Paramètres!$A$1:$I$89,3,0)*VLOOKUP('Données projet'!$B$14,Paramètres!$A$1:$I$89,5,0)</f>
        <v>6.5620042732916778E-14</v>
      </c>
      <c r="DQ54" s="14">
        <f t="shared" si="43"/>
        <v>1.0353460337118015E-12</v>
      </c>
      <c r="DR54" s="22">
        <f t="shared" si="16"/>
        <v>1.9175159164745509E-12</v>
      </c>
      <c r="DS54" s="62">
        <f t="shared" si="17"/>
        <v>255.78388040324873</v>
      </c>
      <c r="DT54" s="62">
        <f ca="1">AVERAGE(OFFSET($DS$3,0,0,'Données projet'!$E$14+1,1))-AVERAGE(OFFSET($H$3,0,0,'Données projet'!$E$14+1,1))</f>
        <v>172.86120068224633</v>
      </c>
      <c r="DU54" s="62">
        <f t="shared" si="44"/>
        <v>269.4995727085078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5.6</v>
      </c>
      <c r="EJ54" s="13">
        <f>IF('Données projet'!$A$192&gt;35,EJ53+EI54-ER53,IF(A54&lt;'Données projet'!$A$192,$EG$205^A54,IF(A54='Données projet'!$A$192,'Données projet'!$B$192,EJ53+EI54-ER53)))</f>
        <v>126.60000000000001</v>
      </c>
      <c r="EK54" s="18">
        <f>EJ54*VLOOKUP('Données projet'!$B$15,Paramètres!$A$1:$I$89,3,0)*VLOOKUP('Données projet'!$B$15,Paramètres!$A$1:$I$89,5,0)</f>
        <v>106.64784000000002</v>
      </c>
      <c r="EL54" s="14">
        <f t="shared" si="45"/>
        <v>28.539772605683577</v>
      </c>
      <c r="EM54" s="22">
        <f t="shared" si="19"/>
        <v>235.45175862156557</v>
      </c>
      <c r="EN54" s="62">
        <f t="shared" si="20"/>
        <v>491.23563902481237</v>
      </c>
      <c r="EO54" s="62">
        <f ca="1">AVERAGE(OFFSET($EN$3,0,0,'Données projet'!$E$15+1,1))-AVERAGE(OFFSET($H$3,0,0,'Données projet'!$E$15+1,1))</f>
        <v>346.97972840139914</v>
      </c>
      <c r="EP54" s="62">
        <f t="shared" si="46"/>
        <v>158.41433650660613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4.5999999999999996</v>
      </c>
      <c r="FE54" s="13">
        <f>IF('Données projet'!$A$218&gt;35,FE53+FD54-FM53,IF(A54&lt;'Données projet'!$A$218,$FB$205^A54,IF(A54='Données projet'!$A$218,'Données projet'!$B$218,FE53+FD54-FM53)))</f>
        <v>158.59999999999988</v>
      </c>
      <c r="FF54" s="18">
        <f>FE54*VLOOKUP('Données projet'!$B$16,Paramètres!$A$1:$I$89,3,0)*VLOOKUP('Données projet'!$B$16,Paramètres!$A$1:$I$89,5,0)</f>
        <v>103.91471999999993</v>
      </c>
      <c r="FG54" s="14">
        <f t="shared" si="47"/>
        <v>27.892531065771788</v>
      </c>
      <c r="FH54" s="22">
        <f t="shared" si="22"/>
        <v>229.56429560621905</v>
      </c>
      <c r="FI54" s="62">
        <f t="shared" si="23"/>
        <v>485.34817600946587</v>
      </c>
      <c r="FJ54" s="62">
        <f ca="1">AVERAGE(OFFSET($FI$3,0,0,'Données projet'!$E$16+1,1))-AVERAGE(OFFSET($H$3,0,0,'Données projet'!$E$16+1,1))</f>
        <v>235.88453308732235</v>
      </c>
      <c r="FK54" s="62">
        <f t="shared" si="48"/>
        <v>220.72810812053521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145.73520000000002</v>
      </c>
      <c r="P55" s="14">
        <f t="shared" si="33"/>
        <v>37.607773527116258</v>
      </c>
      <c r="Q55" s="22">
        <f t="shared" si="53"/>
        <v>319.32234555972747</v>
      </c>
      <c r="R55" s="62">
        <f t="shared" si="0"/>
        <v>575.75762502331077</v>
      </c>
      <c r="S55" s="62">
        <f ca="1">AVERAGE(OFFSET($R$3,0,0,'Données projet'!$E$9+1,1))-AVERAGE(OFFSET($H$3,0,0,'Données projet'!$E$9+1,1))</f>
        <v>442.98179778678298</v>
      </c>
      <c r="T55" s="62">
        <f t="shared" si="34"/>
        <v>251.96153561746942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6.4</v>
      </c>
      <c r="AI55" s="14">
        <f>IF('Données projet'!$A$62&gt;35,AI54+AH55-AQ54,IF(A55&lt;'Données projet'!$A$62,$AF$205^A55,IF(A55='Données projet'!$A$62,'Données projet'!$B$62,AI54+AH55-AQ54)))</f>
        <v>227.80000000000007</v>
      </c>
      <c r="AJ55" s="14">
        <f>AI55*VLOOKUP('Données projet'!$B$10,Paramètres!$A$1:$I$89,3,0)*VLOOKUP('Données projet'!$B$10,Paramètres!$A$1:$I$89,5,0)</f>
        <v>149.25456000000005</v>
      </c>
      <c r="AK55" s="14">
        <f t="shared" si="35"/>
        <v>38.409132618275962</v>
      </c>
      <c r="AL55" s="22">
        <f t="shared" si="4"/>
        <v>326.84759797683068</v>
      </c>
      <c r="AM55" s="62">
        <f t="shared" si="5"/>
        <v>583.28287744041404</v>
      </c>
      <c r="AN55" s="62">
        <f ca="1">AVERAGE(OFFSET($AM$3,0,0,'Données projet'!$E$10+1,1))-AVERAGE(OFFSET($H$3,0,0,'Données projet'!$E$10+1,1))</f>
        <v>304.35088214287919</v>
      </c>
      <c r="AO55" s="62">
        <f t="shared" si="36"/>
        <v>288.72611053217599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9.0333333333333314</v>
      </c>
      <c r="BD55" s="13">
        <f>IF('Données projet'!$A$88&gt;35,BD54+BC55-BL54,IF(A55&lt;'Données projet'!$A$88,$BA$205^A55,IF(A55='Données projet'!$A$88,'Données projet'!$B$88,BD54+BC55-BL54)))</f>
        <v>176.45128205128202</v>
      </c>
      <c r="BE55" s="14">
        <f>BD55*VLOOKUP('Données projet'!$B$11,Paramètres!$A$1:$I$89,3,0)*VLOOKUP('Données projet'!$B$11,Paramètres!$A$1:$I$89,5,0)</f>
        <v>112.85823999999998</v>
      </c>
      <c r="BF55" s="14">
        <f t="shared" si="37"/>
        <v>30.003399526630243</v>
      </c>
      <c r="BG55" s="22">
        <f t="shared" si="7"/>
        <v>248.81735550888095</v>
      </c>
      <c r="BH55" s="62">
        <f t="shared" si="8"/>
        <v>505.25263497246431</v>
      </c>
      <c r="BI55" s="62">
        <f ca="1">AVERAGE(OFFSET($BH$3,0,0,'Données projet'!$E$11+1,1))-AVERAGE(OFFSET($H$3,0,0,'Données projet'!$E$11+1,1))</f>
        <v>285.09561428624352</v>
      </c>
      <c r="BJ55" s="62">
        <f t="shared" si="38"/>
        <v>261.05678516705564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7.6</v>
      </c>
      <c r="BY55" s="13">
        <f>IF('Données projet'!$A$114&gt;35,BY54+BX55-CG54,IF(A55&lt;'Données projet'!$A$114,$BV$205^A55,IF(A55='Données projet'!$A$114,'Données projet'!$B$114,BY54+BX55-CG54)))</f>
        <v>243.19999999999996</v>
      </c>
      <c r="BZ55" s="14">
        <f>BY55*VLOOKUP('Données projet'!$B$12,Paramètres!$A$1:$I$89,3,0)*VLOOKUP('Données projet'!$B$12,Paramètres!$A$1:$I$89,5,0)</f>
        <v>197.28383999999997</v>
      </c>
      <c r="CA55" s="14">
        <f t="shared" si="39"/>
        <v>49.146763750789503</v>
      </c>
      <c r="CB55" s="22">
        <f t="shared" si="10"/>
        <v>429.19996819929173</v>
      </c>
      <c r="CC55" s="62">
        <f t="shared" si="11"/>
        <v>685.63524766287514</v>
      </c>
      <c r="CD55" s="62">
        <f ca="1">AVERAGE(OFFSET($CC$3,0,0,'Données projet'!$E$12+1,1))-AVERAGE(OFFSET($H$3,0,0,'Données projet'!$E$12+1,1))</f>
        <v>272.69564942740931</v>
      </c>
      <c r="CE55" s="62">
        <f t="shared" si="40"/>
        <v>316.57989180609252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6.4</v>
      </c>
      <c r="CT55" s="13">
        <f>IF('Données projet'!$A$140&gt;35,CT54+CS55-DB54,IF(A55&lt;'Données projet'!$A$140,$CQ$205^A55,IF(A55='Données projet'!$A$140,'Données projet'!$B$140,CT54+CS55-DB54)))</f>
        <v>227.80000000000007</v>
      </c>
      <c r="CU55" s="18">
        <f>CT55*VLOOKUP('Données projet'!$B$13,Paramètres!$A$1:$I$89,3,0)*VLOOKUP('Données projet'!$B$13,Paramètres!$A$1:$I$89,5,0)</f>
        <v>149.25456000000005</v>
      </c>
      <c r="CV55" s="14">
        <f t="shared" si="41"/>
        <v>38.409132618275962</v>
      </c>
      <c r="CW55" s="22">
        <f t="shared" si="13"/>
        <v>326.84759797683068</v>
      </c>
      <c r="CX55" s="62">
        <f t="shared" si="14"/>
        <v>583.28287744041404</v>
      </c>
      <c r="CY55" s="62">
        <f ca="1">AVERAGE(OFFSET($CX$3,0,0,'Données projet'!$E$13+1,1))-AVERAGE(OFFSET($H$3,0,0,'Données projet'!$E$13+1,1))</f>
        <v>304.35088214287919</v>
      </c>
      <c r="CZ55" s="62">
        <f t="shared" si="42"/>
        <v>288.72611053217599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1.1368683772161603E-13</v>
      </c>
      <c r="DP55" s="18">
        <f>DO55*VLOOKUP('Données projet'!$B$14,Paramètres!$A$1:$I$89,3,0)*VLOOKUP('Données projet'!$B$14,Paramètres!$A$1:$I$89,5,0)</f>
        <v>6.5620042732916778E-14</v>
      </c>
      <c r="DQ55" s="14">
        <f t="shared" si="43"/>
        <v>1.0353460337118015E-12</v>
      </c>
      <c r="DR55" s="22">
        <f t="shared" si="16"/>
        <v>1.9175159164745509E-12</v>
      </c>
      <c r="DS55" s="62">
        <f t="shared" si="17"/>
        <v>256.43527946358529</v>
      </c>
      <c r="DT55" s="62">
        <f ca="1">AVERAGE(OFFSET($DS$3,0,0,'Données projet'!$E$14+1,1))-AVERAGE(OFFSET($H$3,0,0,'Données projet'!$E$14+1,1))</f>
        <v>172.86120068224633</v>
      </c>
      <c r="DU55" s="62">
        <f t="shared" si="44"/>
        <v>269.4995727085078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5.6</v>
      </c>
      <c r="EJ55" s="13">
        <f>IF('Données projet'!$A$192&gt;35,EJ54+EI55-ER54,IF(A55&lt;'Données projet'!$A$192,$EG$205^A55,IF(A55='Données projet'!$A$192,'Données projet'!$B$192,EJ54+EI55-ER54)))</f>
        <v>132.20000000000002</v>
      </c>
      <c r="EK55" s="18">
        <f>EJ55*VLOOKUP('Données projet'!$B$15,Paramètres!$A$1:$I$89,3,0)*VLOOKUP('Données projet'!$B$15,Paramètres!$A$1:$I$89,5,0)</f>
        <v>111.36528000000004</v>
      </c>
      <c r="EL55" s="14">
        <f t="shared" si="45"/>
        <v>29.652423894483828</v>
      </c>
      <c r="EM55" s="22">
        <f t="shared" si="19"/>
        <v>245.60583428289272</v>
      </c>
      <c r="EN55" s="62">
        <f t="shared" si="20"/>
        <v>502.04111374647607</v>
      </c>
      <c r="EO55" s="62">
        <f ca="1">AVERAGE(OFFSET($EN$3,0,0,'Données projet'!$E$15+1,1))-AVERAGE(OFFSET($H$3,0,0,'Données projet'!$E$15+1,1))</f>
        <v>346.97972840139914</v>
      </c>
      <c r="EP55" s="62">
        <f t="shared" si="46"/>
        <v>158.41433650660613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4.5999999999999996</v>
      </c>
      <c r="FE55" s="13">
        <f>IF('Données projet'!$A$218&gt;35,FE54+FD55-FM54,IF(A55&lt;'Données projet'!$A$218,$FB$205^A55,IF(A55='Données projet'!$A$218,'Données projet'!$B$218,FE54+FD55-FM54)))</f>
        <v>163.19999999999987</v>
      </c>
      <c r="FF55" s="18">
        <f>FE55*VLOOKUP('Données projet'!$B$16,Paramètres!$A$1:$I$89,3,0)*VLOOKUP('Données projet'!$B$16,Paramètres!$A$1:$I$89,5,0)</f>
        <v>106.92863999999992</v>
      </c>
      <c r="FG55" s="14">
        <f t="shared" si="47"/>
        <v>28.606159868782917</v>
      </c>
      <c r="FH55" s="22">
        <f t="shared" si="22"/>
        <v>236.05644310479678</v>
      </c>
      <c r="FI55" s="62">
        <f t="shared" si="23"/>
        <v>492.49172256838017</v>
      </c>
      <c r="FJ55" s="62">
        <f ca="1">AVERAGE(OFFSET($FI$3,0,0,'Données projet'!$E$16+1,1))-AVERAGE(OFFSET($H$3,0,0,'Données projet'!$E$16+1,1))</f>
        <v>235.88453308732235</v>
      </c>
      <c r="FK55" s="62">
        <f t="shared" si="48"/>
        <v>220.72810812053521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152.47440000000003</v>
      </c>
      <c r="P56" s="14">
        <f t="shared" si="33"/>
        <v>39.140365323908171</v>
      </c>
      <c r="Q56" s="22">
        <f t="shared" si="53"/>
        <v>333.72904960580678</v>
      </c>
      <c r="R56" s="62">
        <f t="shared" si="0"/>
        <v>590.80442781234001</v>
      </c>
      <c r="S56" s="62">
        <f ca="1">AVERAGE(OFFSET($R$3,0,0,'Données projet'!$E$9+1,1))-AVERAGE(OFFSET($H$3,0,0,'Données projet'!$E$9+1,1))</f>
        <v>442.98179778678298</v>
      </c>
      <c r="T56" s="62">
        <f t="shared" si="34"/>
        <v>251.96153561746942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6.4</v>
      </c>
      <c r="AI56" s="14">
        <f>IF('Données projet'!$A$62&gt;35,AI55+AH56-AQ55,IF(A56&lt;'Données projet'!$A$62,$AF$205^A56,IF(A56='Données projet'!$A$62,'Données projet'!$B$62,AI55+AH56-AQ55)))</f>
        <v>234.20000000000007</v>
      </c>
      <c r="AJ56" s="14">
        <f>AI56*VLOOKUP('Données projet'!$B$10,Paramètres!$A$1:$I$89,3,0)*VLOOKUP('Données projet'!$B$10,Paramètres!$A$1:$I$89,5,0)</f>
        <v>153.44784000000007</v>
      </c>
      <c r="AK56" s="14">
        <f t="shared" si="35"/>
        <v>39.361080309334518</v>
      </c>
      <c r="AL56" s="22">
        <f t="shared" si="4"/>
        <v>335.80886953875768</v>
      </c>
      <c r="AM56" s="62">
        <f t="shared" si="5"/>
        <v>592.88424774529085</v>
      </c>
      <c r="AN56" s="62">
        <f ca="1">AVERAGE(OFFSET($AM$3,0,0,'Données projet'!$E$10+1,1))-AVERAGE(OFFSET($H$3,0,0,'Données projet'!$E$10+1,1))</f>
        <v>304.35088214287919</v>
      </c>
      <c r="AO56" s="62">
        <f t="shared" si="36"/>
        <v>288.72611053217599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9.0333333333333314</v>
      </c>
      <c r="BD56" s="13">
        <f>IF('Données projet'!$A$88&gt;35,BD55+BC56-BL55,IF(A56&lt;'Données projet'!$A$88,$BA$205^A56,IF(A56='Données projet'!$A$88,'Données projet'!$B$88,BD55+BC56-BL55)))</f>
        <v>185.48461538461535</v>
      </c>
      <c r="BE56" s="14">
        <f>BD56*VLOOKUP('Données projet'!$B$11,Paramètres!$A$1:$I$89,3,0)*VLOOKUP('Données projet'!$B$11,Paramètres!$A$1:$I$89,5,0)</f>
        <v>118.63595999999998</v>
      </c>
      <c r="BF56" s="14">
        <f t="shared" si="37"/>
        <v>31.356648000059032</v>
      </c>
      <c r="BG56" s="22">
        <f t="shared" si="7"/>
        <v>261.23712560010279</v>
      </c>
      <c r="BH56" s="62">
        <f t="shared" si="8"/>
        <v>518.31250380663596</v>
      </c>
      <c r="BI56" s="62">
        <f ca="1">AVERAGE(OFFSET($BH$3,0,0,'Données projet'!$E$11+1,1))-AVERAGE(OFFSET($H$3,0,0,'Données projet'!$E$11+1,1))</f>
        <v>285.09561428624352</v>
      </c>
      <c r="BJ56" s="62">
        <f t="shared" si="38"/>
        <v>261.05678516705564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7.6</v>
      </c>
      <c r="BY56" s="13">
        <f>IF('Données projet'!$A$114&gt;35,BY55+BX56-CG55,IF(A56&lt;'Données projet'!$A$114,$BV$205^A56,IF(A56='Données projet'!$A$114,'Données projet'!$B$114,BY55+BX56-CG55)))</f>
        <v>250.79999999999995</v>
      </c>
      <c r="BZ56" s="14">
        <f>BY56*VLOOKUP('Données projet'!$B$12,Paramètres!$A$1:$I$89,3,0)*VLOOKUP('Données projet'!$B$12,Paramètres!$A$1:$I$89,5,0)</f>
        <v>203.44895999999997</v>
      </c>
      <c r="CA56" s="14">
        <f t="shared" si="39"/>
        <v>50.501388840000267</v>
      </c>
      <c r="CB56" s="22">
        <f t="shared" si="10"/>
        <v>442.2968575630004</v>
      </c>
      <c r="CC56" s="62">
        <f t="shared" si="11"/>
        <v>699.37223576953363</v>
      </c>
      <c r="CD56" s="62">
        <f ca="1">AVERAGE(OFFSET($CC$3,0,0,'Données projet'!$E$12+1,1))-AVERAGE(OFFSET($H$3,0,0,'Données projet'!$E$12+1,1))</f>
        <v>272.69564942740931</v>
      </c>
      <c r="CE56" s="62">
        <f t="shared" si="40"/>
        <v>316.57989180609252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6.4</v>
      </c>
      <c r="CT56" s="13">
        <f>IF('Données projet'!$A$140&gt;35,CT55+CS56-DB55,IF(A56&lt;'Données projet'!$A$140,$CQ$205^A56,IF(A56='Données projet'!$A$140,'Données projet'!$B$140,CT55+CS56-DB55)))</f>
        <v>234.20000000000007</v>
      </c>
      <c r="CU56" s="18">
        <f>CT56*VLOOKUP('Données projet'!$B$13,Paramètres!$A$1:$I$89,3,0)*VLOOKUP('Données projet'!$B$13,Paramètres!$A$1:$I$89,5,0)</f>
        <v>153.44784000000007</v>
      </c>
      <c r="CV56" s="14">
        <f t="shared" si="41"/>
        <v>39.361080309334518</v>
      </c>
      <c r="CW56" s="22">
        <f t="shared" si="13"/>
        <v>335.80886953875768</v>
      </c>
      <c r="CX56" s="62">
        <f t="shared" si="14"/>
        <v>592.88424774529085</v>
      </c>
      <c r="CY56" s="62">
        <f ca="1">AVERAGE(OFFSET($CX$3,0,0,'Données projet'!$E$13+1,1))-AVERAGE(OFFSET($H$3,0,0,'Données projet'!$E$13+1,1))</f>
        <v>304.35088214287919</v>
      </c>
      <c r="CZ56" s="62">
        <f t="shared" si="42"/>
        <v>288.72611053217599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1.1368683772161603E-13</v>
      </c>
      <c r="DP56" s="18">
        <f>DO56*VLOOKUP('Données projet'!$B$14,Paramètres!$A$1:$I$89,3,0)*VLOOKUP('Données projet'!$B$14,Paramètres!$A$1:$I$89,5,0)</f>
        <v>6.5620042732916778E-14</v>
      </c>
      <c r="DQ56" s="14">
        <f t="shared" si="43"/>
        <v>1.0353460337118015E-12</v>
      </c>
      <c r="DR56" s="22">
        <f t="shared" si="16"/>
        <v>1.9175159164745509E-12</v>
      </c>
      <c r="DS56" s="62">
        <f t="shared" si="17"/>
        <v>257.07537820653516</v>
      </c>
      <c r="DT56" s="62">
        <f ca="1">AVERAGE(OFFSET($DS$3,0,0,'Données projet'!$E$14+1,1))-AVERAGE(OFFSET($H$3,0,0,'Données projet'!$E$14+1,1))</f>
        <v>172.86120068224633</v>
      </c>
      <c r="DU56" s="62">
        <f t="shared" si="44"/>
        <v>269.4995727085078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5.6</v>
      </c>
      <c r="EJ56" s="13">
        <f>IF('Données projet'!$A$192&gt;35,EJ55+EI56-ER55,IF(A56&lt;'Données projet'!$A$192,$EG$205^A56,IF(A56='Données projet'!$A$192,'Données projet'!$B$192,EJ55+EI56-ER55)))</f>
        <v>137.80000000000001</v>
      </c>
      <c r="EK56" s="18">
        <f>EJ56*VLOOKUP('Données projet'!$B$15,Paramètres!$A$1:$I$89,3,0)*VLOOKUP('Données projet'!$B$15,Paramètres!$A$1:$I$89,5,0)</f>
        <v>116.08272000000001</v>
      </c>
      <c r="EL56" s="14">
        <f t="shared" si="45"/>
        <v>30.759600795471115</v>
      </c>
      <c r="EM56" s="22">
        <f t="shared" si="19"/>
        <v>255.75037538544552</v>
      </c>
      <c r="EN56" s="62">
        <f t="shared" si="20"/>
        <v>512.82575359197881</v>
      </c>
      <c r="EO56" s="62">
        <f ca="1">AVERAGE(OFFSET($EN$3,0,0,'Données projet'!$E$15+1,1))-AVERAGE(OFFSET($H$3,0,0,'Données projet'!$E$15+1,1))</f>
        <v>346.97972840139914</v>
      </c>
      <c r="EP56" s="62">
        <f t="shared" si="46"/>
        <v>158.41433650660613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4.5999999999999996</v>
      </c>
      <c r="FE56" s="13">
        <f>IF('Données projet'!$A$218&gt;35,FE55+FD56-FM55,IF(A56&lt;'Données projet'!$A$218,$FB$205^A56,IF(A56='Données projet'!$A$218,'Données projet'!$B$218,FE55+FD56-FM55)))</f>
        <v>167.79999999999987</v>
      </c>
      <c r="FF56" s="18">
        <f>FE56*VLOOKUP('Données projet'!$B$16,Paramètres!$A$1:$I$89,3,0)*VLOOKUP('Données projet'!$B$16,Paramètres!$A$1:$I$89,5,0)</f>
        <v>109.94255999999992</v>
      </c>
      <c r="FG56" s="14">
        <f t="shared" si="47"/>
        <v>29.317450849172975</v>
      </c>
      <c r="FH56" s="22">
        <f t="shared" si="22"/>
        <v>242.5445188956428</v>
      </c>
      <c r="FI56" s="62">
        <f t="shared" si="23"/>
        <v>499.61989710217603</v>
      </c>
      <c r="FJ56" s="62">
        <f ca="1">AVERAGE(OFFSET($FI$3,0,0,'Données projet'!$E$16+1,1))-AVERAGE(OFFSET($H$3,0,0,'Données projet'!$E$16+1,1))</f>
        <v>235.88453308732235</v>
      </c>
      <c r="FK56" s="62">
        <f t="shared" si="48"/>
        <v>220.72810812053521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159.21360000000001</v>
      </c>
      <c r="P57" s="14">
        <f t="shared" si="33"/>
        <v>40.665089859977108</v>
      </c>
      <c r="Q57" s="22">
        <f t="shared" si="53"/>
        <v>348.12205150612681</v>
      </c>
      <c r="R57" s="62">
        <f t="shared" si="0"/>
        <v>605.82642417346619</v>
      </c>
      <c r="S57" s="62">
        <f ca="1">AVERAGE(OFFSET($R$3,0,0,'Données projet'!$E$9+1,1))-AVERAGE(OFFSET($H$3,0,0,'Données projet'!$E$9+1,1))</f>
        <v>442.98179778678298</v>
      </c>
      <c r="T57" s="62">
        <f t="shared" si="34"/>
        <v>251.96153561746942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6.4</v>
      </c>
      <c r="AI57" s="14">
        <f>IF('Données projet'!$A$62&gt;35,AI56+AH57-AQ56,IF(A57&lt;'Données projet'!$A$62,$AF$205^A57,IF(A57='Données projet'!$A$62,'Données projet'!$B$62,AI56+AH57-AQ56)))</f>
        <v>240.60000000000008</v>
      </c>
      <c r="AJ57" s="14">
        <f>AI57*VLOOKUP('Données projet'!$B$10,Paramètres!$A$1:$I$89,3,0)*VLOOKUP('Données projet'!$B$10,Paramètres!$A$1:$I$89,5,0)</f>
        <v>157.64112000000006</v>
      </c>
      <c r="AK57" s="14">
        <f t="shared" si="35"/>
        <v>40.31000439065015</v>
      </c>
      <c r="AL57" s="22">
        <f t="shared" si="4"/>
        <v>344.76487498038233</v>
      </c>
      <c r="AM57" s="62">
        <f t="shared" si="5"/>
        <v>602.46924764772166</v>
      </c>
      <c r="AN57" s="62">
        <f ca="1">AVERAGE(OFFSET($AM$3,0,0,'Données projet'!$E$10+1,1))-AVERAGE(OFFSET($H$3,0,0,'Données projet'!$E$10+1,1))</f>
        <v>304.35088214287919</v>
      </c>
      <c r="AO57" s="62">
        <f t="shared" si="36"/>
        <v>288.72611053217599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9.0333333333333314</v>
      </c>
      <c r="BD57" s="13">
        <f>IF('Données projet'!$A$88&gt;35,BD56+BC57-BL56,IF(A57&lt;'Données projet'!$A$88,$BA$205^A57,IF(A57='Données projet'!$A$88,'Données projet'!$B$88,BD56+BC57-BL56)))</f>
        <v>194.51794871794868</v>
      </c>
      <c r="BE57" s="14">
        <f>BD57*VLOOKUP('Données projet'!$B$11,Paramètres!$A$1:$I$89,3,0)*VLOOKUP('Données projet'!$B$11,Paramètres!$A$1:$I$89,5,0)</f>
        <v>124.41367999999997</v>
      </c>
      <c r="BF57" s="14">
        <f t="shared" si="37"/>
        <v>32.702243652107605</v>
      </c>
      <c r="BG57" s="22">
        <f t="shared" si="7"/>
        <v>273.64356702742066</v>
      </c>
      <c r="BH57" s="62">
        <f t="shared" si="8"/>
        <v>531.34793969476004</v>
      </c>
      <c r="BI57" s="62">
        <f ca="1">AVERAGE(OFFSET($BH$3,0,0,'Données projet'!$E$11+1,1))-AVERAGE(OFFSET($H$3,0,0,'Données projet'!$E$11+1,1))</f>
        <v>285.09561428624352</v>
      </c>
      <c r="BJ57" s="62">
        <f t="shared" si="38"/>
        <v>261.05678516705564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7.6</v>
      </c>
      <c r="BY57" s="13">
        <f>IF('Données projet'!$A$114&gt;35,BY56+BX57-CG56,IF(A57&lt;'Données projet'!$A$114,$BV$205^A57,IF(A57='Données projet'!$A$114,'Données projet'!$B$114,BY56+BX57-CG56)))</f>
        <v>258.39999999999998</v>
      </c>
      <c r="BZ57" s="14">
        <f>BY57*VLOOKUP('Données projet'!$B$12,Paramètres!$A$1:$I$89,3,0)*VLOOKUP('Données projet'!$B$12,Paramètres!$A$1:$I$89,5,0)</f>
        <v>209.61408</v>
      </c>
      <c r="CA57" s="14">
        <f t="shared" si="39"/>
        <v>51.851243442662593</v>
      </c>
      <c r="CB57" s="22">
        <f t="shared" si="10"/>
        <v>455.38543832930395</v>
      </c>
      <c r="CC57" s="62">
        <f t="shared" si="11"/>
        <v>713.08981099664334</v>
      </c>
      <c r="CD57" s="62">
        <f ca="1">AVERAGE(OFFSET($CC$3,0,0,'Données projet'!$E$12+1,1))-AVERAGE(OFFSET($H$3,0,0,'Données projet'!$E$12+1,1))</f>
        <v>272.69564942740931</v>
      </c>
      <c r="CE57" s="62">
        <f t="shared" si="40"/>
        <v>316.57989180609252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6.4</v>
      </c>
      <c r="CT57" s="13">
        <f>IF('Données projet'!$A$140&gt;35,CT56+CS57-DB56,IF(A57&lt;'Données projet'!$A$140,$CQ$205^A57,IF(A57='Données projet'!$A$140,'Données projet'!$B$140,CT56+CS57-DB56)))</f>
        <v>240.60000000000008</v>
      </c>
      <c r="CU57" s="18">
        <f>CT57*VLOOKUP('Données projet'!$B$13,Paramètres!$A$1:$I$89,3,0)*VLOOKUP('Données projet'!$B$13,Paramètres!$A$1:$I$89,5,0)</f>
        <v>157.64112000000006</v>
      </c>
      <c r="CV57" s="14">
        <f t="shared" si="41"/>
        <v>40.31000439065015</v>
      </c>
      <c r="CW57" s="22">
        <f t="shared" si="13"/>
        <v>344.76487498038233</v>
      </c>
      <c r="CX57" s="62">
        <f t="shared" si="14"/>
        <v>602.46924764772166</v>
      </c>
      <c r="CY57" s="62">
        <f ca="1">AVERAGE(OFFSET($CX$3,0,0,'Données projet'!$E$13+1,1))-AVERAGE(OFFSET($H$3,0,0,'Données projet'!$E$13+1,1))</f>
        <v>304.35088214287919</v>
      </c>
      <c r="CZ57" s="62">
        <f t="shared" si="42"/>
        <v>288.72611053217599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1.1368683772161603E-13</v>
      </c>
      <c r="DP57" s="18">
        <f>DO57*VLOOKUP('Données projet'!$B$14,Paramètres!$A$1:$I$89,3,0)*VLOOKUP('Données projet'!$B$14,Paramètres!$A$1:$I$89,5,0)</f>
        <v>6.5620042732916778E-14</v>
      </c>
      <c r="DQ57" s="14">
        <f t="shared" si="43"/>
        <v>1.0353460337118015E-12</v>
      </c>
      <c r="DR57" s="22">
        <f t="shared" si="16"/>
        <v>1.9175159164745509E-12</v>
      </c>
      <c r="DS57" s="62">
        <f t="shared" si="17"/>
        <v>257.70437266734126</v>
      </c>
      <c r="DT57" s="62">
        <f ca="1">AVERAGE(OFFSET($DS$3,0,0,'Données projet'!$E$14+1,1))-AVERAGE(OFFSET($H$3,0,0,'Données projet'!$E$14+1,1))</f>
        <v>172.86120068224633</v>
      </c>
      <c r="DU57" s="62">
        <f t="shared" si="44"/>
        <v>269.4995727085078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5.6</v>
      </c>
      <c r="EJ57" s="13">
        <f>IF('Données projet'!$A$192&gt;35,EJ56+EI57-ER56,IF(A57&lt;'Données projet'!$A$192,$EG$205^A57,IF(A57='Données projet'!$A$192,'Données projet'!$B$192,EJ56+EI57-ER56)))</f>
        <v>143.4</v>
      </c>
      <c r="EK57" s="18">
        <f>EJ57*VLOOKUP('Données projet'!$B$15,Paramètres!$A$1:$I$89,3,0)*VLOOKUP('Données projet'!$B$15,Paramètres!$A$1:$I$89,5,0)</f>
        <v>120.80016000000002</v>
      </c>
      <c r="EL57" s="14">
        <f t="shared" si="45"/>
        <v>31.861551228422357</v>
      </c>
      <c r="EM57" s="22">
        <f t="shared" si="19"/>
        <v>265.88581372283562</v>
      </c>
      <c r="EN57" s="62">
        <f t="shared" si="20"/>
        <v>523.59018639017495</v>
      </c>
      <c r="EO57" s="62">
        <f ca="1">AVERAGE(OFFSET($EN$3,0,0,'Données projet'!$E$15+1,1))-AVERAGE(OFFSET($H$3,0,0,'Données projet'!$E$15+1,1))</f>
        <v>346.97972840139914</v>
      </c>
      <c r="EP57" s="62">
        <f t="shared" si="46"/>
        <v>158.41433650660613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4.5999999999999996</v>
      </c>
      <c r="FE57" s="13">
        <f>IF('Données projet'!$A$218&gt;35,FE56+FD57-FM56,IF(A57&lt;'Données projet'!$A$218,$FB$205^A57,IF(A57='Données projet'!$A$218,'Données projet'!$B$218,FE56+FD57-FM56)))</f>
        <v>172.39999999999986</v>
      </c>
      <c r="FF57" s="18">
        <f>FE57*VLOOKUP('Données projet'!$B$16,Paramètres!$A$1:$I$89,3,0)*VLOOKUP('Données projet'!$B$16,Paramètres!$A$1:$I$89,5,0)</f>
        <v>112.95647999999991</v>
      </c>
      <c r="FG57" s="14">
        <f t="shared" si="47"/>
        <v>30.026475458997005</v>
      </c>
      <c r="FH57" s="22">
        <f t="shared" si="22"/>
        <v>249.02864742441963</v>
      </c>
      <c r="FI57" s="62">
        <f t="shared" si="23"/>
        <v>506.73302009175893</v>
      </c>
      <c r="FJ57" s="62">
        <f ca="1">AVERAGE(OFFSET($FI$3,0,0,'Données projet'!$E$16+1,1))-AVERAGE(OFFSET($H$3,0,0,'Données projet'!$E$16+1,1))</f>
        <v>235.88453308732235</v>
      </c>
      <c r="FK57" s="62">
        <f t="shared" si="48"/>
        <v>220.72810812053521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165.95280000000002</v>
      </c>
      <c r="P58" s="14">
        <f t="shared" si="33"/>
        <v>42.182318214665827</v>
      </c>
      <c r="Q58" s="22">
        <f t="shared" si="53"/>
        <v>362.50199755720968</v>
      </c>
      <c r="R58" s="62">
        <f t="shared" si="0"/>
        <v>620.824453037681</v>
      </c>
      <c r="S58" s="62">
        <f ca="1">AVERAGE(OFFSET($R$3,0,0,'Données projet'!$E$9+1,1))-AVERAGE(OFFSET($H$3,0,0,'Données projet'!$E$9+1,1))</f>
        <v>442.98179778678298</v>
      </c>
      <c r="T58" s="62">
        <f t="shared" si="34"/>
        <v>251.96153561746942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247</v>
      </c>
      <c r="AG58" s="13">
        <f>VLOOKUP(A58,'Données projet'!$A$61:$I$81,9,0)</f>
        <v>6.4</v>
      </c>
      <c r="AH58" s="13">
        <f t="array" ref="AH58">INDEX(AG:AG,MIN(IF(ISNUMBER(AG58:AG254),ROW(AG58:AG254),"")))</f>
        <v>6.4</v>
      </c>
      <c r="AI58" s="14">
        <f>IF('Données projet'!$A$62&gt;35,AI57+AH58-AQ57,IF(A58&lt;'Données projet'!$A$62,$AF$205^A58,IF(A58='Données projet'!$A$62,'Données projet'!$B$62,AI57+AH58-AQ57)))</f>
        <v>247.00000000000009</v>
      </c>
      <c r="AJ58" s="14">
        <f>AI58*VLOOKUP('Données projet'!$B$10,Paramètres!$A$1:$I$89,3,0)*VLOOKUP('Données projet'!$B$10,Paramètres!$A$1:$I$89,5,0)</f>
        <v>161.83440000000007</v>
      </c>
      <c r="AK58" s="14">
        <f t="shared" si="35"/>
        <v>41.255994535170515</v>
      </c>
      <c r="AL58" s="22">
        <f t="shared" si="4"/>
        <v>353.71577048208877</v>
      </c>
      <c r="AM58" s="62">
        <f t="shared" si="5"/>
        <v>612.03822596256009</v>
      </c>
      <c r="AN58" s="62">
        <f ca="1">AVERAGE(OFFSET($AM$3,0,0,'Données projet'!$E$10+1,1))-AVERAGE(OFFSET($H$3,0,0,'Données projet'!$E$10+1,1))</f>
        <v>304.35088214287919</v>
      </c>
      <c r="AO58" s="62">
        <f t="shared" si="36"/>
        <v>288.72611053217599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47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9.0333333333333314</v>
      </c>
      <c r="BD58" s="13">
        <f>IF('Données projet'!$A$88&gt;35,BD57+BC58-BL57,IF(A58&lt;'Données projet'!$A$88,$BA$205^A58,IF(A58='Données projet'!$A$88,'Données projet'!$B$88,BD57+BC58-BL57)))</f>
        <v>203.55128205128202</v>
      </c>
      <c r="BE58" s="14">
        <f>BD58*VLOOKUP('Données projet'!$B$11,Paramètres!$A$1:$I$89,3,0)*VLOOKUP('Données projet'!$B$11,Paramètres!$A$1:$I$89,5,0)</f>
        <v>130.19139999999996</v>
      </c>
      <c r="BF58" s="14">
        <f t="shared" si="37"/>
        <v>34.040582465052267</v>
      </c>
      <c r="BG58" s="22">
        <f t="shared" si="7"/>
        <v>286.03736945996593</v>
      </c>
      <c r="BH58" s="62">
        <f t="shared" si="8"/>
        <v>544.35982494043731</v>
      </c>
      <c r="BI58" s="62">
        <f ca="1">AVERAGE(OFFSET($BH$3,0,0,'Données projet'!$E$11+1,1))-AVERAGE(OFFSET($H$3,0,0,'Données projet'!$E$11+1,1))</f>
        <v>285.09561428624352</v>
      </c>
      <c r="BJ58" s="62">
        <f t="shared" si="38"/>
        <v>261.05678516705564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266</v>
      </c>
      <c r="BW58" s="13">
        <f>VLOOKUP(A58,'Données projet'!$A$113:$I$133,9,0)</f>
        <v>7.6</v>
      </c>
      <c r="BX58" s="13">
        <f t="array" ref="BX58">INDEX(BW:BW,MIN(IF(ISNUMBER(BW58:BW254),ROW(BW58:BW254),"")))</f>
        <v>7.6</v>
      </c>
      <c r="BY58" s="13">
        <f>IF('Données projet'!$A$114&gt;35,BY57+BX58-CG57,IF(A58&lt;'Données projet'!$A$114,$BV$205^A58,IF(A58='Données projet'!$A$114,'Données projet'!$B$114,BY57+BX58-CG57)))</f>
        <v>266</v>
      </c>
      <c r="BZ58" s="14">
        <f>BY58*VLOOKUP('Données projet'!$B$12,Paramètres!$A$1:$I$89,3,0)*VLOOKUP('Données projet'!$B$12,Paramètres!$A$1:$I$89,5,0)</f>
        <v>215.7792</v>
      </c>
      <c r="CA58" s="14">
        <f t="shared" si="39"/>
        <v>53.196483976998607</v>
      </c>
      <c r="CB58" s="22">
        <f t="shared" si="10"/>
        <v>468.46598292660588</v>
      </c>
      <c r="CC58" s="62">
        <f t="shared" si="11"/>
        <v>726.78843840707725</v>
      </c>
      <c r="CD58" s="62">
        <f ca="1">AVERAGE(OFFSET($CC$3,0,0,'Données projet'!$E$12+1,1))-AVERAGE(OFFSET($H$3,0,0,'Données projet'!$E$12+1,1))</f>
        <v>272.69564942740931</v>
      </c>
      <c r="CE58" s="62">
        <f t="shared" si="40"/>
        <v>316.57989180609252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247</v>
      </c>
      <c r="CR58" s="13">
        <f>VLOOKUP(A58,'Données projet'!$A$139:$I$159,9,0)</f>
        <v>6.4</v>
      </c>
      <c r="CS58" s="13">
        <f t="array" ref="CS58">INDEX(CR:CR,MIN(IF(ISNUMBER(CR58:CR254),ROW(CR58:CR254),"")))</f>
        <v>6.4</v>
      </c>
      <c r="CT58" s="13">
        <f>IF('Données projet'!$A$140&gt;35,CT57+CS58-DB57,IF(A58&lt;'Données projet'!$A$140,$CQ$205^A58,IF(A58='Données projet'!$A$140,'Données projet'!$B$140,CT57+CS58-DB57)))</f>
        <v>247.00000000000009</v>
      </c>
      <c r="CU58" s="18">
        <f>CT58*VLOOKUP('Données projet'!$B$13,Paramètres!$A$1:$I$89,3,0)*VLOOKUP('Données projet'!$B$13,Paramètres!$A$1:$I$89,5,0)</f>
        <v>161.83440000000007</v>
      </c>
      <c r="CV58" s="14">
        <f t="shared" si="41"/>
        <v>41.255994535170515</v>
      </c>
      <c r="CW58" s="22">
        <f t="shared" si="13"/>
        <v>353.71577048208877</v>
      </c>
      <c r="CX58" s="62">
        <f t="shared" si="14"/>
        <v>612.03822596256009</v>
      </c>
      <c r="CY58" s="62">
        <f ca="1">AVERAGE(OFFSET($CX$3,0,0,'Données projet'!$E$13+1,1))-AVERAGE(OFFSET($H$3,0,0,'Données projet'!$E$13+1,1))</f>
        <v>304.35088214287919</v>
      </c>
      <c r="CZ58" s="62">
        <f t="shared" si="42"/>
        <v>288.72611053217599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47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1.1368683772161603E-13</v>
      </c>
      <c r="DP58" s="18">
        <f>DO58*VLOOKUP('Données projet'!$B$14,Paramètres!$A$1:$I$89,3,0)*VLOOKUP('Données projet'!$B$14,Paramètres!$A$1:$I$89,5,0)</f>
        <v>6.5620042732916778E-14</v>
      </c>
      <c r="DQ58" s="14">
        <f t="shared" si="43"/>
        <v>1.0353460337118015E-12</v>
      </c>
      <c r="DR58" s="22">
        <f t="shared" si="16"/>
        <v>1.9175159164745509E-12</v>
      </c>
      <c r="DS58" s="62">
        <f t="shared" si="17"/>
        <v>258.32245548047331</v>
      </c>
      <c r="DT58" s="62">
        <f ca="1">AVERAGE(OFFSET($DS$3,0,0,'Données projet'!$E$14+1,1))-AVERAGE(OFFSET($H$3,0,0,'Données projet'!$E$14+1,1))</f>
        <v>172.86120068224633</v>
      </c>
      <c r="DU58" s="62">
        <f t="shared" si="44"/>
        <v>269.4995727085078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149</v>
      </c>
      <c r="EH58" s="13">
        <f>VLOOKUP(A58,'Données projet'!$A$191:$I$211,9,0)</f>
        <v>5.6</v>
      </c>
      <c r="EI58" s="13">
        <f t="array" ref="EI58">INDEX(EH:EH,MIN(IF(ISNUMBER(EH58:EH254),ROW(EH58:EH254),"")))</f>
        <v>5.6</v>
      </c>
      <c r="EJ58" s="13">
        <f>IF('Données projet'!$A$192&gt;35,EJ57+EI58-ER57,IF(A58&lt;'Données projet'!$A$192,$EG$205^A58,IF(A58='Données projet'!$A$192,'Données projet'!$B$192,EJ57+EI58-ER57)))</f>
        <v>149</v>
      </c>
      <c r="EK58" s="18">
        <f>EJ58*VLOOKUP('Données projet'!$B$15,Paramètres!$A$1:$I$89,3,0)*VLOOKUP('Données projet'!$B$15,Paramètres!$A$1:$I$89,5,0)</f>
        <v>125.51760000000002</v>
      </c>
      <c r="EL58" s="14">
        <f t="shared" si="45"/>
        <v>32.95850265342969</v>
      </c>
      <c r="EM58" s="22">
        <f t="shared" si="19"/>
        <v>276.01254545472335</v>
      </c>
      <c r="EN58" s="62">
        <f t="shared" si="20"/>
        <v>534.33500093519478</v>
      </c>
      <c r="EO58" s="62">
        <f ca="1">AVERAGE(OFFSET($EN$3,0,0,'Données projet'!$E$15+1,1))-AVERAGE(OFFSET($H$3,0,0,'Données projet'!$E$15+1,1))</f>
        <v>346.97972840139914</v>
      </c>
      <c r="EP58" s="62">
        <f t="shared" si="46"/>
        <v>158.41433650660613</v>
      </c>
      <c r="EQ58" s="16">
        <f>IF(ISNA(VLOOKUP(A58,'Données projet'!$A$191:$I$211,3,0)),0,VLOOKUP(A58,'Données projet'!$A$191:$I$211,3,0))</f>
        <v>3</v>
      </c>
      <c r="ER58" s="16">
        <f>IF(ISNA(VLOOKUP(A58,'Données projet'!$A$191:$I$211,4,0)),0,VLOOKUP(A58,'Données projet'!$A$191:$I$211,4,0))</f>
        <v>28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177</v>
      </c>
      <c r="FC58" s="13">
        <f>VLOOKUP(A58,'Données projet'!$A$217:$I$237,9,0)</f>
        <v>4.5999999999999996</v>
      </c>
      <c r="FD58" s="13">
        <f t="array" ref="FD58">INDEX(FC:FC,MIN(IF(ISNUMBER(FC58:FC254),ROW(FC58:FC254),"")))</f>
        <v>4.5999999999999996</v>
      </c>
      <c r="FE58" s="13">
        <f>IF('Données projet'!$A$218&gt;35,FE57+FD58-FM57,IF(A58&lt;'Données projet'!$A$218,$FB$205^A58,IF(A58='Données projet'!$A$218,'Données projet'!$B$218,FE57+FD58-FM57)))</f>
        <v>176.99999999999986</v>
      </c>
      <c r="FF58" s="18">
        <f>FE58*VLOOKUP('Données projet'!$B$16,Paramètres!$A$1:$I$89,3,0)*VLOOKUP('Données projet'!$B$16,Paramètres!$A$1:$I$89,5,0)</f>
        <v>115.9703999999999</v>
      </c>
      <c r="FG58" s="14">
        <f t="shared" si="47"/>
        <v>30.733301120222766</v>
      </c>
      <c r="FH58" s="22">
        <f t="shared" si="22"/>
        <v>255.50894611772114</v>
      </c>
      <c r="FI58" s="62">
        <f t="shared" si="23"/>
        <v>513.83140159819254</v>
      </c>
      <c r="FJ58" s="62">
        <f ca="1">AVERAGE(OFFSET($FI$3,0,0,'Données projet'!$E$16+1,1))-AVERAGE(OFFSET($H$3,0,0,'Données projet'!$E$16+1,1))</f>
        <v>235.88453308732235</v>
      </c>
      <c r="FK58" s="62">
        <f t="shared" si="48"/>
        <v>220.72810812053521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35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172.35504000000003</v>
      </c>
      <c r="P59" s="14">
        <f t="shared" si="33"/>
        <v>43.617051120131734</v>
      </c>
      <c r="Q59" s="22">
        <f t="shared" si="53"/>
        <v>376.1513920342295</v>
      </c>
      <c r="R59" s="62">
        <f t="shared" si="0"/>
        <v>635.08120797285119</v>
      </c>
      <c r="S59" s="62">
        <f ca="1">AVERAGE(OFFSET($R$3,0,0,'Données projet'!$E$9+1,1))-AVERAGE(OFFSET($H$3,0,0,'Données projet'!$E$9+1,1))</f>
        <v>442.98179778678298</v>
      </c>
      <c r="T59" s="62">
        <f t="shared" si="34"/>
        <v>251.96153561746942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5.8</v>
      </c>
      <c r="AI59" s="14">
        <f>IF('Données projet'!$A$62&gt;35,AI58+AH59-AQ58,IF(A59&lt;'Données projet'!$A$62,$AF$205^A59,IF(A59='Données projet'!$A$62,'Données projet'!$B$62,AI58+AH59-AQ58)))</f>
        <v>205.8000000000001</v>
      </c>
      <c r="AJ59" s="14">
        <f>AI59*VLOOKUP('Données projet'!$B$10,Paramètres!$A$1:$I$89,3,0)*VLOOKUP('Données projet'!$B$10,Paramètres!$A$1:$I$89,5,0)</f>
        <v>134.84016000000005</v>
      </c>
      <c r="AK59" s="14">
        <f t="shared" si="35"/>
        <v>35.112387625030664</v>
      </c>
      <c r="AL59" s="22">
        <f t="shared" si="4"/>
        <v>296.00068711359518</v>
      </c>
      <c r="AM59" s="62">
        <f t="shared" si="5"/>
        <v>554.93050305221686</v>
      </c>
      <c r="AN59" s="62">
        <f ca="1">AVERAGE(OFFSET($AM$3,0,0,'Données projet'!$E$10+1,1))-AVERAGE(OFFSET($H$3,0,0,'Données projet'!$E$10+1,1))</f>
        <v>304.35088214287919</v>
      </c>
      <c r="AO59" s="62">
        <f t="shared" si="36"/>
        <v>288.72611053217599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9.0333333333333314</v>
      </c>
      <c r="BD59" s="13">
        <f>IF('Données projet'!$A$88&gt;35,BD58+BC59-BL58,IF(A59&lt;'Données projet'!$A$88,$BA$205^A59,IF(A59='Données projet'!$A$88,'Données projet'!$B$88,BD58+BC59-BL58)))</f>
        <v>212.58461538461535</v>
      </c>
      <c r="BE59" s="14">
        <f>BD59*VLOOKUP('Données projet'!$B$11,Paramètres!$A$1:$I$89,3,0)*VLOOKUP('Données projet'!$B$11,Paramètres!$A$1:$I$89,5,0)</f>
        <v>135.96911999999998</v>
      </c>
      <c r="BF59" s="14">
        <f t="shared" si="37"/>
        <v>35.372023287717631</v>
      </c>
      <c r="BG59" s="22">
        <f t="shared" si="7"/>
        <v>298.41915789277482</v>
      </c>
      <c r="BH59" s="62">
        <f t="shared" si="8"/>
        <v>557.34897383139651</v>
      </c>
      <c r="BI59" s="62">
        <f ca="1">AVERAGE(OFFSET($BH$3,0,0,'Données projet'!$E$11+1,1))-AVERAGE(OFFSET($H$3,0,0,'Données projet'!$E$11+1,1))</f>
        <v>285.09561428624352</v>
      </c>
      <c r="BJ59" s="62">
        <f t="shared" si="38"/>
        <v>261.05678516705564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273.39999999999998</v>
      </c>
      <c r="BZ59" s="14">
        <f>BY59*VLOOKUP('Données projet'!$B$12,Paramètres!$A$1:$I$89,3,0)*VLOOKUP('Données projet'!$B$12,Paramètres!$A$1:$I$89,5,0)</f>
        <v>221.78208000000001</v>
      </c>
      <c r="CA59" s="14">
        <f t="shared" si="39"/>
        <v>54.502029950220781</v>
      </c>
      <c r="CB59" s="22">
        <f t="shared" si="10"/>
        <v>481.19482482996779</v>
      </c>
      <c r="CC59" s="62">
        <f t="shared" si="11"/>
        <v>740.12464076858953</v>
      </c>
      <c r="CD59" s="62">
        <f ca="1">AVERAGE(OFFSET($CC$3,0,0,'Données projet'!$E$12+1,1))-AVERAGE(OFFSET($H$3,0,0,'Données projet'!$E$12+1,1))</f>
        <v>272.69564942740931</v>
      </c>
      <c r="CE59" s="62">
        <f t="shared" si="40"/>
        <v>316.57989180609252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5.8</v>
      </c>
      <c r="CT59" s="13">
        <f>IF('Données projet'!$A$140&gt;35,CT58+CS59-DB58,IF(A59&lt;'Données projet'!$A$140,$CQ$205^A59,IF(A59='Données projet'!$A$140,'Données projet'!$B$140,CT58+CS59-DB58)))</f>
        <v>205.8000000000001</v>
      </c>
      <c r="CU59" s="18">
        <f>CT59*VLOOKUP('Données projet'!$B$13,Paramètres!$A$1:$I$89,3,0)*VLOOKUP('Données projet'!$B$13,Paramètres!$A$1:$I$89,5,0)</f>
        <v>134.84016000000005</v>
      </c>
      <c r="CV59" s="14">
        <f t="shared" si="41"/>
        <v>35.112387625030664</v>
      </c>
      <c r="CW59" s="22">
        <f t="shared" si="13"/>
        <v>296.00068711359518</v>
      </c>
      <c r="CX59" s="62">
        <f t="shared" si="14"/>
        <v>554.93050305221686</v>
      </c>
      <c r="CY59" s="62">
        <f ca="1">AVERAGE(OFFSET($CX$3,0,0,'Données projet'!$E$13+1,1))-AVERAGE(OFFSET($H$3,0,0,'Données projet'!$E$13+1,1))</f>
        <v>304.35088214287919</v>
      </c>
      <c r="CZ59" s="62">
        <f t="shared" si="42"/>
        <v>288.72611053217599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1.1368683772161603E-13</v>
      </c>
      <c r="DP59" s="18">
        <f>DO59*VLOOKUP('Données projet'!$B$14,Paramètres!$A$1:$I$89,3,0)*VLOOKUP('Données projet'!$B$14,Paramètres!$A$1:$I$89,5,0)</f>
        <v>6.5620042732916778E-14</v>
      </c>
      <c r="DQ59" s="14">
        <f t="shared" si="43"/>
        <v>1.0353460337118015E-12</v>
      </c>
      <c r="DR59" s="22">
        <f t="shared" si="16"/>
        <v>1.9175159164745509E-12</v>
      </c>
      <c r="DS59" s="62">
        <f t="shared" si="17"/>
        <v>258.92981593862368</v>
      </c>
      <c r="DT59" s="62">
        <f ca="1">AVERAGE(OFFSET($DS$3,0,0,'Données projet'!$E$14+1,1))-AVERAGE(OFFSET($H$3,0,0,'Données projet'!$E$14+1,1))</f>
        <v>172.86120068224633</v>
      </c>
      <c r="DU59" s="62">
        <f t="shared" si="44"/>
        <v>269.4995727085078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5.4</v>
      </c>
      <c r="EJ59" s="13">
        <f>IF('Données projet'!$A$192&gt;35,EJ58+EI59-ER58,IF(A59&lt;'Données projet'!$A$192,$EG$205^A59,IF(A59='Données projet'!$A$192,'Données projet'!$B$192,EJ58+EI59-ER58)))</f>
        <v>126.4</v>
      </c>
      <c r="EK59" s="18">
        <f>EJ59*VLOOKUP('Données projet'!$B$15,Paramètres!$A$1:$I$89,3,0)*VLOOKUP('Données projet'!$B$15,Paramètres!$A$1:$I$89,5,0)</f>
        <v>106.47936000000003</v>
      </c>
      <c r="EL59" s="14">
        <f t="shared" si="45"/>
        <v>28.499930483982503</v>
      </c>
      <c r="EM59" s="22">
        <f t="shared" si="19"/>
        <v>235.08893092626957</v>
      </c>
      <c r="EN59" s="62">
        <f t="shared" si="20"/>
        <v>494.01874686489134</v>
      </c>
      <c r="EO59" s="62">
        <f ca="1">AVERAGE(OFFSET($EN$3,0,0,'Données projet'!$E$15+1,1))-AVERAGE(OFFSET($H$3,0,0,'Données projet'!$E$15+1,1))</f>
        <v>346.97972840139914</v>
      </c>
      <c r="EP59" s="62">
        <f t="shared" si="46"/>
        <v>158.41433650660613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4.5999999999999996</v>
      </c>
      <c r="FE59" s="13">
        <f>IF('Données projet'!$A$218&gt;35,FE58+FD59-FM58,IF(A59&lt;'Données projet'!$A$218,$FB$205^A59,IF(A59='Données projet'!$A$218,'Données projet'!$B$218,FE58+FD59-FM58)))</f>
        <v>146.59999999999985</v>
      </c>
      <c r="FF59" s="18">
        <f>FE59*VLOOKUP('Données projet'!$B$16,Paramètres!$A$1:$I$89,3,0)*VLOOKUP('Données projet'!$B$16,Paramètres!$A$1:$I$89,5,0)</f>
        <v>96.052319999999909</v>
      </c>
      <c r="FG59" s="14">
        <f t="shared" si="47"/>
        <v>26.019324001860227</v>
      </c>
      <c r="FH59" s="22">
        <f t="shared" si="22"/>
        <v>212.60811330323972</v>
      </c>
      <c r="FI59" s="62">
        <f t="shared" si="23"/>
        <v>471.53792924186143</v>
      </c>
      <c r="FJ59" s="62">
        <f ca="1">AVERAGE(OFFSET($FI$3,0,0,'Données projet'!$E$16+1,1))-AVERAGE(OFFSET($H$3,0,0,'Données projet'!$E$16+1,1))</f>
        <v>235.88453308732235</v>
      </c>
      <c r="FK59" s="62">
        <f t="shared" si="48"/>
        <v>220.72810812053521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178.75728000000001</v>
      </c>
      <c r="P60" s="14">
        <f t="shared" si="33"/>
        <v>45.045592481721528</v>
      </c>
      <c r="Q60" s="22">
        <f t="shared" si="53"/>
        <v>389.79000290566495</v>
      </c>
      <c r="R60" s="62">
        <f t="shared" si="0"/>
        <v>649.31664295634266</v>
      </c>
      <c r="S60" s="62">
        <f ca="1">AVERAGE(OFFSET($R$3,0,0,'Données projet'!$E$9+1,1))-AVERAGE(OFFSET($H$3,0,0,'Données projet'!$E$9+1,1))</f>
        <v>442.98179778678298</v>
      </c>
      <c r="T60" s="62">
        <f t="shared" si="34"/>
        <v>251.96153561746942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5.8</v>
      </c>
      <c r="AI60" s="14">
        <f>IF('Données projet'!$A$62&gt;35,AI59+AH60-AQ59,IF(A60&lt;'Données projet'!$A$62,$AF$205^A60,IF(A60='Données projet'!$A$62,'Données projet'!$B$62,AI59+AH60-AQ59)))</f>
        <v>211.60000000000011</v>
      </c>
      <c r="AJ60" s="14">
        <f>AI60*VLOOKUP('Données projet'!$B$10,Paramètres!$A$1:$I$89,3,0)*VLOOKUP('Données projet'!$B$10,Paramètres!$A$1:$I$89,5,0)</f>
        <v>138.64032000000006</v>
      </c>
      <c r="AK60" s="14">
        <f t="shared" si="35"/>
        <v>35.985345198165817</v>
      </c>
      <c r="AL60" s="22">
        <f t="shared" si="4"/>
        <v>304.13970022013888</v>
      </c>
      <c r="AM60" s="62">
        <f t="shared" si="5"/>
        <v>563.66634027081659</v>
      </c>
      <c r="AN60" s="62">
        <f ca="1">AVERAGE(OFFSET($AM$3,0,0,'Données projet'!$E$10+1,1))-AVERAGE(OFFSET($H$3,0,0,'Données projet'!$E$10+1,1))</f>
        <v>304.35088214287919</v>
      </c>
      <c r="AO60" s="62">
        <f t="shared" si="36"/>
        <v>288.72611053217599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9.0333333333333314</v>
      </c>
      <c r="BD60" s="13">
        <f>IF('Données projet'!$A$88&gt;35,BD59+BC60-BL59,IF(A60&lt;'Données projet'!$A$88,$BA$205^A60,IF(A60='Données projet'!$A$88,'Données projet'!$B$88,BD59+BC60-BL59)))</f>
        <v>221.61794871794868</v>
      </c>
      <c r="BE60" s="14">
        <f>BD60*VLOOKUP('Données projet'!$B$11,Paramètres!$A$1:$I$89,3,0)*VLOOKUP('Données projet'!$B$11,Paramètres!$A$1:$I$89,5,0)</f>
        <v>141.74683999999999</v>
      </c>
      <c r="BF60" s="14">
        <f t="shared" si="37"/>
        <v>36.696892746861906</v>
      </c>
      <c r="BG60" s="22">
        <f t="shared" si="7"/>
        <v>310.78950120078446</v>
      </c>
      <c r="BH60" s="62">
        <f t="shared" si="8"/>
        <v>570.31614125146211</v>
      </c>
      <c r="BI60" s="62">
        <f ca="1">AVERAGE(OFFSET($BH$3,0,0,'Données projet'!$E$11+1,1))-AVERAGE(OFFSET($H$3,0,0,'Données projet'!$E$11+1,1))</f>
        <v>285.09561428624352</v>
      </c>
      <c r="BJ60" s="62">
        <f t="shared" si="38"/>
        <v>261.05678516705564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280.79999999999995</v>
      </c>
      <c r="BZ60" s="14">
        <f>BY60*VLOOKUP('Données projet'!$B$12,Paramètres!$A$1:$I$89,3,0)*VLOOKUP('Données projet'!$B$12,Paramètres!$A$1:$I$89,5,0)</f>
        <v>227.78495999999998</v>
      </c>
      <c r="CA60" s="14">
        <f t="shared" si="39"/>
        <v>55.803468680001743</v>
      </c>
      <c r="CB60" s="22">
        <f t="shared" si="10"/>
        <v>493.91651328433619</v>
      </c>
      <c r="CC60" s="62">
        <f t="shared" si="11"/>
        <v>753.4431533350139</v>
      </c>
      <c r="CD60" s="62">
        <f ca="1">AVERAGE(OFFSET($CC$3,0,0,'Données projet'!$E$12+1,1))-AVERAGE(OFFSET($H$3,0,0,'Données projet'!$E$12+1,1))</f>
        <v>272.69564942740931</v>
      </c>
      <c r="CE60" s="62">
        <f t="shared" si="40"/>
        <v>316.57989180609252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5.8</v>
      </c>
      <c r="CT60" s="13">
        <f>IF('Données projet'!$A$140&gt;35,CT59+CS60-DB59,IF(A60&lt;'Données projet'!$A$140,$CQ$205^A60,IF(A60='Données projet'!$A$140,'Données projet'!$B$140,CT59+CS60-DB59)))</f>
        <v>211.60000000000011</v>
      </c>
      <c r="CU60" s="18">
        <f>CT60*VLOOKUP('Données projet'!$B$13,Paramètres!$A$1:$I$89,3,0)*VLOOKUP('Données projet'!$B$13,Paramètres!$A$1:$I$89,5,0)</f>
        <v>138.64032000000006</v>
      </c>
      <c r="CV60" s="14">
        <f t="shared" si="41"/>
        <v>35.985345198165817</v>
      </c>
      <c r="CW60" s="22">
        <f t="shared" si="13"/>
        <v>304.13970022013888</v>
      </c>
      <c r="CX60" s="62">
        <f t="shared" si="14"/>
        <v>563.66634027081659</v>
      </c>
      <c r="CY60" s="62">
        <f ca="1">AVERAGE(OFFSET($CX$3,0,0,'Données projet'!$E$13+1,1))-AVERAGE(OFFSET($H$3,0,0,'Données projet'!$E$13+1,1))</f>
        <v>304.35088214287919</v>
      </c>
      <c r="CZ60" s="62">
        <f t="shared" si="42"/>
        <v>288.72611053217599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1.1368683772161603E-13</v>
      </c>
      <c r="DP60" s="18">
        <f>DO60*VLOOKUP('Données projet'!$B$14,Paramètres!$A$1:$I$89,3,0)*VLOOKUP('Données projet'!$B$14,Paramètres!$A$1:$I$89,5,0)</f>
        <v>6.5620042732916778E-14</v>
      </c>
      <c r="DQ60" s="14">
        <f t="shared" si="43"/>
        <v>1.0353460337118015E-12</v>
      </c>
      <c r="DR60" s="22">
        <f t="shared" si="16"/>
        <v>1.9175159164745509E-12</v>
      </c>
      <c r="DS60" s="62">
        <f t="shared" si="17"/>
        <v>259.52664005067965</v>
      </c>
      <c r="DT60" s="62">
        <f ca="1">AVERAGE(OFFSET($DS$3,0,0,'Données projet'!$E$14+1,1))-AVERAGE(OFFSET($H$3,0,0,'Données projet'!$E$14+1,1))</f>
        <v>172.86120068224633</v>
      </c>
      <c r="DU60" s="62">
        <f t="shared" si="44"/>
        <v>269.4995727085078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5.4</v>
      </c>
      <c r="EJ60" s="13">
        <f>IF('Données projet'!$A$192&gt;35,EJ59+EI60-ER59,IF(A60&lt;'Données projet'!$A$192,$EG$205^A60,IF(A60='Données projet'!$A$192,'Données projet'!$B$192,EJ59+EI60-ER59)))</f>
        <v>131.80000000000001</v>
      </c>
      <c r="EK60" s="18">
        <f>EJ60*VLOOKUP('Données projet'!$B$15,Paramètres!$A$1:$I$89,3,0)*VLOOKUP('Données projet'!$B$15,Paramètres!$A$1:$I$89,5,0)</f>
        <v>111.02832000000002</v>
      </c>
      <c r="EL60" s="14">
        <f t="shared" si="45"/>
        <v>29.573133422929669</v>
      </c>
      <c r="EM60" s="22">
        <f t="shared" si="19"/>
        <v>244.88086471160253</v>
      </c>
      <c r="EN60" s="62">
        <f t="shared" si="20"/>
        <v>504.40750476228027</v>
      </c>
      <c r="EO60" s="62">
        <f ca="1">AVERAGE(OFFSET($EN$3,0,0,'Données projet'!$E$15+1,1))-AVERAGE(OFFSET($H$3,0,0,'Données projet'!$E$15+1,1))</f>
        <v>346.97972840139914</v>
      </c>
      <c r="EP60" s="62">
        <f t="shared" si="46"/>
        <v>158.41433650660613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4.5999999999999996</v>
      </c>
      <c r="FE60" s="13">
        <f>IF('Données projet'!$A$218&gt;35,FE59+FD60-FM59,IF(A60&lt;'Données projet'!$A$218,$FB$205^A60,IF(A60='Données projet'!$A$218,'Données projet'!$B$218,FE59+FD60-FM59)))</f>
        <v>151.19999999999985</v>
      </c>
      <c r="FF60" s="18">
        <f>FE60*VLOOKUP('Données projet'!$B$16,Paramètres!$A$1:$I$89,3,0)*VLOOKUP('Données projet'!$B$16,Paramètres!$A$1:$I$89,5,0)</f>
        <v>99.066239999999894</v>
      </c>
      <c r="FG60" s="14">
        <f t="shared" si="47"/>
        <v>26.739420789378681</v>
      </c>
      <c r="FH60" s="22">
        <f t="shared" si="22"/>
        <v>219.11152587483434</v>
      </c>
      <c r="FI60" s="62">
        <f t="shared" si="23"/>
        <v>478.63816592551206</v>
      </c>
      <c r="FJ60" s="62">
        <f ca="1">AVERAGE(OFFSET($FI$3,0,0,'Données projet'!$E$16+1,1))-AVERAGE(OFFSET($H$3,0,0,'Données projet'!$E$16+1,1))</f>
        <v>235.88453308732235</v>
      </c>
      <c r="FK60" s="62">
        <f t="shared" si="48"/>
        <v>220.72810812053521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185.15951999999999</v>
      </c>
      <c r="P61" s="14">
        <f t="shared" si="33"/>
        <v>46.468189455290606</v>
      </c>
      <c r="Q61" s="22">
        <f t="shared" si="53"/>
        <v>403.41826063463105</v>
      </c>
      <c r="R61" s="62">
        <f t="shared" si="0"/>
        <v>663.53137123331953</v>
      </c>
      <c r="S61" s="62">
        <f ca="1">AVERAGE(OFFSET($R$3,0,0,'Données projet'!$E$9+1,1))-AVERAGE(OFFSET($H$3,0,0,'Données projet'!$E$9+1,1))</f>
        <v>442.98179778678298</v>
      </c>
      <c r="T61" s="62">
        <f t="shared" si="34"/>
        <v>251.96153561746942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5.8</v>
      </c>
      <c r="AI61" s="14">
        <f>IF('Données projet'!$A$62&gt;35,AI60+AH61-AQ60,IF(A61&lt;'Données projet'!$A$62,$AF$205^A61,IF(A61='Données projet'!$A$62,'Données projet'!$B$62,AI60+AH61-AQ60)))</f>
        <v>217.40000000000012</v>
      </c>
      <c r="AJ61" s="14">
        <f>AI61*VLOOKUP('Données projet'!$B$10,Paramètres!$A$1:$I$89,3,0)*VLOOKUP('Données projet'!$B$10,Paramètres!$A$1:$I$89,5,0)</f>
        <v>142.44048000000009</v>
      </c>
      <c r="AK61" s="14">
        <f t="shared" si="35"/>
        <v>36.855521628538284</v>
      </c>
      <c r="AL61" s="22">
        <f t="shared" si="4"/>
        <v>312.27386950303764</v>
      </c>
      <c r="AM61" s="62">
        <f t="shared" si="5"/>
        <v>572.38698010172607</v>
      </c>
      <c r="AN61" s="62">
        <f ca="1">AVERAGE(OFFSET($AM$3,0,0,'Données projet'!$E$10+1,1))-AVERAGE(OFFSET($H$3,0,0,'Données projet'!$E$10+1,1))</f>
        <v>304.35088214287919</v>
      </c>
      <c r="AO61" s="62">
        <f t="shared" si="36"/>
        <v>288.72611053217599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9.0333333333333314</v>
      </c>
      <c r="BD61" s="13">
        <f>IF('Données projet'!$A$88&gt;35,BD60+BC61-BL60,IF(A61&lt;'Données projet'!$A$88,$BA$205^A61,IF(A61='Données projet'!$A$88,'Données projet'!$B$88,BD60+BC61-BL60)))</f>
        <v>230.65128205128201</v>
      </c>
      <c r="BE61" s="14">
        <f>BD61*VLOOKUP('Données projet'!$B$11,Paramètres!$A$1:$I$89,3,0)*VLOOKUP('Données projet'!$B$11,Paramètres!$A$1:$I$89,5,0)</f>
        <v>147.52455999999998</v>
      </c>
      <c r="BF61" s="14">
        <f t="shared" si="37"/>
        <v>38.015489335242272</v>
      </c>
      <c r="BG61" s="22">
        <f t="shared" si="7"/>
        <v>323.14891925888026</v>
      </c>
      <c r="BH61" s="62">
        <f t="shared" si="8"/>
        <v>583.26202985756868</v>
      </c>
      <c r="BI61" s="62">
        <f ca="1">AVERAGE(OFFSET($BH$3,0,0,'Données projet'!$E$11+1,1))-AVERAGE(OFFSET($H$3,0,0,'Données projet'!$E$11+1,1))</f>
        <v>285.09561428624352</v>
      </c>
      <c r="BJ61" s="62">
        <f t="shared" si="38"/>
        <v>261.05678516705564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288.19999999999993</v>
      </c>
      <c r="BZ61" s="14">
        <f>BY61*VLOOKUP('Données projet'!$B$12,Paramètres!$A$1:$I$89,3,0)*VLOOKUP('Données projet'!$B$12,Paramètres!$A$1:$I$89,5,0)</f>
        <v>233.78783999999996</v>
      </c>
      <c r="CA61" s="14">
        <f t="shared" si="39"/>
        <v>57.100920847849451</v>
      </c>
      <c r="CB61" s="22">
        <f t="shared" si="10"/>
        <v>506.63125847667106</v>
      </c>
      <c r="CC61" s="62">
        <f t="shared" si="11"/>
        <v>766.74436907535949</v>
      </c>
      <c r="CD61" s="62">
        <f ca="1">AVERAGE(OFFSET($CC$3,0,0,'Données projet'!$E$12+1,1))-AVERAGE(OFFSET($H$3,0,0,'Données projet'!$E$12+1,1))</f>
        <v>272.69564942740931</v>
      </c>
      <c r="CE61" s="62">
        <f t="shared" si="40"/>
        <v>316.57989180609252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5.8</v>
      </c>
      <c r="CT61" s="13">
        <f>IF('Données projet'!$A$140&gt;35,CT60+CS61-DB60,IF(A61&lt;'Données projet'!$A$140,$CQ$205^A61,IF(A61='Données projet'!$A$140,'Données projet'!$B$140,CT60+CS61-DB60)))</f>
        <v>217.40000000000012</v>
      </c>
      <c r="CU61" s="18">
        <f>CT61*VLOOKUP('Données projet'!$B$13,Paramètres!$A$1:$I$89,3,0)*VLOOKUP('Données projet'!$B$13,Paramètres!$A$1:$I$89,5,0)</f>
        <v>142.44048000000009</v>
      </c>
      <c r="CV61" s="14">
        <f t="shared" si="41"/>
        <v>36.855521628538284</v>
      </c>
      <c r="CW61" s="22">
        <f t="shared" si="13"/>
        <v>312.27386950303764</v>
      </c>
      <c r="CX61" s="62">
        <f t="shared" si="14"/>
        <v>572.38698010172607</v>
      </c>
      <c r="CY61" s="62">
        <f ca="1">AVERAGE(OFFSET($CX$3,0,0,'Données projet'!$E$13+1,1))-AVERAGE(OFFSET($H$3,0,0,'Données projet'!$E$13+1,1))</f>
        <v>304.35088214287919</v>
      </c>
      <c r="CZ61" s="62">
        <f t="shared" si="42"/>
        <v>288.72611053217599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1.1368683772161603E-13</v>
      </c>
      <c r="DP61" s="18">
        <f>DO61*VLOOKUP('Données projet'!$B$14,Paramètres!$A$1:$I$89,3,0)*VLOOKUP('Données projet'!$B$14,Paramètres!$A$1:$I$89,5,0)</f>
        <v>6.5620042732916778E-14</v>
      </c>
      <c r="DQ61" s="14">
        <f t="shared" si="43"/>
        <v>1.0353460337118015E-12</v>
      </c>
      <c r="DR61" s="22">
        <f t="shared" si="16"/>
        <v>1.9175159164745509E-12</v>
      </c>
      <c r="DS61" s="62">
        <f t="shared" si="17"/>
        <v>260.11311059869035</v>
      </c>
      <c r="DT61" s="62">
        <f ca="1">AVERAGE(OFFSET($DS$3,0,0,'Données projet'!$E$14+1,1))-AVERAGE(OFFSET($H$3,0,0,'Données projet'!$E$14+1,1))</f>
        <v>172.86120068224633</v>
      </c>
      <c r="DU61" s="62">
        <f t="shared" si="44"/>
        <v>269.4995727085078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5.4</v>
      </c>
      <c r="EJ61" s="13">
        <f>IF('Données projet'!$A$192&gt;35,EJ60+EI61-ER60,IF(A61&lt;'Données projet'!$A$192,$EG$205^A61,IF(A61='Données projet'!$A$192,'Données projet'!$B$192,EJ60+EI61-ER60)))</f>
        <v>137.20000000000002</v>
      </c>
      <c r="EK61" s="18">
        <f>EJ61*VLOOKUP('Données projet'!$B$15,Paramètres!$A$1:$I$89,3,0)*VLOOKUP('Données projet'!$B$15,Paramètres!$A$1:$I$89,5,0)</f>
        <v>115.57728000000002</v>
      </c>
      <c r="EL61" s="14">
        <f t="shared" si="45"/>
        <v>30.64122888569365</v>
      </c>
      <c r="EM61" s="22">
        <f t="shared" si="19"/>
        <v>254.66390297591647</v>
      </c>
      <c r="EN61" s="62">
        <f t="shared" si="20"/>
        <v>514.77701357460489</v>
      </c>
      <c r="EO61" s="62">
        <f ca="1">AVERAGE(OFFSET($EN$3,0,0,'Données projet'!$E$15+1,1))-AVERAGE(OFFSET($H$3,0,0,'Données projet'!$E$15+1,1))</f>
        <v>346.97972840139914</v>
      </c>
      <c r="EP61" s="62">
        <f t="shared" si="46"/>
        <v>158.41433650660613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4.5999999999999996</v>
      </c>
      <c r="FE61" s="13">
        <f>IF('Données projet'!$A$218&gt;35,FE60+FD61-FM60,IF(A61&lt;'Données projet'!$A$218,$FB$205^A61,IF(A61='Données projet'!$A$218,'Données projet'!$B$218,FE60+FD61-FM60)))</f>
        <v>155.79999999999984</v>
      </c>
      <c r="FF61" s="18">
        <f>FE61*VLOOKUP('Données projet'!$B$16,Paramètres!$A$1:$I$89,3,0)*VLOOKUP('Données projet'!$B$16,Paramètres!$A$1:$I$89,5,0)</f>
        <v>102.08015999999991</v>
      </c>
      <c r="FG61" s="14">
        <f t="shared" si="47"/>
        <v>27.456971614793144</v>
      </c>
      <c r="FH61" s="22">
        <f t="shared" si="22"/>
        <v>225.61050422909787</v>
      </c>
      <c r="FI61" s="62">
        <f t="shared" si="23"/>
        <v>485.72361482778626</v>
      </c>
      <c r="FJ61" s="62">
        <f ca="1">AVERAGE(OFFSET($FI$3,0,0,'Données projet'!$E$16+1,1))-AVERAGE(OFFSET($H$3,0,0,'Données projet'!$E$16+1,1))</f>
        <v>235.88453308732235</v>
      </c>
      <c r="FK61" s="62">
        <f t="shared" si="48"/>
        <v>220.72810812053521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191.56175999999999</v>
      </c>
      <c r="P62" s="14">
        <f t="shared" si="33"/>
        <v>47.885071135583438</v>
      </c>
      <c r="Q62" s="22">
        <f t="shared" si="53"/>
        <v>417.03656422780779</v>
      </c>
      <c r="R62" s="62">
        <f t="shared" si="0"/>
        <v>677.72597142165057</v>
      </c>
      <c r="S62" s="62">
        <f ca="1">AVERAGE(OFFSET($R$3,0,0,'Données projet'!$E$9+1,1))-AVERAGE(OFFSET($H$3,0,0,'Données projet'!$E$9+1,1))</f>
        <v>442.98179778678298</v>
      </c>
      <c r="T62" s="62">
        <f t="shared" si="34"/>
        <v>251.96153561746942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5.8</v>
      </c>
      <c r="AI62" s="14">
        <f>IF('Données projet'!$A$62&gt;35,AI61+AH62-AQ61,IF(A62&lt;'Données projet'!$A$62,$AF$205^A62,IF(A62='Données projet'!$A$62,'Données projet'!$B$62,AI61+AH62-AQ61)))</f>
        <v>223.20000000000013</v>
      </c>
      <c r="AJ62" s="14">
        <f>AI62*VLOOKUP('Données projet'!$B$10,Paramètres!$A$1:$I$89,3,0)*VLOOKUP('Données projet'!$B$10,Paramètres!$A$1:$I$89,5,0)</f>
        <v>146.2406400000001</v>
      </c>
      <c r="AK62" s="14">
        <f t="shared" si="35"/>
        <v>37.722999642090628</v>
      </c>
      <c r="AL62" s="22">
        <f t="shared" si="4"/>
        <v>320.40333904330799</v>
      </c>
      <c r="AM62" s="62">
        <f t="shared" si="5"/>
        <v>581.09274623715078</v>
      </c>
      <c r="AN62" s="62">
        <f ca="1">AVERAGE(OFFSET($AM$3,0,0,'Données projet'!$E$10+1,1))-AVERAGE(OFFSET($H$3,0,0,'Données projet'!$E$10+1,1))</f>
        <v>304.35088214287919</v>
      </c>
      <c r="AO62" s="62">
        <f t="shared" si="36"/>
        <v>288.72611053217599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9.0333333333333314</v>
      </c>
      <c r="BD62" s="13">
        <f>IF('Données projet'!$A$88&gt;35,BD61+BC62-BL61,IF(A62&lt;'Données projet'!$A$88,$BA$205^A62,IF(A62='Données projet'!$A$88,'Données projet'!$B$88,BD61+BC62-BL61)))</f>
        <v>239.68461538461534</v>
      </c>
      <c r="BE62" s="14">
        <f>BD62*VLOOKUP('Données projet'!$B$11,Paramètres!$A$1:$I$89,3,0)*VLOOKUP('Données projet'!$B$11,Paramètres!$A$1:$I$89,5,0)</f>
        <v>153.30227999999997</v>
      </c>
      <c r="BF62" s="14">
        <f t="shared" si="37"/>
        <v>39.328086841233628</v>
      </c>
      <c r="BG62" s="22">
        <f t="shared" si="7"/>
        <v>335.49788891514845</v>
      </c>
      <c r="BH62" s="62">
        <f t="shared" si="8"/>
        <v>596.18729610899118</v>
      </c>
      <c r="BI62" s="62">
        <f ca="1">AVERAGE(OFFSET($BH$3,0,0,'Données projet'!$E$11+1,1))-AVERAGE(OFFSET($H$3,0,0,'Données projet'!$E$11+1,1))</f>
        <v>285.09561428624352</v>
      </c>
      <c r="BJ62" s="62">
        <f t="shared" si="38"/>
        <v>261.05678516705564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295.59999999999991</v>
      </c>
      <c r="BZ62" s="14">
        <f>BY62*VLOOKUP('Données projet'!$B$12,Paramètres!$A$1:$I$89,3,0)*VLOOKUP('Données projet'!$B$12,Paramètres!$A$1:$I$89,5,0)</f>
        <v>239.79071999999994</v>
      </c>
      <c r="CA62" s="14">
        <f t="shared" si="39"/>
        <v>58.394500584818381</v>
      </c>
      <c r="CB62" s="22">
        <f t="shared" si="10"/>
        <v>519.33925918522516</v>
      </c>
      <c r="CC62" s="62">
        <f t="shared" si="11"/>
        <v>780.028666379068</v>
      </c>
      <c r="CD62" s="62">
        <f ca="1">AVERAGE(OFFSET($CC$3,0,0,'Données projet'!$E$12+1,1))-AVERAGE(OFFSET($H$3,0,0,'Données projet'!$E$12+1,1))</f>
        <v>272.69564942740931</v>
      </c>
      <c r="CE62" s="62">
        <f t="shared" si="40"/>
        <v>316.57989180609252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5.8</v>
      </c>
      <c r="CT62" s="13">
        <f>IF('Données projet'!$A$140&gt;35,CT61+CS62-DB61,IF(A62&lt;'Données projet'!$A$140,$CQ$205^A62,IF(A62='Données projet'!$A$140,'Données projet'!$B$140,CT61+CS62-DB61)))</f>
        <v>223.20000000000013</v>
      </c>
      <c r="CU62" s="18">
        <f>CT62*VLOOKUP('Données projet'!$B$13,Paramètres!$A$1:$I$89,3,0)*VLOOKUP('Données projet'!$B$13,Paramètres!$A$1:$I$89,5,0)</f>
        <v>146.2406400000001</v>
      </c>
      <c r="CV62" s="14">
        <f t="shared" si="41"/>
        <v>37.722999642090628</v>
      </c>
      <c r="CW62" s="22">
        <f t="shared" si="13"/>
        <v>320.40333904330799</v>
      </c>
      <c r="CX62" s="62">
        <f t="shared" si="14"/>
        <v>581.09274623715078</v>
      </c>
      <c r="CY62" s="62">
        <f ca="1">AVERAGE(OFFSET($CX$3,0,0,'Données projet'!$E$13+1,1))-AVERAGE(OFFSET($H$3,0,0,'Données projet'!$E$13+1,1))</f>
        <v>304.35088214287919</v>
      </c>
      <c r="CZ62" s="62">
        <f t="shared" si="42"/>
        <v>288.72611053217599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1.1368683772161603E-13</v>
      </c>
      <c r="DP62" s="18">
        <f>DO62*VLOOKUP('Données projet'!$B$14,Paramètres!$A$1:$I$89,3,0)*VLOOKUP('Données projet'!$B$14,Paramètres!$A$1:$I$89,5,0)</f>
        <v>6.5620042732916778E-14</v>
      </c>
      <c r="DQ62" s="14">
        <f t="shared" si="43"/>
        <v>1.0353460337118015E-12</v>
      </c>
      <c r="DR62" s="22">
        <f t="shared" si="16"/>
        <v>1.9175159164745509E-12</v>
      </c>
      <c r="DS62" s="62">
        <f t="shared" si="17"/>
        <v>260.68940719384472</v>
      </c>
      <c r="DT62" s="62">
        <f ca="1">AVERAGE(OFFSET($DS$3,0,0,'Données projet'!$E$14+1,1))-AVERAGE(OFFSET($H$3,0,0,'Données projet'!$E$14+1,1))</f>
        <v>172.86120068224633</v>
      </c>
      <c r="DU62" s="62">
        <f t="shared" si="44"/>
        <v>269.4995727085078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5.4</v>
      </c>
      <c r="EJ62" s="13">
        <f>IF('Données projet'!$A$192&gt;35,EJ61+EI62-ER61,IF(A62&lt;'Données projet'!$A$192,$EG$205^A62,IF(A62='Données projet'!$A$192,'Données projet'!$B$192,EJ61+EI62-ER61)))</f>
        <v>142.60000000000002</v>
      </c>
      <c r="EK62" s="18">
        <f>EJ62*VLOOKUP('Données projet'!$B$15,Paramètres!$A$1:$I$89,3,0)*VLOOKUP('Données projet'!$B$15,Paramètres!$A$1:$I$89,5,0)</f>
        <v>120.12624000000004</v>
      </c>
      <c r="EL62" s="14">
        <f t="shared" si="45"/>
        <v>31.704440899018444</v>
      </c>
      <c r="EM62" s="22">
        <f t="shared" si="19"/>
        <v>264.43843589912387</v>
      </c>
      <c r="EN62" s="62">
        <f t="shared" si="20"/>
        <v>525.12784309296671</v>
      </c>
      <c r="EO62" s="62">
        <f ca="1">AVERAGE(OFFSET($EN$3,0,0,'Données projet'!$E$15+1,1))-AVERAGE(OFFSET($H$3,0,0,'Données projet'!$E$15+1,1))</f>
        <v>346.97972840139914</v>
      </c>
      <c r="EP62" s="62">
        <f t="shared" si="46"/>
        <v>158.41433650660613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4.5999999999999996</v>
      </c>
      <c r="FE62" s="13">
        <f>IF('Données projet'!$A$218&gt;35,FE61+FD62-FM61,IF(A62&lt;'Données projet'!$A$218,$FB$205^A62,IF(A62='Données projet'!$A$218,'Données projet'!$B$218,FE61+FD62-FM61)))</f>
        <v>160.39999999999984</v>
      </c>
      <c r="FF62" s="18">
        <f>FE62*VLOOKUP('Données projet'!$B$16,Paramètres!$A$1:$I$89,3,0)*VLOOKUP('Données projet'!$B$16,Paramètres!$A$1:$I$89,5,0)</f>
        <v>105.09407999999989</v>
      </c>
      <c r="FG62" s="14">
        <f t="shared" si="47"/>
        <v>28.172060278105018</v>
      </c>
      <c r="FH62" s="22">
        <f t="shared" si="22"/>
        <v>232.10519431769936</v>
      </c>
      <c r="FI62" s="62">
        <f t="shared" si="23"/>
        <v>492.79460151154217</v>
      </c>
      <c r="FJ62" s="62">
        <f ca="1">AVERAGE(OFFSET($FI$3,0,0,'Données projet'!$E$16+1,1))-AVERAGE(OFFSET($H$3,0,0,'Données projet'!$E$16+1,1))</f>
        <v>235.88453308732235</v>
      </c>
      <c r="FK62" s="62">
        <f t="shared" si="48"/>
        <v>220.72810812053521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197.964</v>
      </c>
      <c r="P63" s="14">
        <f t="shared" si="33"/>
        <v>49.296450435147761</v>
      </c>
      <c r="Q63" s="22">
        <f t="shared" si="53"/>
        <v>430.64528450788231</v>
      </c>
      <c r="R63" s="62">
        <f t="shared" si="0"/>
        <v>691.90099083935979</v>
      </c>
      <c r="S63" s="62">
        <f ca="1">AVERAGE(OFFSET($R$3,0,0,'Données projet'!$E$9+1,1))-AVERAGE(OFFSET($H$3,0,0,'Données projet'!$E$9+1,1))</f>
        <v>442.98179778678298</v>
      </c>
      <c r="T63" s="62">
        <f t="shared" si="34"/>
        <v>251.96153561746942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229</v>
      </c>
      <c r="AG63" s="13">
        <f>VLOOKUP(A63,'Données projet'!$A$61:$I$81,9,0)</f>
        <v>5.8</v>
      </c>
      <c r="AH63" s="13">
        <f t="array" ref="AH63">INDEX(AG:AG,MIN(IF(ISNUMBER(AG63:AG259),ROW(AG63:AG259),"")))</f>
        <v>5.8</v>
      </c>
      <c r="AI63" s="14">
        <f>IF('Données projet'!$A$62&gt;35,AI62+AH63-AQ62,IF(A63&lt;'Données projet'!$A$62,$AF$205^A63,IF(A63='Données projet'!$A$62,'Données projet'!$B$62,AI62+AH63-AQ62)))</f>
        <v>229.00000000000014</v>
      </c>
      <c r="AJ63" s="14">
        <f>AI63*VLOOKUP('Données projet'!$B$10,Paramètres!$A$1:$I$89,3,0)*VLOOKUP('Données projet'!$B$10,Paramètres!$A$1:$I$89,5,0)</f>
        <v>150.04080000000008</v>
      </c>
      <c r="AK63" s="14">
        <f t="shared" si="35"/>
        <v>38.587857420495212</v>
      </c>
      <c r="AL63" s="22">
        <f t="shared" si="4"/>
        <v>328.52824500736261</v>
      </c>
      <c r="AM63" s="62">
        <f t="shared" si="5"/>
        <v>589.7839513388401</v>
      </c>
      <c r="AN63" s="62">
        <f ca="1">AVERAGE(OFFSET($AM$3,0,0,'Données projet'!$E$10+1,1))-AVERAGE(OFFSET($H$3,0,0,'Données projet'!$E$10+1,1))</f>
        <v>304.35088214287919</v>
      </c>
      <c r="AO63" s="62">
        <f t="shared" si="36"/>
        <v>288.72611053217599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248.7179487179487</v>
      </c>
      <c r="BB63" s="13">
        <f>VLOOKUP(A63,'Données projet'!$A$87:$I$107,9,0)</f>
        <v>9.0333333333333314</v>
      </c>
      <c r="BC63" s="13">
        <f t="array" ref="BC63">INDEX(BB:BB,MIN(IF(ISNUMBER(BB63:BB259),ROW(BB63:BB259),"")))</f>
        <v>9.0333333333333314</v>
      </c>
      <c r="BD63" s="13">
        <f>IF('Données projet'!$A$88&gt;35,BD62+BC63-BL62,IF(A63&lt;'Données projet'!$A$88,$BA$205^A63,IF(A63='Données projet'!$A$88,'Données projet'!$B$88,BD62+BC63-BL62)))</f>
        <v>248.71794871794867</v>
      </c>
      <c r="BE63" s="14">
        <f>BD63*VLOOKUP('Données projet'!$B$11,Paramètres!$A$1:$I$89,3,0)*VLOOKUP('Données projet'!$B$11,Paramètres!$A$1:$I$89,5,0)</f>
        <v>159.07999999999996</v>
      </c>
      <c r="BF63" s="14">
        <f t="shared" si="37"/>
        <v>40.63493724688179</v>
      </c>
      <c r="BG63" s="22">
        <f t="shared" si="7"/>
        <v>347.83684903831903</v>
      </c>
      <c r="BH63" s="62">
        <f t="shared" si="8"/>
        <v>609.09255536979651</v>
      </c>
      <c r="BI63" s="62">
        <f ca="1">AVERAGE(OFFSET($BH$3,0,0,'Données projet'!$E$11+1,1))-AVERAGE(OFFSET($H$3,0,0,'Données projet'!$E$11+1,1))</f>
        <v>285.09561428624352</v>
      </c>
      <c r="BJ63" s="62">
        <f t="shared" si="38"/>
        <v>261.05678516705564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303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302.99999999999989</v>
      </c>
      <c r="BZ63" s="14">
        <f>BY63*VLOOKUP('Données projet'!$B$12,Paramètres!$A$1:$I$89,3,0)*VLOOKUP('Données projet'!$B$12,Paramètres!$A$1:$I$89,5,0)</f>
        <v>245.79359999999991</v>
      </c>
      <c r="CA63" s="14">
        <f t="shared" si="39"/>
        <v>59.684315982017168</v>
      </c>
      <c r="CB63" s="22">
        <f t="shared" si="10"/>
        <v>532.04070366867973</v>
      </c>
      <c r="CC63" s="62">
        <f t="shared" si="11"/>
        <v>793.29641000015727</v>
      </c>
      <c r="CD63" s="62">
        <f ca="1">AVERAGE(OFFSET($CC$3,0,0,'Données projet'!$E$12+1,1))-AVERAGE(OFFSET($H$3,0,0,'Données projet'!$E$12+1,1))</f>
        <v>272.69564942740931</v>
      </c>
      <c r="CE63" s="62">
        <f t="shared" si="40"/>
        <v>316.57989180609252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303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229</v>
      </c>
      <c r="CR63" s="13">
        <f>VLOOKUP(A63,'Données projet'!$A$139:$I$159,9,0)</f>
        <v>5.8</v>
      </c>
      <c r="CS63" s="13">
        <f t="array" ref="CS63">INDEX(CR:CR,MIN(IF(ISNUMBER(CR63:CR259),ROW(CR63:CR259),"")))</f>
        <v>5.8</v>
      </c>
      <c r="CT63" s="13">
        <f>IF('Données projet'!$A$140&gt;35,CT62+CS63-DB62,IF(A63&lt;'Données projet'!$A$140,$CQ$205^A63,IF(A63='Données projet'!$A$140,'Données projet'!$B$140,CT62+CS63-DB62)))</f>
        <v>229.00000000000014</v>
      </c>
      <c r="CU63" s="18">
        <f>CT63*VLOOKUP('Données projet'!$B$13,Paramètres!$A$1:$I$89,3,0)*VLOOKUP('Données projet'!$B$13,Paramètres!$A$1:$I$89,5,0)</f>
        <v>150.04080000000008</v>
      </c>
      <c r="CV63" s="14">
        <f t="shared" si="41"/>
        <v>38.587857420495212</v>
      </c>
      <c r="CW63" s="22">
        <f t="shared" si="13"/>
        <v>328.52824500736261</v>
      </c>
      <c r="CX63" s="62">
        <f t="shared" si="14"/>
        <v>589.7839513388401</v>
      </c>
      <c r="CY63" s="62">
        <f ca="1">AVERAGE(OFFSET($CX$3,0,0,'Données projet'!$E$13+1,1))-AVERAGE(OFFSET($H$3,0,0,'Données projet'!$E$13+1,1))</f>
        <v>304.35088214287919</v>
      </c>
      <c r="CZ63" s="62">
        <f t="shared" si="42"/>
        <v>288.72611053217599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1.1368683772161603E-13</v>
      </c>
      <c r="DP63" s="18">
        <f>DO63*VLOOKUP('Données projet'!$B$14,Paramètres!$A$1:$I$89,3,0)*VLOOKUP('Données projet'!$B$14,Paramètres!$A$1:$I$89,5,0)</f>
        <v>6.5620042732916778E-14</v>
      </c>
      <c r="DQ63" s="14">
        <f t="shared" si="43"/>
        <v>1.0353460337118015E-12</v>
      </c>
      <c r="DR63" s="22">
        <f t="shared" si="16"/>
        <v>1.9175159164745509E-12</v>
      </c>
      <c r="DS63" s="62">
        <f t="shared" si="17"/>
        <v>261.25570633147942</v>
      </c>
      <c r="DT63" s="62">
        <f ca="1">AVERAGE(OFFSET($DS$3,0,0,'Données projet'!$E$14+1,1))-AVERAGE(OFFSET($H$3,0,0,'Données projet'!$E$14+1,1))</f>
        <v>172.86120068224633</v>
      </c>
      <c r="DU63" s="62">
        <f t="shared" si="44"/>
        <v>269.4995727085078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148</v>
      </c>
      <c r="EH63" s="13">
        <f>VLOOKUP(A63,'Données projet'!$A$191:$I$211,9,0)</f>
        <v>5.4</v>
      </c>
      <c r="EI63" s="13">
        <f t="array" ref="EI63">INDEX(EH:EH,MIN(IF(ISNUMBER(EH63:EH259),ROW(EH63:EH259),"")))</f>
        <v>5.4</v>
      </c>
      <c r="EJ63" s="13">
        <f>IF('Données projet'!$A$192&gt;35,EJ62+EI63-ER62,IF(A63&lt;'Données projet'!$A$192,$EG$205^A63,IF(A63='Données projet'!$A$192,'Données projet'!$B$192,EJ62+EI63-ER62)))</f>
        <v>148.00000000000003</v>
      </c>
      <c r="EK63" s="18">
        <f>EJ63*VLOOKUP('Données projet'!$B$15,Paramètres!$A$1:$I$89,3,0)*VLOOKUP('Données projet'!$B$15,Paramètres!$A$1:$I$89,5,0)</f>
        <v>124.67520000000003</v>
      </c>
      <c r="EL63" s="14">
        <f t="shared" si="45"/>
        <v>32.762975561628714</v>
      </c>
      <c r="EM63" s="22">
        <f t="shared" si="19"/>
        <v>274.20482243650343</v>
      </c>
      <c r="EN63" s="62">
        <f t="shared" si="20"/>
        <v>535.46052876798092</v>
      </c>
      <c r="EO63" s="62">
        <f ca="1">AVERAGE(OFFSET($EN$3,0,0,'Données projet'!$E$15+1,1))-AVERAGE(OFFSET($H$3,0,0,'Données projet'!$E$15+1,1))</f>
        <v>346.97972840139914</v>
      </c>
      <c r="EP63" s="62">
        <f t="shared" si="46"/>
        <v>158.41433650660613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165</v>
      </c>
      <c r="FC63" s="13">
        <f>VLOOKUP(A63,'Données projet'!$A$217:$I$237,9,0)</f>
        <v>4.5999999999999996</v>
      </c>
      <c r="FD63" s="13">
        <f t="array" ref="FD63">INDEX(FC:FC,MIN(IF(ISNUMBER(FC63:FC259),ROW(FC63:FC259),"")))</f>
        <v>4.5999999999999996</v>
      </c>
      <c r="FE63" s="13">
        <f>IF('Données projet'!$A$218&gt;35,FE62+FD63-FM62,IF(A63&lt;'Données projet'!$A$218,$FB$205^A63,IF(A63='Données projet'!$A$218,'Données projet'!$B$218,FE62+FD63-FM62)))</f>
        <v>164.99999999999983</v>
      </c>
      <c r="FF63" s="18">
        <f>FE63*VLOOKUP('Données projet'!$B$16,Paramètres!$A$1:$I$89,3,0)*VLOOKUP('Données projet'!$B$16,Paramètres!$A$1:$I$89,5,0)</f>
        <v>108.10799999999989</v>
      </c>
      <c r="FG63" s="14">
        <f t="shared" si="47"/>
        <v>28.884765499467136</v>
      </c>
      <c r="FH63" s="22">
        <f t="shared" si="22"/>
        <v>238.59573324490506</v>
      </c>
      <c r="FI63" s="62">
        <f t="shared" si="23"/>
        <v>499.85143957638252</v>
      </c>
      <c r="FJ63" s="62">
        <f ca="1">AVERAGE(OFFSET($FI$3,0,0,'Données projet'!$E$16+1,1))-AVERAGE(OFFSET($H$3,0,0,'Données projet'!$E$16+1,1))</f>
        <v>235.88453308732235</v>
      </c>
      <c r="FK63" s="62">
        <f t="shared" si="48"/>
        <v>220.72810812053521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168.64847999999998</v>
      </c>
      <c r="P64" s="14">
        <f t="shared" si="33"/>
        <v>42.78718759212785</v>
      </c>
      <c r="Q64" s="22">
        <f t="shared" si="53"/>
        <v>368.25045438962269</v>
      </c>
      <c r="R64" s="62">
        <f t="shared" si="0"/>
        <v>630.06263583475197</v>
      </c>
      <c r="S64" s="62">
        <f ca="1">AVERAGE(OFFSET($R$3,0,0,'Données projet'!$E$9+1,1))-AVERAGE(OFFSET($H$3,0,0,'Données projet'!$E$9+1,1))</f>
        <v>442.98179778678298</v>
      </c>
      <c r="T64" s="62">
        <f t="shared" si="34"/>
        <v>251.96153561746942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234.20000000000013</v>
      </c>
      <c r="AJ64" s="14">
        <f>AI64*VLOOKUP('Données projet'!$B$10,Paramètres!$A$1:$I$89,3,0)*VLOOKUP('Données projet'!$B$10,Paramètres!$A$1:$I$89,5,0)</f>
        <v>153.44784000000007</v>
      </c>
      <c r="AK64" s="14">
        <f t="shared" si="35"/>
        <v>39.361080309334518</v>
      </c>
      <c r="AL64" s="22">
        <f t="shared" si="4"/>
        <v>335.80886953875768</v>
      </c>
      <c r="AM64" s="62">
        <f t="shared" si="5"/>
        <v>597.62105098388702</v>
      </c>
      <c r="AN64" s="62">
        <f ca="1">AVERAGE(OFFSET($AM$3,0,0,'Données projet'!$E$10+1,1))-AVERAGE(OFFSET($H$3,0,0,'Données projet'!$E$10+1,1))</f>
        <v>304.35088214287919</v>
      </c>
      <c r="AO64" s="62">
        <f t="shared" si="36"/>
        <v>288.72611053217599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6.8589743589743621</v>
      </c>
      <c r="BD64" s="13">
        <f>IF('Données projet'!$A$88&gt;35,BD63+BC64-BL63,IF(A64&lt;'Données projet'!$A$88,$BA$205^A64,IF(A64='Données projet'!$A$88,'Données projet'!$B$88,BD63+BC64-BL63)))</f>
        <v>255.57692307692304</v>
      </c>
      <c r="BE64" s="14">
        <f>BD64*VLOOKUP('Données projet'!$B$11,Paramètres!$A$1:$I$89,3,0)*VLOOKUP('Données projet'!$B$11,Paramètres!$A$1:$I$89,5,0)</f>
        <v>163.46699999999998</v>
      </c>
      <c r="BF64" s="14">
        <f t="shared" si="37"/>
        <v>41.623528610431102</v>
      </c>
      <c r="BG64" s="22">
        <f t="shared" si="7"/>
        <v>357.19933732983412</v>
      </c>
      <c r="BH64" s="62">
        <f t="shared" si="8"/>
        <v>619.01151877496341</v>
      </c>
      <c r="BI64" s="62">
        <f ca="1">AVERAGE(OFFSET($BH$3,0,0,'Données projet'!$E$11+1,1))-AVERAGE(OFFSET($H$3,0,0,'Données projet'!$E$11+1,1))</f>
        <v>285.09561428624352</v>
      </c>
      <c r="BJ64" s="62">
        <f t="shared" si="38"/>
        <v>261.05678516705564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-1.1368683772161603E-13</v>
      </c>
      <c r="BZ64" s="14">
        <f>BY64*VLOOKUP('Données projet'!$B$12,Paramètres!$A$1:$I$89,3,0)*VLOOKUP('Données projet'!$B$12,Paramètres!$A$1:$I$89,5,0)</f>
        <v>-9.2222762759774927E-14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272.69564942740931</v>
      </c>
      <c r="CE64" s="62">
        <f t="shared" si="40"/>
        <v>316.57989180609252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234.20000000000013</v>
      </c>
      <c r="CU64" s="18">
        <f>CT64*VLOOKUP('Données projet'!$B$13,Paramètres!$A$1:$I$89,3,0)*VLOOKUP('Données projet'!$B$13,Paramètres!$A$1:$I$89,5,0)</f>
        <v>153.44784000000007</v>
      </c>
      <c r="CV64" s="14">
        <f t="shared" si="41"/>
        <v>39.361080309334518</v>
      </c>
      <c r="CW64" s="22">
        <f t="shared" si="13"/>
        <v>335.80886953875768</v>
      </c>
      <c r="CX64" s="62">
        <f t="shared" si="14"/>
        <v>597.62105098388702</v>
      </c>
      <c r="CY64" s="62">
        <f ca="1">AVERAGE(OFFSET($CX$3,0,0,'Données projet'!$E$13+1,1))-AVERAGE(OFFSET($H$3,0,0,'Données projet'!$E$13+1,1))</f>
        <v>304.35088214287919</v>
      </c>
      <c r="CZ64" s="62">
        <f t="shared" si="42"/>
        <v>288.72611053217599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1.1368683772161603E-13</v>
      </c>
      <c r="DP64" s="18">
        <f>DO64*VLOOKUP('Données projet'!$B$14,Paramètres!$A$1:$I$89,3,0)*VLOOKUP('Données projet'!$B$14,Paramètres!$A$1:$I$89,5,0)</f>
        <v>6.5620042732916778E-14</v>
      </c>
      <c r="DQ64" s="14">
        <f t="shared" si="43"/>
        <v>1.0353460337118015E-12</v>
      </c>
      <c r="DR64" s="22">
        <f t="shared" si="16"/>
        <v>1.9175159164745509E-12</v>
      </c>
      <c r="DS64" s="62">
        <f t="shared" si="17"/>
        <v>261.81218144513127</v>
      </c>
      <c r="DT64" s="62">
        <f ca="1">AVERAGE(OFFSET($DS$3,0,0,'Données projet'!$E$14+1,1))-AVERAGE(OFFSET($H$3,0,0,'Données projet'!$E$14+1,1))</f>
        <v>172.86120068224633</v>
      </c>
      <c r="DU64" s="62">
        <f t="shared" si="44"/>
        <v>269.4995727085078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5.4</v>
      </c>
      <c r="EJ64" s="13">
        <f>IF('Données projet'!$A$192&gt;35,EJ63+EI64-ER63,IF(A64&lt;'Données projet'!$A$192,$EG$205^A64,IF(A64='Données projet'!$A$192,'Données projet'!$B$192,EJ63+EI64-ER63)))</f>
        <v>153.40000000000003</v>
      </c>
      <c r="EK64" s="18">
        <f>EJ64*VLOOKUP('Données projet'!$B$15,Paramètres!$A$1:$I$89,3,0)*VLOOKUP('Données projet'!$B$15,Paramètres!$A$1:$I$89,5,0)</f>
        <v>129.22416000000004</v>
      </c>
      <c r="EL64" s="14">
        <f t="shared" si="45"/>
        <v>33.817023080295762</v>
      </c>
      <c r="EM64" s="22">
        <f t="shared" si="19"/>
        <v>283.96339386484851</v>
      </c>
      <c r="EN64" s="62">
        <f t="shared" si="20"/>
        <v>545.77557530997785</v>
      </c>
      <c r="EO64" s="62">
        <f ca="1">AVERAGE(OFFSET($EN$3,0,0,'Données projet'!$E$15+1,1))-AVERAGE(OFFSET($H$3,0,0,'Données projet'!$E$15+1,1))</f>
        <v>346.97972840139914</v>
      </c>
      <c r="EP64" s="62">
        <f t="shared" si="46"/>
        <v>158.41433650660613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4.2</v>
      </c>
      <c r="FE64" s="13">
        <f>IF('Données projet'!$A$218&gt;35,FE63+FD64-FM63,IF(A64&lt;'Données projet'!$A$218,$FB$205^A64,IF(A64='Données projet'!$A$218,'Données projet'!$B$218,FE63+FD64-FM63)))</f>
        <v>169.19999999999982</v>
      </c>
      <c r="FF64" s="18">
        <f>FE64*VLOOKUP('Données projet'!$B$16,Paramètres!$A$1:$I$89,3,0)*VLOOKUP('Données projet'!$B$16,Paramètres!$A$1:$I$89,5,0)</f>
        <v>110.85983999999988</v>
      </c>
      <c r="FG64" s="14">
        <f t="shared" si="47"/>
        <v>29.533477687335399</v>
      </c>
      <c r="FH64" s="22">
        <f t="shared" si="22"/>
        <v>244.51836163877559</v>
      </c>
      <c r="FI64" s="62">
        <f t="shared" si="23"/>
        <v>506.3305430839049</v>
      </c>
      <c r="FJ64" s="62">
        <f ca="1">AVERAGE(OFFSET($FI$3,0,0,'Données projet'!$E$16+1,1))-AVERAGE(OFFSET($H$3,0,0,'Données projet'!$E$16+1,1))</f>
        <v>235.88453308732235</v>
      </c>
      <c r="FK64" s="62">
        <f t="shared" si="48"/>
        <v>220.72810812053521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174.71375999999998</v>
      </c>
      <c r="P65" s="14">
        <f t="shared" si="33"/>
        <v>44.144062647515817</v>
      </c>
      <c r="Q65" s="22">
        <f t="shared" si="53"/>
        <v>381.17737444442332</v>
      </c>
      <c r="R65" s="62">
        <f t="shared" si="0"/>
        <v>643.53637740407464</v>
      </c>
      <c r="S65" s="62">
        <f ca="1">AVERAGE(OFFSET($R$3,0,0,'Données projet'!$E$9+1,1))-AVERAGE(OFFSET($H$3,0,0,'Données projet'!$E$9+1,1))</f>
        <v>442.98179778678298</v>
      </c>
      <c r="T65" s="62">
        <f t="shared" si="34"/>
        <v>251.96153561746942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239.40000000000012</v>
      </c>
      <c r="AJ65" s="14">
        <f>AI65*VLOOKUP('Données projet'!$B$10,Paramètres!$A$1:$I$89,3,0)*VLOOKUP('Données projet'!$B$10,Paramètres!$A$1:$I$89,5,0)</f>
        <v>156.85488000000007</v>
      </c>
      <c r="AK65" s="14">
        <f t="shared" si="35"/>
        <v>40.132307243083858</v>
      </c>
      <c r="AL65" s="22">
        <f t="shared" si="4"/>
        <v>343.08601778170447</v>
      </c>
      <c r="AM65" s="62">
        <f t="shared" si="5"/>
        <v>605.44502074135585</v>
      </c>
      <c r="AN65" s="62">
        <f ca="1">AVERAGE(OFFSET($AM$3,0,0,'Données projet'!$E$10+1,1))-AVERAGE(OFFSET($H$3,0,0,'Données projet'!$E$10+1,1))</f>
        <v>304.35088214287919</v>
      </c>
      <c r="AO65" s="62">
        <f t="shared" si="36"/>
        <v>288.72611053217599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6.8589743589743621</v>
      </c>
      <c r="BD65" s="13">
        <f>IF('Données projet'!$A$88&gt;35,BD64+BC65-BL64,IF(A65&lt;'Données projet'!$A$88,$BA$205^A65,IF(A65='Données projet'!$A$88,'Données projet'!$B$88,BD64+BC65-BL64)))</f>
        <v>262.4358974358974</v>
      </c>
      <c r="BE65" s="14">
        <f>BD65*VLOOKUP('Données projet'!$B$11,Paramètres!$A$1:$I$89,3,0)*VLOOKUP('Données projet'!$B$11,Paramètres!$A$1:$I$89,5,0)</f>
        <v>167.85399999999998</v>
      </c>
      <c r="BF65" s="14">
        <f t="shared" si="37"/>
        <v>42.60903618772371</v>
      </c>
      <c r="BG65" s="22">
        <f t="shared" si="7"/>
        <v>366.55645469361872</v>
      </c>
      <c r="BH65" s="62">
        <f t="shared" si="8"/>
        <v>628.9154576532701</v>
      </c>
      <c r="BI65" s="62">
        <f ca="1">AVERAGE(OFFSET($BH$3,0,0,'Données projet'!$E$11+1,1))-AVERAGE(OFFSET($H$3,0,0,'Données projet'!$E$11+1,1))</f>
        <v>285.09561428624352</v>
      </c>
      <c r="BJ65" s="62">
        <f t="shared" si="38"/>
        <v>261.05678516705564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-1.1368683772161603E-13</v>
      </c>
      <c r="BZ65" s="14">
        <f>BY65*VLOOKUP('Données projet'!$B$12,Paramètres!$A$1:$I$89,3,0)*VLOOKUP('Données projet'!$B$12,Paramètres!$A$1:$I$89,5,0)</f>
        <v>-9.2222762759774927E-14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272.69564942740931</v>
      </c>
      <c r="CE65" s="62">
        <f t="shared" si="40"/>
        <v>316.57989180609252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239.40000000000012</v>
      </c>
      <c r="CU65" s="18">
        <f>CT65*VLOOKUP('Données projet'!$B$13,Paramètres!$A$1:$I$89,3,0)*VLOOKUP('Données projet'!$B$13,Paramètres!$A$1:$I$89,5,0)</f>
        <v>156.85488000000007</v>
      </c>
      <c r="CV65" s="14">
        <f t="shared" si="41"/>
        <v>40.132307243083858</v>
      </c>
      <c r="CW65" s="22">
        <f t="shared" si="13"/>
        <v>343.08601778170447</v>
      </c>
      <c r="CX65" s="62">
        <f t="shared" si="14"/>
        <v>605.44502074135585</v>
      </c>
      <c r="CY65" s="62">
        <f ca="1">AVERAGE(OFFSET($CX$3,0,0,'Données projet'!$E$13+1,1))-AVERAGE(OFFSET($H$3,0,0,'Données projet'!$E$13+1,1))</f>
        <v>304.35088214287919</v>
      </c>
      <c r="CZ65" s="62">
        <f t="shared" si="42"/>
        <v>288.72611053217599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1.1368683772161603E-13</v>
      </c>
      <c r="DP65" s="18">
        <f>DO65*VLOOKUP('Données projet'!$B$14,Paramètres!$A$1:$I$89,3,0)*VLOOKUP('Données projet'!$B$14,Paramètres!$A$1:$I$89,5,0)</f>
        <v>6.5620042732916778E-14</v>
      </c>
      <c r="DQ65" s="14">
        <f t="shared" si="43"/>
        <v>1.0353460337118015E-12</v>
      </c>
      <c r="DR65" s="22">
        <f t="shared" si="16"/>
        <v>1.9175159164745509E-12</v>
      </c>
      <c r="DS65" s="62">
        <f t="shared" si="17"/>
        <v>262.35900295965325</v>
      </c>
      <c r="DT65" s="62">
        <f ca="1">AVERAGE(OFFSET($DS$3,0,0,'Données projet'!$E$14+1,1))-AVERAGE(OFFSET($H$3,0,0,'Données projet'!$E$14+1,1))</f>
        <v>172.86120068224633</v>
      </c>
      <c r="DU65" s="62">
        <f t="shared" si="44"/>
        <v>269.4995727085078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5.4</v>
      </c>
      <c r="EJ65" s="13">
        <f>IF('Données projet'!$A$192&gt;35,EJ64+EI65-ER64,IF(A65&lt;'Données projet'!$A$192,$EG$205^A65,IF(A65='Données projet'!$A$192,'Données projet'!$B$192,EJ64+EI65-ER64)))</f>
        <v>158.80000000000004</v>
      </c>
      <c r="EK65" s="18">
        <f>EJ65*VLOOKUP('Données projet'!$B$15,Paramètres!$A$1:$I$89,3,0)*VLOOKUP('Données projet'!$B$15,Paramètres!$A$1:$I$89,5,0)</f>
        <v>133.77312000000003</v>
      </c>
      <c r="EL65" s="14">
        <f t="shared" si="45"/>
        <v>34.866759511152438</v>
      </c>
      <c r="EM65" s="22">
        <f t="shared" si="19"/>
        <v>293.71445681525722</v>
      </c>
      <c r="EN65" s="62">
        <f t="shared" si="20"/>
        <v>556.07345977490854</v>
      </c>
      <c r="EO65" s="62">
        <f ca="1">AVERAGE(OFFSET($EN$3,0,0,'Données projet'!$E$15+1,1))-AVERAGE(OFFSET($H$3,0,0,'Données projet'!$E$15+1,1))</f>
        <v>346.97972840139914</v>
      </c>
      <c r="EP65" s="62">
        <f t="shared" si="46"/>
        <v>158.41433650660613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4.2</v>
      </c>
      <c r="FE65" s="13">
        <f>IF('Données projet'!$A$218&gt;35,FE64+FD65-FM64,IF(A65&lt;'Données projet'!$A$218,$FB$205^A65,IF(A65='Données projet'!$A$218,'Données projet'!$B$218,FE64+FD65-FM64)))</f>
        <v>173.39999999999981</v>
      </c>
      <c r="FF65" s="18">
        <f>FE65*VLOOKUP('Données projet'!$B$16,Paramètres!$A$1:$I$89,3,0)*VLOOKUP('Données projet'!$B$16,Paramètres!$A$1:$I$89,5,0)</f>
        <v>113.61167999999988</v>
      </c>
      <c r="FG65" s="14">
        <f t="shared" si="47"/>
        <v>30.180318013150163</v>
      </c>
      <c r="FH65" s="22">
        <f t="shared" si="22"/>
        <v>250.43772987290299</v>
      </c>
      <c r="FI65" s="62">
        <f t="shared" si="23"/>
        <v>512.79673283255431</v>
      </c>
      <c r="FJ65" s="62">
        <f ca="1">AVERAGE(OFFSET($FI$3,0,0,'Données projet'!$E$16+1,1))-AVERAGE(OFFSET($H$3,0,0,'Données projet'!$E$16+1,1))</f>
        <v>235.88453308732235</v>
      </c>
      <c r="FK65" s="62">
        <f t="shared" si="48"/>
        <v>220.72810812053521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180.77903999999995</v>
      </c>
      <c r="P66" s="14">
        <f t="shared" si="33"/>
        <v>45.495464625737284</v>
      </c>
      <c r="Q66" s="22">
        <f t="shared" si="53"/>
        <v>394.09476222315897</v>
      </c>
      <c r="R66" s="62">
        <f t="shared" si="0"/>
        <v>656.99110056656514</v>
      </c>
      <c r="S66" s="62">
        <f ca="1">AVERAGE(OFFSET($R$3,0,0,'Données projet'!$E$9+1,1))-AVERAGE(OFFSET($H$3,0,0,'Données projet'!$E$9+1,1))</f>
        <v>442.98179778678298</v>
      </c>
      <c r="T66" s="62">
        <f t="shared" si="34"/>
        <v>251.96153561746942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244.60000000000011</v>
      </c>
      <c r="AJ66" s="14">
        <f>AI66*VLOOKUP('Données projet'!$B$10,Paramètres!$A$1:$I$89,3,0)*VLOOKUP('Données projet'!$B$10,Paramètres!$A$1:$I$89,5,0)</f>
        <v>160.26192000000006</v>
      </c>
      <c r="AK66" s="14">
        <f t="shared" si="35"/>
        <v>40.901586568781333</v>
      </c>
      <c r="AL66" s="22">
        <f t="shared" si="4"/>
        <v>350.35977394062758</v>
      </c>
      <c r="AM66" s="62">
        <f t="shared" si="5"/>
        <v>613.25611228403363</v>
      </c>
      <c r="AN66" s="62">
        <f ca="1">AVERAGE(OFFSET($AM$3,0,0,'Données projet'!$E$10+1,1))-AVERAGE(OFFSET($H$3,0,0,'Données projet'!$E$10+1,1))</f>
        <v>304.35088214287919</v>
      </c>
      <c r="AO66" s="62">
        <f t="shared" si="36"/>
        <v>288.72611053217599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6.8589743589743621</v>
      </c>
      <c r="BD66" s="13">
        <f>IF('Données projet'!$A$88&gt;35,BD65+BC66-BL65,IF(A66&lt;'Données projet'!$A$88,$BA$205^A66,IF(A66='Données projet'!$A$88,'Données projet'!$B$88,BD65+BC66-BL65)))</f>
        <v>269.29487179487177</v>
      </c>
      <c r="BE66" s="14">
        <f>BD66*VLOOKUP('Données projet'!$B$11,Paramètres!$A$1:$I$89,3,0)*VLOOKUP('Données projet'!$B$11,Paramètres!$A$1:$I$89,5,0)</f>
        <v>172.24099999999996</v>
      </c>
      <c r="BF66" s="14">
        <f t="shared" si="37"/>
        <v>43.591549841505746</v>
      </c>
      <c r="BG66" s="22">
        <f t="shared" si="7"/>
        <v>375.9083576406224</v>
      </c>
      <c r="BH66" s="62">
        <f t="shared" si="8"/>
        <v>638.80469598402851</v>
      </c>
      <c r="BI66" s="62">
        <f ca="1">AVERAGE(OFFSET($BH$3,0,0,'Données projet'!$E$11+1,1))-AVERAGE(OFFSET($H$3,0,0,'Données projet'!$E$11+1,1))</f>
        <v>285.09561428624352</v>
      </c>
      <c r="BJ66" s="62">
        <f t="shared" si="38"/>
        <v>261.05678516705564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-1.1368683772161603E-13</v>
      </c>
      <c r="BZ66" s="14">
        <f>BY66*VLOOKUP('Données projet'!$B$12,Paramètres!$A$1:$I$89,3,0)*VLOOKUP('Données projet'!$B$12,Paramètres!$A$1:$I$89,5,0)</f>
        <v>-9.2222762759774927E-14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272.69564942740931</v>
      </c>
      <c r="CE66" s="62">
        <f t="shared" si="40"/>
        <v>316.57989180609252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244.60000000000011</v>
      </c>
      <c r="CU66" s="18">
        <f>CT66*VLOOKUP('Données projet'!$B$13,Paramètres!$A$1:$I$89,3,0)*VLOOKUP('Données projet'!$B$13,Paramètres!$A$1:$I$89,5,0)</f>
        <v>160.26192000000006</v>
      </c>
      <c r="CV66" s="14">
        <f t="shared" si="41"/>
        <v>40.901586568781333</v>
      </c>
      <c r="CW66" s="22">
        <f t="shared" si="13"/>
        <v>350.35977394062758</v>
      </c>
      <c r="CX66" s="62">
        <f t="shared" si="14"/>
        <v>613.25611228403363</v>
      </c>
      <c r="CY66" s="62">
        <f ca="1">AVERAGE(OFFSET($CX$3,0,0,'Données projet'!$E$13+1,1))-AVERAGE(OFFSET($H$3,0,0,'Données projet'!$E$13+1,1))</f>
        <v>304.35088214287919</v>
      </c>
      <c r="CZ66" s="62">
        <f t="shared" si="42"/>
        <v>288.72611053217599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1.1368683772161603E-13</v>
      </c>
      <c r="DP66" s="18">
        <f>DO66*VLOOKUP('Données projet'!$B$14,Paramètres!$A$1:$I$89,3,0)*VLOOKUP('Données projet'!$B$14,Paramètres!$A$1:$I$89,5,0)</f>
        <v>6.5620042732916778E-14</v>
      </c>
      <c r="DQ66" s="14">
        <f t="shared" si="43"/>
        <v>1.0353460337118015E-12</v>
      </c>
      <c r="DR66" s="22">
        <f t="shared" si="16"/>
        <v>1.9175159164745509E-12</v>
      </c>
      <c r="DS66" s="62">
        <f t="shared" si="17"/>
        <v>262.89633834340805</v>
      </c>
      <c r="DT66" s="62">
        <f ca="1">AVERAGE(OFFSET($DS$3,0,0,'Données projet'!$E$14+1,1))-AVERAGE(OFFSET($H$3,0,0,'Données projet'!$E$14+1,1))</f>
        <v>172.86120068224633</v>
      </c>
      <c r="DU66" s="62">
        <f t="shared" si="44"/>
        <v>269.4995727085078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5.4</v>
      </c>
      <c r="EJ66" s="13">
        <f>IF('Données projet'!$A$192&gt;35,EJ65+EI66-ER65,IF(A66&lt;'Données projet'!$A$192,$EG$205^A66,IF(A66='Données projet'!$A$192,'Données projet'!$B$192,EJ65+EI66-ER65)))</f>
        <v>164.20000000000005</v>
      </c>
      <c r="EK66" s="18">
        <f>EJ66*VLOOKUP('Données projet'!$B$15,Paramètres!$A$1:$I$89,3,0)*VLOOKUP('Données projet'!$B$15,Paramètres!$A$1:$I$89,5,0)</f>
        <v>138.32208000000006</v>
      </c>
      <c r="EL66" s="14">
        <f t="shared" si="45"/>
        <v>35.912348257500334</v>
      </c>
      <c r="EM66" s="22">
        <f t="shared" si="19"/>
        <v>303.45829588181317</v>
      </c>
      <c r="EN66" s="62">
        <f t="shared" si="20"/>
        <v>566.35463422521934</v>
      </c>
      <c r="EO66" s="62">
        <f ca="1">AVERAGE(OFFSET($EN$3,0,0,'Données projet'!$E$15+1,1))-AVERAGE(OFFSET($H$3,0,0,'Données projet'!$E$15+1,1))</f>
        <v>346.97972840139914</v>
      </c>
      <c r="EP66" s="62">
        <f t="shared" si="46"/>
        <v>158.41433650660613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4.2</v>
      </c>
      <c r="FE66" s="13">
        <f>IF('Données projet'!$A$218&gt;35,FE65+FD66-FM65,IF(A66&lt;'Données projet'!$A$218,$FB$205^A66,IF(A66='Données projet'!$A$218,'Données projet'!$B$218,FE65+FD66-FM65)))</f>
        <v>177.5999999999998</v>
      </c>
      <c r="FF66" s="18">
        <f>FE66*VLOOKUP('Données projet'!$B$16,Paramètres!$A$1:$I$89,3,0)*VLOOKUP('Données projet'!$B$16,Paramètres!$A$1:$I$89,5,0)</f>
        <v>116.36351999999987</v>
      </c>
      <c r="FG66" s="14">
        <f t="shared" si="47"/>
        <v>30.825337032325706</v>
      </c>
      <c r="FH66" s="22">
        <f t="shared" si="22"/>
        <v>256.35392599796705</v>
      </c>
      <c r="FI66" s="62">
        <f t="shared" si="23"/>
        <v>519.25026434137317</v>
      </c>
      <c r="FJ66" s="62">
        <f ca="1">AVERAGE(OFFSET($FI$3,0,0,'Données projet'!$E$16+1,1))-AVERAGE(OFFSET($H$3,0,0,'Données projet'!$E$16+1,1))</f>
        <v>235.88453308732235</v>
      </c>
      <c r="FK66" s="62">
        <f t="shared" si="48"/>
        <v>220.72810812053521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186.84431999999995</v>
      </c>
      <c r="P67" s="14">
        <f t="shared" si="33"/>
        <v>46.841598205171657</v>
      </c>
      <c r="Q67" s="22">
        <f t="shared" ref="Q67:Q98" si="54">(O67+P67)*0.475*44/12</f>
        <v>407.00297420734051</v>
      </c>
      <c r="R67" s="62">
        <f t="shared" ref="R67:R130" si="55">Q67+(I67+J67)*44/12</f>
        <v>670.42732636689527</v>
      </c>
      <c r="S67" s="62">
        <f ca="1">AVERAGE(OFFSET($R$3,0,0,'Données projet'!$E$9+1,1))-AVERAGE(OFFSET($H$3,0,0,'Données projet'!$E$9+1,1))</f>
        <v>442.98179778678298</v>
      </c>
      <c r="T67" s="62">
        <f t="shared" si="34"/>
        <v>251.96153561746942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249.8000000000001</v>
      </c>
      <c r="AJ67" s="14">
        <f>AI67*VLOOKUP('Données projet'!$B$10,Paramètres!$A$1:$I$89,3,0)*VLOOKUP('Données projet'!$B$10,Paramètres!$A$1:$I$89,5,0)</f>
        <v>163.66896000000006</v>
      </c>
      <c r="AK67" s="14">
        <f t="shared" si="35"/>
        <v>41.668964460385887</v>
      </c>
      <c r="AL67" s="22">
        <f t="shared" si="4"/>
        <v>357.63021843517214</v>
      </c>
      <c r="AM67" s="62">
        <f t="shared" si="5"/>
        <v>621.0545705947269</v>
      </c>
      <c r="AN67" s="62">
        <f ca="1">AVERAGE(OFFSET($AM$3,0,0,'Données projet'!$E$10+1,1))-AVERAGE(OFFSET($H$3,0,0,'Données projet'!$E$10+1,1))</f>
        <v>304.35088214287919</v>
      </c>
      <c r="AO67" s="62">
        <f t="shared" si="36"/>
        <v>288.72611053217599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6.8589743589743621</v>
      </c>
      <c r="BD67" s="13">
        <f>IF('Données projet'!$A$88&gt;35,BD66+BC67-BL66,IF(A67&lt;'Données projet'!$A$88,$BA$205^A67,IF(A67='Données projet'!$A$88,'Données projet'!$B$88,BD66+BC67-BL66)))</f>
        <v>276.15384615384613</v>
      </c>
      <c r="BE67" s="14">
        <f>BD67*VLOOKUP('Données projet'!$B$11,Paramètres!$A$1:$I$89,3,0)*VLOOKUP('Données projet'!$B$11,Paramètres!$A$1:$I$89,5,0)</f>
        <v>176.62799999999999</v>
      </c>
      <c r="BF67" s="14">
        <f t="shared" si="37"/>
        <v>44.571154596069931</v>
      </c>
      <c r="BG67" s="22">
        <f t="shared" si="7"/>
        <v>385.25519425482179</v>
      </c>
      <c r="BH67" s="62">
        <f t="shared" si="8"/>
        <v>648.67954641437655</v>
      </c>
      <c r="BI67" s="62">
        <f ca="1">AVERAGE(OFFSET($BH$3,0,0,'Données projet'!$E$11+1,1))-AVERAGE(OFFSET($H$3,0,0,'Données projet'!$E$11+1,1))</f>
        <v>285.09561428624352</v>
      </c>
      <c r="BJ67" s="62">
        <f t="shared" si="38"/>
        <v>261.05678516705564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-1.1368683772161603E-13</v>
      </c>
      <c r="BZ67" s="14">
        <f>BY67*VLOOKUP('Données projet'!$B$12,Paramètres!$A$1:$I$89,3,0)*VLOOKUP('Données projet'!$B$12,Paramètres!$A$1:$I$89,5,0)</f>
        <v>-9.2222762759774927E-14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272.69564942740931</v>
      </c>
      <c r="CE67" s="62">
        <f t="shared" si="40"/>
        <v>316.57989180609252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249.8000000000001</v>
      </c>
      <c r="CU67" s="18">
        <f>CT67*VLOOKUP('Données projet'!$B$13,Paramètres!$A$1:$I$89,3,0)*VLOOKUP('Données projet'!$B$13,Paramètres!$A$1:$I$89,5,0)</f>
        <v>163.66896000000006</v>
      </c>
      <c r="CV67" s="14">
        <f t="shared" si="41"/>
        <v>41.668964460385887</v>
      </c>
      <c r="CW67" s="22">
        <f t="shared" si="13"/>
        <v>357.63021843517214</v>
      </c>
      <c r="CX67" s="62">
        <f t="shared" si="14"/>
        <v>621.0545705947269</v>
      </c>
      <c r="CY67" s="62">
        <f ca="1">AVERAGE(OFFSET($CX$3,0,0,'Données projet'!$E$13+1,1))-AVERAGE(OFFSET($H$3,0,0,'Données projet'!$E$13+1,1))</f>
        <v>304.35088214287919</v>
      </c>
      <c r="CZ67" s="62">
        <f t="shared" si="42"/>
        <v>288.72611053217599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1.1368683772161603E-13</v>
      </c>
      <c r="DP67" s="18">
        <f>DO67*VLOOKUP('Données projet'!$B$14,Paramètres!$A$1:$I$89,3,0)*VLOOKUP('Données projet'!$B$14,Paramètres!$A$1:$I$89,5,0)</f>
        <v>6.5620042732916778E-14</v>
      </c>
      <c r="DQ67" s="14">
        <f t="shared" si="43"/>
        <v>1.0353460337118015E-12</v>
      </c>
      <c r="DR67" s="22">
        <f t="shared" si="16"/>
        <v>1.9175159164745509E-12</v>
      </c>
      <c r="DS67" s="62">
        <f t="shared" si="17"/>
        <v>263.42435215955669</v>
      </c>
      <c r="DT67" s="62">
        <f ca="1">AVERAGE(OFFSET($DS$3,0,0,'Données projet'!$E$14+1,1))-AVERAGE(OFFSET($H$3,0,0,'Données projet'!$E$14+1,1))</f>
        <v>172.86120068224633</v>
      </c>
      <c r="DU67" s="62">
        <f t="shared" si="44"/>
        <v>269.4995727085078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5.4</v>
      </c>
      <c r="EJ67" s="13">
        <f>IF('Données projet'!$A$192&gt;35,EJ66+EI67-ER66,IF(A67&lt;'Données projet'!$A$192,$EG$205^A67,IF(A67='Données projet'!$A$192,'Données projet'!$B$192,EJ66+EI67-ER66)))</f>
        <v>169.60000000000005</v>
      </c>
      <c r="EK67" s="18">
        <f>EJ67*VLOOKUP('Données projet'!$B$15,Paramètres!$A$1:$I$89,3,0)*VLOOKUP('Données projet'!$B$15,Paramètres!$A$1:$I$89,5,0)</f>
        <v>142.87104000000005</v>
      </c>
      <c r="EL67" s="14">
        <f t="shared" si="45"/>
        <v>36.953941365050547</v>
      </c>
      <c r="EM67" s="22">
        <f t="shared" si="19"/>
        <v>313.1951758774631</v>
      </c>
      <c r="EN67" s="62">
        <f t="shared" si="20"/>
        <v>576.61952803701786</v>
      </c>
      <c r="EO67" s="62">
        <f ca="1">AVERAGE(OFFSET($EN$3,0,0,'Données projet'!$E$15+1,1))-AVERAGE(OFFSET($H$3,0,0,'Données projet'!$E$15+1,1))</f>
        <v>346.97972840139914</v>
      </c>
      <c r="EP67" s="62">
        <f t="shared" si="46"/>
        <v>158.41433650660613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4.2</v>
      </c>
      <c r="FE67" s="13">
        <f>IF('Données projet'!$A$218&gt;35,FE66+FD67-FM66,IF(A67&lt;'Données projet'!$A$218,$FB$205^A67,IF(A67='Données projet'!$A$218,'Données projet'!$B$218,FE66+FD67-FM66)))</f>
        <v>181.79999999999978</v>
      </c>
      <c r="FF67" s="18">
        <f>FE67*VLOOKUP('Données projet'!$B$16,Paramètres!$A$1:$I$89,3,0)*VLOOKUP('Données projet'!$B$16,Paramètres!$A$1:$I$89,5,0)</f>
        <v>119.11535999999987</v>
      </c>
      <c r="FG67" s="14">
        <f t="shared" si="47"/>
        <v>31.468582772748036</v>
      </c>
      <c r="FH67" s="22">
        <f t="shared" si="22"/>
        <v>262.26703366253588</v>
      </c>
      <c r="FI67" s="62">
        <f t="shared" si="23"/>
        <v>525.69138582209064</v>
      </c>
      <c r="FJ67" s="62">
        <f ca="1">AVERAGE(OFFSET($FI$3,0,0,'Données projet'!$E$16+1,1))-AVERAGE(OFFSET($H$3,0,0,'Données projet'!$E$16+1,1))</f>
        <v>235.88453308732235</v>
      </c>
      <c r="FK67" s="62">
        <f t="shared" si="48"/>
        <v>220.72810812053521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192.90959999999995</v>
      </c>
      <c r="P68" s="14">
        <f t="shared" si="33"/>
        <v>48.182654021446417</v>
      </c>
      <c r="Q68" s="22">
        <f t="shared" si="54"/>
        <v>419.90234242068573</v>
      </c>
      <c r="R68" s="62">
        <f t="shared" si="55"/>
        <v>683.84554853714098</v>
      </c>
      <c r="S68" s="62">
        <f ca="1">AVERAGE(OFFSET($R$3,0,0,'Données projet'!$E$9+1,1))-AVERAGE(OFFSET($H$3,0,0,'Données projet'!$E$9+1,1))</f>
        <v>442.98179778678298</v>
      </c>
      <c r="T68" s="62">
        <f t="shared" si="34"/>
        <v>251.96153561746942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255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255.00000000000009</v>
      </c>
      <c r="AJ68" s="14">
        <f>AI68*VLOOKUP('Données projet'!$B$10,Paramètres!$A$1:$I$89,3,0)*VLOOKUP('Données projet'!$B$10,Paramètres!$A$1:$I$89,5,0)</f>
        <v>167.07600000000005</v>
      </c>
      <c r="AK68" s="14">
        <f t="shared" si="35"/>
        <v>42.434485059621672</v>
      </c>
      <c r="AL68" s="22">
        <f t="shared" ref="AL68:AL131" si="58">(AJ68+AK68)*0.475*44/12</f>
        <v>364.89742814550777</v>
      </c>
      <c r="AM68" s="62">
        <f t="shared" ref="AM68:AM131" si="59">AL68+(AD68+AE68)*44/12</f>
        <v>628.84063426196303</v>
      </c>
      <c r="AN68" s="62">
        <f ca="1">AVERAGE(OFFSET($AM$3,0,0,'Données projet'!$E$10+1,1))-AVERAGE(OFFSET($H$3,0,0,'Données projet'!$E$10+1,1))</f>
        <v>304.35088214287919</v>
      </c>
      <c r="AO68" s="62">
        <f t="shared" si="36"/>
        <v>288.72611053217599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6.8589743589743621</v>
      </c>
      <c r="BD68" s="13">
        <f>IF('Données projet'!$A$88&gt;35,BD67+BC68-BL67,IF(A68&lt;'Données projet'!$A$88,$BA$205^A68,IF(A68='Données projet'!$A$88,'Données projet'!$B$88,BD67+BC68-BL67)))</f>
        <v>283.0128205128205</v>
      </c>
      <c r="BE68" s="14">
        <f>BD68*VLOOKUP('Données projet'!$B$11,Paramètres!$A$1:$I$89,3,0)*VLOOKUP('Données projet'!$B$11,Paramètres!$A$1:$I$89,5,0)</f>
        <v>181.01499999999999</v>
      </c>
      <c r="BF68" s="14">
        <f t="shared" si="37"/>
        <v>45.547931011383568</v>
      </c>
      <c r="BG68" s="22">
        <f t="shared" ref="BG68:BG131" si="61">(BE68+BF68)*0.475*44/12</f>
        <v>394.59710484482639</v>
      </c>
      <c r="BH68" s="62">
        <f t="shared" ref="BH68:BH131" si="62">BG68+(AY68+AZ68)*44/12</f>
        <v>658.54031096128165</v>
      </c>
      <c r="BI68" s="62">
        <f ca="1">AVERAGE(OFFSET($BH$3,0,0,'Données projet'!$E$11+1,1))-AVERAGE(OFFSET($H$3,0,0,'Données projet'!$E$11+1,1))</f>
        <v>285.09561428624352</v>
      </c>
      <c r="BJ68" s="62">
        <f t="shared" si="38"/>
        <v>261.05678516705564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-1.1368683772161603E-13</v>
      </c>
      <c r="BZ68" s="14">
        <f>BY68*VLOOKUP('Données projet'!$B$12,Paramètres!$A$1:$I$89,3,0)*VLOOKUP('Données projet'!$B$12,Paramètres!$A$1:$I$89,5,0)</f>
        <v>-9.2222762759774927E-14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272.69564942740931</v>
      </c>
      <c r="CE68" s="62">
        <f t="shared" si="40"/>
        <v>316.57989180609252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255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255.00000000000009</v>
      </c>
      <c r="CU68" s="18">
        <f>CT68*VLOOKUP('Données projet'!$B$13,Paramètres!$A$1:$I$89,3,0)*VLOOKUP('Données projet'!$B$13,Paramètres!$A$1:$I$89,5,0)</f>
        <v>167.07600000000005</v>
      </c>
      <c r="CV68" s="14">
        <f t="shared" si="41"/>
        <v>42.434485059621672</v>
      </c>
      <c r="CW68" s="22">
        <f t="shared" ref="CW68:CW131" si="67">(CU68+CV68)*0.475*44/12</f>
        <v>364.89742814550777</v>
      </c>
      <c r="CX68" s="62">
        <f t="shared" ref="CX68:CX131" si="68">CW68+(CO68+CP68)*44/12</f>
        <v>628.84063426196303</v>
      </c>
      <c r="CY68" s="62">
        <f ca="1">AVERAGE(OFFSET($CX$3,0,0,'Données projet'!$E$13+1,1))-AVERAGE(OFFSET($H$3,0,0,'Données projet'!$E$13+1,1))</f>
        <v>304.35088214287919</v>
      </c>
      <c r="CZ68" s="62">
        <f t="shared" si="42"/>
        <v>288.72611053217599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1.1368683772161603E-13</v>
      </c>
      <c r="DP68" s="18">
        <f>DO68*VLOOKUP('Données projet'!$B$14,Paramètres!$A$1:$I$89,3,0)*VLOOKUP('Données projet'!$B$14,Paramètres!$A$1:$I$89,5,0)</f>
        <v>6.5620042732916778E-14</v>
      </c>
      <c r="DQ68" s="14">
        <f t="shared" si="43"/>
        <v>1.0353460337118015E-12</v>
      </c>
      <c r="DR68" s="22">
        <f t="shared" ref="DR68:DR131" si="70">(DP68+DQ68)*0.475*44/12</f>
        <v>1.9175159164745509E-12</v>
      </c>
      <c r="DS68" s="62">
        <f t="shared" ref="DS68:DS131" si="71">DR68+(DJ68+DK68)*44/12</f>
        <v>263.94320611645713</v>
      </c>
      <c r="DT68" s="62">
        <f ca="1">AVERAGE(OFFSET($DS$3,0,0,'Données projet'!$E$14+1,1))-AVERAGE(OFFSET($H$3,0,0,'Données projet'!$E$14+1,1))</f>
        <v>172.86120068224633</v>
      </c>
      <c r="DU68" s="62">
        <f t="shared" si="44"/>
        <v>269.4995727085078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175</v>
      </c>
      <c r="EH68" s="13">
        <f>VLOOKUP(A68,'Données projet'!$A$191:$I$211,9,0)</f>
        <v>5.4</v>
      </c>
      <c r="EI68" s="13">
        <f t="array" ref="EI68">INDEX(EH:EH,MIN(IF(ISNUMBER(EH68:EH264),ROW(EH68:EH264),"")))</f>
        <v>5.4</v>
      </c>
      <c r="EJ68" s="13">
        <f>IF('Données projet'!$A$192&gt;35,EJ67+EI68-ER67,IF(A68&lt;'Données projet'!$A$192,$EG$205^A68,IF(A68='Données projet'!$A$192,'Données projet'!$B$192,EJ67+EI68-ER67)))</f>
        <v>175.00000000000006</v>
      </c>
      <c r="EK68" s="18">
        <f>EJ68*VLOOKUP('Données projet'!$B$15,Paramètres!$A$1:$I$89,3,0)*VLOOKUP('Données projet'!$B$15,Paramètres!$A$1:$I$89,5,0)</f>
        <v>147.42000000000007</v>
      </c>
      <c r="EL68" s="14">
        <f t="shared" si="45"/>
        <v>37.991680647570327</v>
      </c>
      <c r="EM68" s="22">
        <f t="shared" ref="EM68:EM131" si="73">(EK68+EL68)*0.475*44/12</f>
        <v>322.92534379451837</v>
      </c>
      <c r="EN68" s="62">
        <f t="shared" ref="EN68:EN131" si="74">EM68+(EE68+EF68)*44/12</f>
        <v>586.86854991097357</v>
      </c>
      <c r="EO68" s="62">
        <f ca="1">AVERAGE(OFFSET($EN$3,0,0,'Données projet'!$E$15+1,1))-AVERAGE(OFFSET($H$3,0,0,'Données projet'!$E$15+1,1))</f>
        <v>346.97972840139914</v>
      </c>
      <c r="EP68" s="62">
        <f t="shared" si="46"/>
        <v>158.41433650660613</v>
      </c>
      <c r="EQ68" s="16">
        <f>IF(ISNA(VLOOKUP(A68,'Données projet'!$A$191:$I$211,3,0)),0,VLOOKUP(A68,'Données projet'!$A$191:$I$211,3,0))</f>
        <v>4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186</v>
      </c>
      <c r="FC68" s="13">
        <f>VLOOKUP(A68,'Données projet'!$A$217:$I$237,9,0)</f>
        <v>4.2</v>
      </c>
      <c r="FD68" s="13">
        <f t="array" ref="FD68">INDEX(FC:FC,MIN(IF(ISNUMBER(FC68:FC264),ROW(FC68:FC264),"")))</f>
        <v>4.2</v>
      </c>
      <c r="FE68" s="13">
        <f>IF('Données projet'!$A$218&gt;35,FE67+FD68-FM67,IF(A68&lt;'Données projet'!$A$218,$FB$205^A68,IF(A68='Données projet'!$A$218,'Données projet'!$B$218,FE67+FD68-FM67)))</f>
        <v>185.99999999999977</v>
      </c>
      <c r="FF68" s="18">
        <f>FE68*VLOOKUP('Données projet'!$B$16,Paramètres!$A$1:$I$89,3,0)*VLOOKUP('Données projet'!$B$16,Paramètres!$A$1:$I$89,5,0)</f>
        <v>121.86719999999985</v>
      </c>
      <c r="FG68" s="14">
        <f t="shared" si="47"/>
        <v>32.110100916567347</v>
      </c>
      <c r="FH68" s="22">
        <f t="shared" ref="FH68:FH131" si="76">(FF68+FG68)*0.475*44/12</f>
        <v>268.17713242968784</v>
      </c>
      <c r="FI68" s="62">
        <f t="shared" ref="FI68:FI131" si="77">FH68+(EZ68+FA68)*44/12</f>
        <v>532.1203385461431</v>
      </c>
      <c r="FJ68" s="62">
        <f ca="1">AVERAGE(OFFSET($FI$3,0,0,'Données projet'!$E$16+1,1))-AVERAGE(OFFSET($H$3,0,0,'Données projet'!$E$16+1,1))</f>
        <v>235.88453308732235</v>
      </c>
      <c r="FK68" s="62">
        <f t="shared" si="48"/>
        <v>220.72810812053521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33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198.63791999999995</v>
      </c>
      <c r="P69" s="14">
        <f t="shared" ref="P69:P132" si="87">EXP(-1.0587+0.8836*LN(O69)+0.284)</f>
        <v>49.444704816101329</v>
      </c>
      <c r="Q69" s="22">
        <f t="shared" si="54"/>
        <v>432.07723822137638</v>
      </c>
      <c r="R69" s="62">
        <f t="shared" si="55"/>
        <v>696.53029733856351</v>
      </c>
      <c r="S69" s="62">
        <f ca="1">AVERAGE(OFFSET($R$3,0,0,'Données projet'!$E$9+1,1))-AVERAGE(OFFSET($H$3,0,0,'Données projet'!$E$9+1,1))</f>
        <v>442.98179778678298</v>
      </c>
      <c r="T69" s="62">
        <f t="shared" ref="T69:T132" si="88">$T$3</f>
        <v>251.96153561746942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4.8</v>
      </c>
      <c r="AI69" s="14">
        <f>IF('Données projet'!$A$62&gt;35,AI68+AH69-AQ68,IF(A69&lt;'Données projet'!$A$62,$AF$205^A69,IF(A69='Données projet'!$A$62,'Données projet'!$B$62,AI68+AH69-AQ68)))</f>
        <v>217.80000000000007</v>
      </c>
      <c r="AJ69" s="14">
        <f>AI69*VLOOKUP('Données projet'!$B$10,Paramètres!$A$1:$I$89,3,0)*VLOOKUP('Données projet'!$B$10,Paramètres!$A$1:$I$89,5,0)</f>
        <v>142.70256000000003</v>
      </c>
      <c r="AK69" s="14">
        <f t="shared" ref="AK69:AK132" si="89">EXP(-1.0587+0.8836*LN(AJ69)+0.284)</f>
        <v>36.91543341153259</v>
      </c>
      <c r="AL69" s="22">
        <f t="shared" si="58"/>
        <v>312.83467185841931</v>
      </c>
      <c r="AM69" s="62">
        <f t="shared" si="59"/>
        <v>577.28773097560634</v>
      </c>
      <c r="AN69" s="62">
        <f ca="1">AVERAGE(OFFSET($AM$3,0,0,'Données projet'!$E$10+1,1))-AVERAGE(OFFSET($H$3,0,0,'Données projet'!$E$10+1,1))</f>
        <v>304.35088214287919</v>
      </c>
      <c r="AO69" s="62">
        <f t="shared" ref="AO69:AO132" si="90">$AO$3</f>
        <v>288.72611053217599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6.8589743589743621</v>
      </c>
      <c r="BD69" s="13">
        <f>IF('Données projet'!$A$88&gt;35,BD68+BC69-BL68,IF(A69&lt;'Données projet'!$A$88,$BA$205^A69,IF(A69='Données projet'!$A$88,'Données projet'!$B$88,BD68+BC69-BL68)))</f>
        <v>289.87179487179486</v>
      </c>
      <c r="BE69" s="14">
        <f>BD69*VLOOKUP('Données projet'!$B$11,Paramètres!$A$1:$I$89,3,0)*VLOOKUP('Données projet'!$B$11,Paramètres!$A$1:$I$89,5,0)</f>
        <v>185.40199999999999</v>
      </c>
      <c r="BF69" s="14">
        <f t="shared" ref="BF69:BF132" si="91">EXP(-1.0587+0.8836*LN(BE69)+0.284)</f>
        <v>46.521955519926529</v>
      </c>
      <c r="BG69" s="22">
        <f t="shared" si="61"/>
        <v>403.93422253053865</v>
      </c>
      <c r="BH69" s="62">
        <f t="shared" si="62"/>
        <v>668.38728164772579</v>
      </c>
      <c r="BI69" s="62">
        <f ca="1">AVERAGE(OFFSET($BH$3,0,0,'Données projet'!$E$11+1,1))-AVERAGE(OFFSET($H$3,0,0,'Données projet'!$E$11+1,1))</f>
        <v>285.09561428624352</v>
      </c>
      <c r="BJ69" s="62">
        <f t="shared" ref="BJ69:BJ132" si="92">$BJ$3</f>
        <v>261.05678516705564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-9.2222762759774927E-14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272.69564942740931</v>
      </c>
      <c r="CE69" s="62">
        <f t="shared" ref="CE69:CE132" si="94">$CE$3</f>
        <v>316.57989180609252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4.8</v>
      </c>
      <c r="CT69" s="13">
        <f>IF('Données projet'!$A$140&gt;35,CT68+CS69-DB68,IF(A69&lt;'Données projet'!$A$140,$CQ$205^A69,IF(A69='Données projet'!$A$140,'Données projet'!$B$140,CT68+CS69-DB68)))</f>
        <v>217.80000000000007</v>
      </c>
      <c r="CU69" s="18">
        <f>CT69*VLOOKUP('Données projet'!$B$13,Paramètres!$A$1:$I$89,3,0)*VLOOKUP('Données projet'!$B$13,Paramètres!$A$1:$I$89,5,0)</f>
        <v>142.70256000000003</v>
      </c>
      <c r="CV69" s="14">
        <f t="shared" ref="CV69:CV132" si="95">EXP(-1.0587+0.8836*LN(CU69)+0.284)</f>
        <v>36.91543341153259</v>
      </c>
      <c r="CW69" s="22">
        <f t="shared" si="67"/>
        <v>312.83467185841931</v>
      </c>
      <c r="CX69" s="62">
        <f t="shared" si="68"/>
        <v>577.28773097560634</v>
      </c>
      <c r="CY69" s="62">
        <f ca="1">AVERAGE(OFFSET($CX$3,0,0,'Données projet'!$E$13+1,1))-AVERAGE(OFFSET($H$3,0,0,'Données projet'!$E$13+1,1))</f>
        <v>304.35088214287919</v>
      </c>
      <c r="CZ69" s="62">
        <f t="shared" ref="CZ69:CZ132" si="96">$CZ$3</f>
        <v>288.72611053217599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1.1368683772161603E-13</v>
      </c>
      <c r="DP69" s="18">
        <f>DO69*VLOOKUP('Données projet'!$B$14,Paramètres!$A$1:$I$89,3,0)*VLOOKUP('Données projet'!$B$14,Paramètres!$A$1:$I$89,5,0)</f>
        <v>6.5620042732916778E-14</v>
      </c>
      <c r="DQ69" s="14">
        <f t="shared" ref="DQ69:DQ132" si="97">EXP(-1.0587+0.8836*LN(DP69)+0.284)</f>
        <v>1.0353460337118015E-12</v>
      </c>
      <c r="DR69" s="22">
        <f t="shared" si="70"/>
        <v>1.9175159164745509E-12</v>
      </c>
      <c r="DS69" s="62">
        <f t="shared" si="71"/>
        <v>264.45305911718901</v>
      </c>
      <c r="DT69" s="62">
        <f ca="1">AVERAGE(OFFSET($DS$3,0,0,'Données projet'!$E$14+1,1))-AVERAGE(OFFSET($H$3,0,0,'Données projet'!$E$14+1,1))</f>
        <v>172.86120068224633</v>
      </c>
      <c r="DU69" s="62">
        <f t="shared" ref="DU69:DU132" si="98">$DU$3</f>
        <v>269.4995727085078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</v>
      </c>
      <c r="EJ69" s="13">
        <f>IF('Données projet'!$A$192&gt;35,EJ68+EI69-ER68,IF(A69&lt;'Données projet'!$A$192,$EG$205^A69,IF(A69='Données projet'!$A$192,'Données projet'!$B$192,EJ68+EI69-ER68)))</f>
        <v>152.00000000000006</v>
      </c>
      <c r="EK69" s="18">
        <f>EJ69*VLOOKUP('Données projet'!$B$15,Paramètres!$A$1:$I$89,3,0)*VLOOKUP('Données projet'!$B$15,Paramètres!$A$1:$I$89,5,0)</f>
        <v>128.04480000000007</v>
      </c>
      <c r="EL69" s="14">
        <f t="shared" ref="EL69:EL132" si="99">EXP(-1.0587+0.8836*LN(EK69)+0.284)</f>
        <v>33.544172323452209</v>
      </c>
      <c r="EM69" s="22">
        <f t="shared" si="73"/>
        <v>281.43412679667938</v>
      </c>
      <c r="EN69" s="62">
        <f t="shared" si="74"/>
        <v>545.88718591386646</v>
      </c>
      <c r="EO69" s="62">
        <f ca="1">AVERAGE(OFFSET($EN$3,0,0,'Données projet'!$E$15+1,1))-AVERAGE(OFFSET($H$3,0,0,'Données projet'!$E$15+1,1))</f>
        <v>346.97972840139914</v>
      </c>
      <c r="EP69" s="62">
        <f t="shared" ref="EP69:EP132" si="100">$EP$3</f>
        <v>158.41433650660613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3.8</v>
      </c>
      <c r="FE69" s="13">
        <f>IF('Données projet'!$A$218&gt;35,FE68+FD69-FM68,IF(A69&lt;'Données projet'!$A$218,$FB$205^A69,IF(A69='Données projet'!$A$218,'Données projet'!$B$218,FE68+FD69-FM68)))</f>
        <v>156.79999999999978</v>
      </c>
      <c r="FF69" s="18">
        <f>FE69*VLOOKUP('Données projet'!$B$16,Paramètres!$A$1:$I$89,3,0)*VLOOKUP('Données projet'!$B$16,Paramètres!$A$1:$I$89,5,0)</f>
        <v>102.73535999999986</v>
      </c>
      <c r="FG69" s="14">
        <f t="shared" ref="FG69:FG132" si="101">EXP(-1.0587+0.8836*LN(FF69)+0.284)</f>
        <v>27.612632326356994</v>
      </c>
      <c r="FH69" s="22">
        <f t="shared" si="76"/>
        <v>227.02275330173816</v>
      </c>
      <c r="FI69" s="62">
        <f t="shared" si="77"/>
        <v>491.47581241892522</v>
      </c>
      <c r="FJ69" s="62">
        <f ca="1">AVERAGE(OFFSET($FI$3,0,0,'Données projet'!$E$16+1,1))-AVERAGE(OFFSET($H$3,0,0,'Données projet'!$E$16+1,1))</f>
        <v>235.88453308732235</v>
      </c>
      <c r="FK69" s="62">
        <f t="shared" ref="FK69:FK132" si="102">$FK$3</f>
        <v>220.72810812053521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204.36623999999995</v>
      </c>
      <c r="P70" s="14">
        <f t="shared" si="87"/>
        <v>50.702525713362093</v>
      </c>
      <c r="Q70" s="22">
        <f t="shared" si="54"/>
        <v>444.24476695077215</v>
      </c>
      <c r="R70" s="62">
        <f t="shared" si="55"/>
        <v>709.19883425898911</v>
      </c>
      <c r="S70" s="62">
        <f ca="1">AVERAGE(OFFSET($R$3,0,0,'Données projet'!$E$9+1,1))-AVERAGE(OFFSET($H$3,0,0,'Données projet'!$E$9+1,1))</f>
        <v>442.98179778678298</v>
      </c>
      <c r="T70" s="62">
        <f t="shared" si="88"/>
        <v>251.96153561746942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4.8</v>
      </c>
      <c r="AI70" s="14">
        <f>IF('Données projet'!$A$62&gt;35,AI69+AH70-AQ69,IF(A70&lt;'Données projet'!$A$62,$AF$205^A70,IF(A70='Données projet'!$A$62,'Données projet'!$B$62,AI69+AH70-AQ69)))</f>
        <v>222.60000000000008</v>
      </c>
      <c r="AJ70" s="14">
        <f>AI70*VLOOKUP('Données projet'!$B$10,Paramètres!$A$1:$I$89,3,0)*VLOOKUP('Données projet'!$B$10,Paramètres!$A$1:$I$89,5,0)</f>
        <v>145.84752000000006</v>
      </c>
      <c r="AK70" s="14">
        <f t="shared" si="89"/>
        <v>37.633383344887093</v>
      </c>
      <c r="AL70" s="22">
        <f t="shared" si="58"/>
        <v>319.56257332567844</v>
      </c>
      <c r="AM70" s="62">
        <f t="shared" si="59"/>
        <v>584.51664063389535</v>
      </c>
      <c r="AN70" s="62">
        <f ca="1">AVERAGE(OFFSET($AM$3,0,0,'Données projet'!$E$10+1,1))-AVERAGE(OFFSET($H$3,0,0,'Données projet'!$E$10+1,1))</f>
        <v>304.35088214287919</v>
      </c>
      <c r="AO70" s="62">
        <f t="shared" si="90"/>
        <v>288.72611053217599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6.8589743589743621</v>
      </c>
      <c r="BD70" s="13">
        <f>IF('Données projet'!$A$88&gt;35,BD69+BC70-BL69,IF(A70&lt;'Données projet'!$A$88,$BA$205^A70,IF(A70='Données projet'!$A$88,'Données projet'!$B$88,BD69+BC70-BL69)))</f>
        <v>296.73076923076923</v>
      </c>
      <c r="BE70" s="14">
        <f>BD70*VLOOKUP('Données projet'!$B$11,Paramètres!$A$1:$I$89,3,0)*VLOOKUP('Données projet'!$B$11,Paramètres!$A$1:$I$89,5,0)</f>
        <v>189.78899999999999</v>
      </c>
      <c r="BF70" s="14">
        <f t="shared" si="91"/>
        <v>47.49330073075005</v>
      </c>
      <c r="BG70" s="22">
        <f t="shared" si="61"/>
        <v>413.26667377272298</v>
      </c>
      <c r="BH70" s="62">
        <f t="shared" si="62"/>
        <v>678.22074108093989</v>
      </c>
      <c r="BI70" s="62">
        <f ca="1">AVERAGE(OFFSET($BH$3,0,0,'Données projet'!$E$11+1,1))-AVERAGE(OFFSET($H$3,0,0,'Données projet'!$E$11+1,1))</f>
        <v>285.09561428624352</v>
      </c>
      <c r="BJ70" s="62">
        <f t="shared" si="92"/>
        <v>261.05678516705564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-9.2222762759774927E-14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272.69564942740931</v>
      </c>
      <c r="CE70" s="62">
        <f t="shared" si="94"/>
        <v>316.57989180609252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4.8</v>
      </c>
      <c r="CT70" s="13">
        <f>IF('Données projet'!$A$140&gt;35,CT69+CS70-DB69,IF(A70&lt;'Données projet'!$A$140,$CQ$205^A70,IF(A70='Données projet'!$A$140,'Données projet'!$B$140,CT69+CS70-DB69)))</f>
        <v>222.60000000000008</v>
      </c>
      <c r="CU70" s="18">
        <f>CT70*VLOOKUP('Données projet'!$B$13,Paramètres!$A$1:$I$89,3,0)*VLOOKUP('Données projet'!$B$13,Paramètres!$A$1:$I$89,5,0)</f>
        <v>145.84752000000006</v>
      </c>
      <c r="CV70" s="14">
        <f t="shared" si="95"/>
        <v>37.633383344887093</v>
      </c>
      <c r="CW70" s="22">
        <f t="shared" si="67"/>
        <v>319.56257332567844</v>
      </c>
      <c r="CX70" s="62">
        <f t="shared" si="68"/>
        <v>584.51664063389535</v>
      </c>
      <c r="CY70" s="62">
        <f ca="1">AVERAGE(OFFSET($CX$3,0,0,'Données projet'!$E$13+1,1))-AVERAGE(OFFSET($H$3,0,0,'Données projet'!$E$13+1,1))</f>
        <v>304.35088214287919</v>
      </c>
      <c r="CZ70" s="62">
        <f t="shared" si="96"/>
        <v>288.72611053217599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1.1368683772161603E-13</v>
      </c>
      <c r="DP70" s="18">
        <f>DO70*VLOOKUP('Données projet'!$B$14,Paramètres!$A$1:$I$89,3,0)*VLOOKUP('Données projet'!$B$14,Paramètres!$A$1:$I$89,5,0)</f>
        <v>6.5620042732916778E-14</v>
      </c>
      <c r="DQ70" s="14">
        <f t="shared" si="97"/>
        <v>1.0353460337118015E-12</v>
      </c>
      <c r="DR70" s="22">
        <f t="shared" si="70"/>
        <v>1.9175159164745509E-12</v>
      </c>
      <c r="DS70" s="62">
        <f t="shared" si="71"/>
        <v>264.95406730821884</v>
      </c>
      <c r="DT70" s="62">
        <f ca="1">AVERAGE(OFFSET($DS$3,0,0,'Données projet'!$E$14+1,1))-AVERAGE(OFFSET($H$3,0,0,'Données projet'!$E$14+1,1))</f>
        <v>172.86120068224633</v>
      </c>
      <c r="DU70" s="62">
        <f t="shared" si="98"/>
        <v>269.4995727085078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</v>
      </c>
      <c r="EJ70" s="13">
        <f>IF('Données projet'!$A$192&gt;35,EJ69+EI70-ER69,IF(A70&lt;'Données projet'!$A$192,$EG$205^A70,IF(A70='Données projet'!$A$192,'Données projet'!$B$192,EJ69+EI70-ER69)))</f>
        <v>157.00000000000006</v>
      </c>
      <c r="EK70" s="18">
        <f>EJ70*VLOOKUP('Données projet'!$B$15,Paramètres!$A$1:$I$89,3,0)*VLOOKUP('Données projet'!$B$15,Paramètres!$A$1:$I$89,5,0)</f>
        <v>132.25680000000006</v>
      </c>
      <c r="EL70" s="14">
        <f t="shared" si="99"/>
        <v>34.517316045318587</v>
      </c>
      <c r="EM70" s="22">
        <f t="shared" si="73"/>
        <v>290.46491877892998</v>
      </c>
      <c r="EN70" s="62">
        <f t="shared" si="74"/>
        <v>555.41898608714689</v>
      </c>
      <c r="EO70" s="62">
        <f ca="1">AVERAGE(OFFSET($EN$3,0,0,'Données projet'!$E$15+1,1))-AVERAGE(OFFSET($H$3,0,0,'Données projet'!$E$15+1,1))</f>
        <v>346.97972840139914</v>
      </c>
      <c r="EP70" s="62">
        <f t="shared" si="100"/>
        <v>158.41433650660613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3.8</v>
      </c>
      <c r="FE70" s="13">
        <f>IF('Données projet'!$A$218&gt;35,FE69+FD70-FM69,IF(A70&lt;'Données projet'!$A$218,$FB$205^A70,IF(A70='Données projet'!$A$218,'Données projet'!$B$218,FE69+FD70-FM69)))</f>
        <v>160.5999999999998</v>
      </c>
      <c r="FF70" s="18">
        <f>FE70*VLOOKUP('Données projet'!$B$16,Paramètres!$A$1:$I$89,3,0)*VLOOKUP('Données projet'!$B$16,Paramètres!$A$1:$I$89,5,0)</f>
        <v>105.22511999999986</v>
      </c>
      <c r="FG70" s="14">
        <f t="shared" si="101"/>
        <v>28.203096471199668</v>
      </c>
      <c r="FH70" s="22">
        <f t="shared" si="76"/>
        <v>232.38747702067249</v>
      </c>
      <c r="FI70" s="62">
        <f t="shared" si="77"/>
        <v>497.34154432888943</v>
      </c>
      <c r="FJ70" s="62">
        <f ca="1">AVERAGE(OFFSET($FI$3,0,0,'Données projet'!$E$16+1,1))-AVERAGE(OFFSET($H$3,0,0,'Données projet'!$E$16+1,1))</f>
        <v>235.88453308732235</v>
      </c>
      <c r="FK70" s="62">
        <f t="shared" si="102"/>
        <v>220.72810812053521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210.09456</v>
      </c>
      <c r="P71" s="14">
        <f t="shared" si="87"/>
        <v>51.956248895959689</v>
      </c>
      <c r="Q71" s="22">
        <f t="shared" si="54"/>
        <v>456.40515882712975</v>
      </c>
      <c r="R71" s="62">
        <f t="shared" si="55"/>
        <v>721.85154295434859</v>
      </c>
      <c r="S71" s="62">
        <f ca="1">AVERAGE(OFFSET($R$3,0,0,'Données projet'!$E$9+1,1))-AVERAGE(OFFSET($H$3,0,0,'Données projet'!$E$9+1,1))</f>
        <v>442.98179778678298</v>
      </c>
      <c r="T71" s="62">
        <f t="shared" si="88"/>
        <v>251.96153561746942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4.8</v>
      </c>
      <c r="AI71" s="14">
        <f>IF('Données projet'!$A$62&gt;35,AI70+AH71-AQ70,IF(A71&lt;'Données projet'!$A$62,$AF$205^A71,IF(A71='Données projet'!$A$62,'Données projet'!$B$62,AI70+AH71-AQ70)))</f>
        <v>227.40000000000009</v>
      </c>
      <c r="AJ71" s="14">
        <f>AI71*VLOOKUP('Données projet'!$B$10,Paramètres!$A$1:$I$89,3,0)*VLOOKUP('Données projet'!$B$10,Paramètres!$A$1:$I$89,5,0)</f>
        <v>148.99248000000006</v>
      </c>
      <c r="AK71" s="14">
        <f t="shared" si="89"/>
        <v>38.349533355462334</v>
      </c>
      <c r="AL71" s="22">
        <f t="shared" si="58"/>
        <v>326.28733992743037</v>
      </c>
      <c r="AM71" s="62">
        <f t="shared" si="59"/>
        <v>591.7337240546492</v>
      </c>
      <c r="AN71" s="62">
        <f ca="1">AVERAGE(OFFSET($AM$3,0,0,'Données projet'!$E$10+1,1))-AVERAGE(OFFSET($H$3,0,0,'Données projet'!$E$10+1,1))</f>
        <v>304.35088214287919</v>
      </c>
      <c r="AO71" s="62">
        <f t="shared" si="90"/>
        <v>288.72611053217599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6.8589743589743621</v>
      </c>
      <c r="BD71" s="13">
        <f>IF('Données projet'!$A$88&gt;35,BD70+BC71-BL70,IF(A71&lt;'Données projet'!$A$88,$BA$205^A71,IF(A71='Données projet'!$A$88,'Données projet'!$B$88,BD70+BC71-BL70)))</f>
        <v>303.58974358974359</v>
      </c>
      <c r="BE71" s="14">
        <f>BD71*VLOOKUP('Données projet'!$B$11,Paramètres!$A$1:$I$89,3,0)*VLOOKUP('Données projet'!$B$11,Paramètres!$A$1:$I$89,5,0)</f>
        <v>194.17600000000002</v>
      </c>
      <c r="BF71" s="14">
        <f t="shared" si="91"/>
        <v>48.462035704629443</v>
      </c>
      <c r="BG71" s="22">
        <f t="shared" si="61"/>
        <v>422.59457885222963</v>
      </c>
      <c r="BH71" s="62">
        <f t="shared" si="62"/>
        <v>688.04096297944852</v>
      </c>
      <c r="BI71" s="62">
        <f ca="1">AVERAGE(OFFSET($BH$3,0,0,'Données projet'!$E$11+1,1))-AVERAGE(OFFSET($H$3,0,0,'Données projet'!$E$11+1,1))</f>
        <v>285.09561428624352</v>
      </c>
      <c r="BJ71" s="62">
        <f t="shared" si="92"/>
        <v>261.05678516705564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-9.2222762759774927E-14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272.69564942740931</v>
      </c>
      <c r="CE71" s="62">
        <f t="shared" si="94"/>
        <v>316.57989180609252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4.8</v>
      </c>
      <c r="CT71" s="13">
        <f>IF('Données projet'!$A$140&gt;35,CT70+CS71-DB70,IF(A71&lt;'Données projet'!$A$140,$CQ$205^A71,IF(A71='Données projet'!$A$140,'Données projet'!$B$140,CT70+CS71-DB70)))</f>
        <v>227.40000000000009</v>
      </c>
      <c r="CU71" s="18">
        <f>CT71*VLOOKUP('Données projet'!$B$13,Paramètres!$A$1:$I$89,3,0)*VLOOKUP('Données projet'!$B$13,Paramètres!$A$1:$I$89,5,0)</f>
        <v>148.99248000000006</v>
      </c>
      <c r="CV71" s="14">
        <f t="shared" si="95"/>
        <v>38.349533355462334</v>
      </c>
      <c r="CW71" s="22">
        <f t="shared" si="67"/>
        <v>326.28733992743037</v>
      </c>
      <c r="CX71" s="62">
        <f t="shared" si="68"/>
        <v>591.7337240546492</v>
      </c>
      <c r="CY71" s="62">
        <f ca="1">AVERAGE(OFFSET($CX$3,0,0,'Données projet'!$E$13+1,1))-AVERAGE(OFFSET($H$3,0,0,'Données projet'!$E$13+1,1))</f>
        <v>304.35088214287919</v>
      </c>
      <c r="CZ71" s="62">
        <f t="shared" si="96"/>
        <v>288.72611053217599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1.1368683772161603E-13</v>
      </c>
      <c r="DP71" s="18">
        <f>DO71*VLOOKUP('Données projet'!$B$14,Paramètres!$A$1:$I$89,3,0)*VLOOKUP('Données projet'!$B$14,Paramètres!$A$1:$I$89,5,0)</f>
        <v>6.5620042732916778E-14</v>
      </c>
      <c r="DQ71" s="14">
        <f t="shared" si="97"/>
        <v>1.0353460337118015E-12</v>
      </c>
      <c r="DR71" s="22">
        <f t="shared" si="70"/>
        <v>1.9175159164745509E-12</v>
      </c>
      <c r="DS71" s="62">
        <f t="shared" si="71"/>
        <v>265.44638412722077</v>
      </c>
      <c r="DT71" s="62">
        <f ca="1">AVERAGE(OFFSET($DS$3,0,0,'Données projet'!$E$14+1,1))-AVERAGE(OFFSET($H$3,0,0,'Données projet'!$E$14+1,1))</f>
        <v>172.86120068224633</v>
      </c>
      <c r="DU71" s="62">
        <f t="shared" si="98"/>
        <v>269.4995727085078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</v>
      </c>
      <c r="EJ71" s="13">
        <f>IF('Données projet'!$A$192&gt;35,EJ70+EI71-ER70,IF(A71&lt;'Données projet'!$A$192,$EG$205^A71,IF(A71='Données projet'!$A$192,'Données projet'!$B$192,EJ70+EI71-ER70)))</f>
        <v>162.00000000000006</v>
      </c>
      <c r="EK71" s="18">
        <f>EJ71*VLOOKUP('Données projet'!$B$15,Paramètres!$A$1:$I$89,3,0)*VLOOKUP('Données projet'!$B$15,Paramètres!$A$1:$I$89,5,0)</f>
        <v>136.46880000000004</v>
      </c>
      <c r="EL71" s="14">
        <f t="shared" si="99"/>
        <v>35.486858352195902</v>
      </c>
      <c r="EM71" s="22">
        <f t="shared" si="73"/>
        <v>299.48943829674124</v>
      </c>
      <c r="EN71" s="62">
        <f t="shared" si="74"/>
        <v>564.93582242396008</v>
      </c>
      <c r="EO71" s="62">
        <f ca="1">AVERAGE(OFFSET($EN$3,0,0,'Données projet'!$E$15+1,1))-AVERAGE(OFFSET($H$3,0,0,'Données projet'!$E$15+1,1))</f>
        <v>346.97972840139914</v>
      </c>
      <c r="EP71" s="62">
        <f t="shared" si="100"/>
        <v>158.41433650660613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3.8</v>
      </c>
      <c r="FE71" s="13">
        <f>IF('Données projet'!$A$218&gt;35,FE70+FD71-FM70,IF(A71&lt;'Données projet'!$A$218,$FB$205^A71,IF(A71='Données projet'!$A$218,'Données projet'!$B$218,FE70+FD71-FM70)))</f>
        <v>164.39999999999981</v>
      </c>
      <c r="FF71" s="18">
        <f>FE71*VLOOKUP('Données projet'!$B$16,Paramètres!$A$1:$I$89,3,0)*VLOOKUP('Données projet'!$B$16,Paramètres!$A$1:$I$89,5,0)</f>
        <v>107.71487999999988</v>
      </c>
      <c r="FG71" s="14">
        <f t="shared" si="101"/>
        <v>28.791936453559583</v>
      </c>
      <c r="FH71" s="22">
        <f t="shared" si="76"/>
        <v>237.74937198994937</v>
      </c>
      <c r="FI71" s="62">
        <f t="shared" si="77"/>
        <v>503.19575611716823</v>
      </c>
      <c r="FJ71" s="62">
        <f ca="1">AVERAGE(OFFSET($FI$3,0,0,'Données projet'!$E$16+1,1))-AVERAGE(OFFSET($H$3,0,0,'Données projet'!$E$16+1,1))</f>
        <v>235.88453308732235</v>
      </c>
      <c r="FK71" s="62">
        <f t="shared" si="102"/>
        <v>220.72810812053521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215.82287999999997</v>
      </c>
      <c r="P72" s="14">
        <f t="shared" si="87"/>
        <v>53.205998928315829</v>
      </c>
      <c r="Q72" s="22">
        <f t="shared" si="54"/>
        <v>468.55863080015001</v>
      </c>
      <c r="R72" s="62">
        <f t="shared" si="55"/>
        <v>734.48879115021657</v>
      </c>
      <c r="S72" s="62">
        <f ca="1">AVERAGE(OFFSET($R$3,0,0,'Données projet'!$E$9+1,1))-AVERAGE(OFFSET($H$3,0,0,'Données projet'!$E$9+1,1))</f>
        <v>442.98179778678298</v>
      </c>
      <c r="T72" s="62">
        <f t="shared" si="88"/>
        <v>251.96153561746942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4.8</v>
      </c>
      <c r="AI72" s="14">
        <f>IF('Données projet'!$A$62&gt;35,AI71+AH72-AQ71,IF(A72&lt;'Données projet'!$A$62,$AF$205^A72,IF(A72='Données projet'!$A$62,'Données projet'!$B$62,AI71+AH72-AQ71)))</f>
        <v>232.2000000000001</v>
      </c>
      <c r="AJ72" s="14">
        <f>AI72*VLOOKUP('Données projet'!$B$10,Paramètres!$A$1:$I$89,3,0)*VLOOKUP('Données projet'!$B$10,Paramètres!$A$1:$I$89,5,0)</f>
        <v>152.13744000000008</v>
      </c>
      <c r="AK72" s="14">
        <f t="shared" si="89"/>
        <v>39.063925813036128</v>
      </c>
      <c r="AL72" s="22">
        <f t="shared" si="58"/>
        <v>333.0090454577047</v>
      </c>
      <c r="AM72" s="62">
        <f t="shared" si="59"/>
        <v>598.93920580777126</v>
      </c>
      <c r="AN72" s="62">
        <f ca="1">AVERAGE(OFFSET($AM$3,0,0,'Données projet'!$E$10+1,1))-AVERAGE(OFFSET($H$3,0,0,'Données projet'!$E$10+1,1))</f>
        <v>304.35088214287919</v>
      </c>
      <c r="AO72" s="62">
        <f t="shared" si="90"/>
        <v>288.72611053217599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6.8589743589743621</v>
      </c>
      <c r="BD72" s="13">
        <f>IF('Données projet'!$A$88&gt;35,BD71+BC72-BL71,IF(A72&lt;'Données projet'!$A$88,$BA$205^A72,IF(A72='Données projet'!$A$88,'Données projet'!$B$88,BD71+BC72-BL71)))</f>
        <v>310.44871794871796</v>
      </c>
      <c r="BE72" s="14">
        <f>BD72*VLOOKUP('Données projet'!$B$11,Paramètres!$A$1:$I$89,3,0)*VLOOKUP('Données projet'!$B$11,Paramètres!$A$1:$I$89,5,0)</f>
        <v>198.56299999999999</v>
      </c>
      <c r="BF72" s="14">
        <f t="shared" si="91"/>
        <v>49.428226203650105</v>
      </c>
      <c r="BG72" s="22">
        <f t="shared" si="61"/>
        <v>431.91805230469055</v>
      </c>
      <c r="BH72" s="62">
        <f t="shared" si="62"/>
        <v>697.84821265475716</v>
      </c>
      <c r="BI72" s="62">
        <f ca="1">AVERAGE(OFFSET($BH$3,0,0,'Données projet'!$E$11+1,1))-AVERAGE(OFFSET($H$3,0,0,'Données projet'!$E$11+1,1))</f>
        <v>285.09561428624352</v>
      </c>
      <c r="BJ72" s="62">
        <f t="shared" si="92"/>
        <v>261.05678516705564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-9.2222762759774927E-14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272.69564942740931</v>
      </c>
      <c r="CE72" s="62">
        <f t="shared" si="94"/>
        <v>316.57989180609252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4.8</v>
      </c>
      <c r="CT72" s="13">
        <f>IF('Données projet'!$A$140&gt;35,CT71+CS72-DB71,IF(A72&lt;'Données projet'!$A$140,$CQ$205^A72,IF(A72='Données projet'!$A$140,'Données projet'!$B$140,CT71+CS72-DB71)))</f>
        <v>232.2000000000001</v>
      </c>
      <c r="CU72" s="18">
        <f>CT72*VLOOKUP('Données projet'!$B$13,Paramètres!$A$1:$I$89,3,0)*VLOOKUP('Données projet'!$B$13,Paramètres!$A$1:$I$89,5,0)</f>
        <v>152.13744000000008</v>
      </c>
      <c r="CV72" s="14">
        <f t="shared" si="95"/>
        <v>39.063925813036128</v>
      </c>
      <c r="CW72" s="22">
        <f t="shared" si="67"/>
        <v>333.0090454577047</v>
      </c>
      <c r="CX72" s="62">
        <f t="shared" si="68"/>
        <v>598.93920580777126</v>
      </c>
      <c r="CY72" s="62">
        <f ca="1">AVERAGE(OFFSET($CX$3,0,0,'Données projet'!$E$13+1,1))-AVERAGE(OFFSET($H$3,0,0,'Données projet'!$E$13+1,1))</f>
        <v>304.35088214287919</v>
      </c>
      <c r="CZ72" s="62">
        <f t="shared" si="96"/>
        <v>288.72611053217599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1.1368683772161603E-13</v>
      </c>
      <c r="DP72" s="18">
        <f>DO72*VLOOKUP('Données projet'!$B$14,Paramètres!$A$1:$I$89,3,0)*VLOOKUP('Données projet'!$B$14,Paramètres!$A$1:$I$89,5,0)</f>
        <v>6.5620042732916778E-14</v>
      </c>
      <c r="DQ72" s="14">
        <f t="shared" si="97"/>
        <v>1.0353460337118015E-12</v>
      </c>
      <c r="DR72" s="22">
        <f t="shared" si="70"/>
        <v>1.9175159164745509E-12</v>
      </c>
      <c r="DS72" s="62">
        <f t="shared" si="71"/>
        <v>265.93016035006849</v>
      </c>
      <c r="DT72" s="62">
        <f ca="1">AVERAGE(OFFSET($DS$3,0,0,'Données projet'!$E$14+1,1))-AVERAGE(OFFSET($H$3,0,0,'Données projet'!$E$14+1,1))</f>
        <v>172.86120068224633</v>
      </c>
      <c r="DU72" s="62">
        <f t="shared" si="98"/>
        <v>269.4995727085078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</v>
      </c>
      <c r="EJ72" s="13">
        <f>IF('Données projet'!$A$192&gt;35,EJ71+EI72-ER71,IF(A72&lt;'Données projet'!$A$192,$EG$205^A72,IF(A72='Données projet'!$A$192,'Données projet'!$B$192,EJ71+EI72-ER71)))</f>
        <v>167.00000000000006</v>
      </c>
      <c r="EK72" s="18">
        <f>EJ72*VLOOKUP('Données projet'!$B$15,Paramètres!$A$1:$I$89,3,0)*VLOOKUP('Données projet'!$B$15,Paramètres!$A$1:$I$89,5,0)</f>
        <v>140.68080000000006</v>
      </c>
      <c r="EL72" s="14">
        <f t="shared" si="99"/>
        <v>36.452923154553893</v>
      </c>
      <c r="EM72" s="22">
        <f t="shared" si="73"/>
        <v>308.50790116084818</v>
      </c>
      <c r="EN72" s="62">
        <f t="shared" si="74"/>
        <v>574.43806151091474</v>
      </c>
      <c r="EO72" s="62">
        <f ca="1">AVERAGE(OFFSET($EN$3,0,0,'Données projet'!$E$15+1,1))-AVERAGE(OFFSET($H$3,0,0,'Données projet'!$E$15+1,1))</f>
        <v>346.97972840139914</v>
      </c>
      <c r="EP72" s="62">
        <f t="shared" si="100"/>
        <v>158.41433650660613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3.8</v>
      </c>
      <c r="FE72" s="13">
        <f>IF('Données projet'!$A$218&gt;35,FE71+FD72-FM71,IF(A72&lt;'Données projet'!$A$218,$FB$205^A72,IF(A72='Données projet'!$A$218,'Données projet'!$B$218,FE71+FD72-FM71)))</f>
        <v>168.19999999999982</v>
      </c>
      <c r="FF72" s="18">
        <f>FE72*VLOOKUP('Données projet'!$B$16,Paramètres!$A$1:$I$89,3,0)*VLOOKUP('Données projet'!$B$16,Paramètres!$A$1:$I$89,5,0)</f>
        <v>110.20463999999988</v>
      </c>
      <c r="FG72" s="14">
        <f t="shared" si="101"/>
        <v>29.379194135935805</v>
      </c>
      <c r="FH72" s="22">
        <f t="shared" si="76"/>
        <v>243.10851112008797</v>
      </c>
      <c r="FI72" s="62">
        <f t="shared" si="77"/>
        <v>509.03867147015455</v>
      </c>
      <c r="FJ72" s="62">
        <f ca="1">AVERAGE(OFFSET($FI$3,0,0,'Données projet'!$E$16+1,1))-AVERAGE(OFFSET($H$3,0,0,'Données projet'!$E$16+1,1))</f>
        <v>235.88453308732235</v>
      </c>
      <c r="FK72" s="62">
        <f t="shared" si="102"/>
        <v>220.72810812053521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221.55119999999997</v>
      </c>
      <c r="P73" s="14">
        <f t="shared" si="87"/>
        <v>54.451893386016494</v>
      </c>
      <c r="Q73" s="22">
        <f t="shared" si="54"/>
        <v>480.70538764731208</v>
      </c>
      <c r="R73" s="62">
        <f t="shared" si="55"/>
        <v>747.11093178432156</v>
      </c>
      <c r="S73" s="62">
        <f ca="1">AVERAGE(OFFSET($R$3,0,0,'Données projet'!$E$9+1,1))-AVERAGE(OFFSET($H$3,0,0,'Données projet'!$E$9+1,1))</f>
        <v>442.98179778678298</v>
      </c>
      <c r="T73" s="62">
        <f t="shared" si="88"/>
        <v>251.96153561746942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237</v>
      </c>
      <c r="AG73" s="13">
        <f>VLOOKUP(A73,'Données projet'!$A$61:$I$81,9,0)</f>
        <v>4.8</v>
      </c>
      <c r="AH73" s="13">
        <f t="array" ref="AH73">INDEX(AG:AG,MIN(IF(ISNUMBER(AG73:AG269),ROW(AG73:AG269),"")))</f>
        <v>4.8</v>
      </c>
      <c r="AI73" s="14">
        <f>IF('Données projet'!$A$62&gt;35,AI72+AH73-AQ72,IF(A73&lt;'Données projet'!$A$62,$AF$205^A73,IF(A73='Données projet'!$A$62,'Données projet'!$B$62,AI72+AH73-AQ72)))</f>
        <v>237.00000000000011</v>
      </c>
      <c r="AJ73" s="14">
        <f>AI73*VLOOKUP('Données projet'!$B$10,Paramètres!$A$1:$I$89,3,0)*VLOOKUP('Données projet'!$B$10,Paramètres!$A$1:$I$89,5,0)</f>
        <v>155.28240000000008</v>
      </c>
      <c r="AK73" s="14">
        <f t="shared" si="89"/>
        <v>39.776601235546444</v>
      </c>
      <c r="AL73" s="22">
        <f t="shared" si="58"/>
        <v>339.72776048524355</v>
      </c>
      <c r="AM73" s="62">
        <f t="shared" si="59"/>
        <v>606.13330462225304</v>
      </c>
      <c r="AN73" s="62">
        <f ca="1">AVERAGE(OFFSET($AM$3,0,0,'Données projet'!$E$10+1,1))-AVERAGE(OFFSET($H$3,0,0,'Données projet'!$E$10+1,1))</f>
        <v>304.35088214287919</v>
      </c>
      <c r="AO73" s="62">
        <f t="shared" si="90"/>
        <v>288.72611053217599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317.30769230769232</v>
      </c>
      <c r="BB73" s="13">
        <f>VLOOKUP(A73,'Données projet'!$A$87:$I$107,9,0)</f>
        <v>6.8589743589743621</v>
      </c>
      <c r="BC73" s="13">
        <f t="array" ref="BC73">INDEX(BB:BB,MIN(IF(ISNUMBER(BB73:BB269),ROW(BB73:BB269),"")))</f>
        <v>6.8589743589743621</v>
      </c>
      <c r="BD73" s="13">
        <f>IF('Données projet'!$A$88&gt;35,BD72+BC73-BL72,IF(A73&lt;'Données projet'!$A$88,$BA$205^A73,IF(A73='Données projet'!$A$88,'Données projet'!$B$88,BD72+BC73-BL72)))</f>
        <v>317.30769230769232</v>
      </c>
      <c r="BE73" s="14">
        <f>BD73*VLOOKUP('Données projet'!$B$11,Paramètres!$A$1:$I$89,3,0)*VLOOKUP('Données projet'!$B$11,Paramètres!$A$1:$I$89,5,0)</f>
        <v>202.95</v>
      </c>
      <c r="BF73" s="14">
        <f t="shared" si="91"/>
        <v>50.391934918114686</v>
      </c>
      <c r="BG73" s="22">
        <f t="shared" si="61"/>
        <v>441.23720331571639</v>
      </c>
      <c r="BH73" s="62">
        <f t="shared" si="62"/>
        <v>707.64274745272587</v>
      </c>
      <c r="BI73" s="62">
        <f ca="1">AVERAGE(OFFSET($BH$3,0,0,'Données projet'!$E$11+1,1))-AVERAGE(OFFSET($H$3,0,0,'Données projet'!$E$11+1,1))</f>
        <v>285.09561428624352</v>
      </c>
      <c r="BJ73" s="62">
        <f t="shared" si="92"/>
        <v>261.05678516705564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-9.2222762759774927E-14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272.69564942740931</v>
      </c>
      <c r="CE73" s="62">
        <f t="shared" si="94"/>
        <v>316.57989180609252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237</v>
      </c>
      <c r="CR73" s="13">
        <f>VLOOKUP(A73,'Données projet'!$A$139:$I$159,9,0)</f>
        <v>4.8</v>
      </c>
      <c r="CS73" s="13">
        <f t="array" ref="CS73">INDEX(CR:CR,MIN(IF(ISNUMBER(CR73:CR269),ROW(CR73:CR269),"")))</f>
        <v>4.8</v>
      </c>
      <c r="CT73" s="13">
        <f>IF('Données projet'!$A$140&gt;35,CT72+CS73-DB72,IF(A73&lt;'Données projet'!$A$140,$CQ$205^A73,IF(A73='Données projet'!$A$140,'Données projet'!$B$140,CT72+CS73-DB72)))</f>
        <v>237.00000000000011</v>
      </c>
      <c r="CU73" s="18">
        <f>CT73*VLOOKUP('Données projet'!$B$13,Paramètres!$A$1:$I$89,3,0)*VLOOKUP('Données projet'!$B$13,Paramètres!$A$1:$I$89,5,0)</f>
        <v>155.28240000000008</v>
      </c>
      <c r="CV73" s="14">
        <f t="shared" si="95"/>
        <v>39.776601235546444</v>
      </c>
      <c r="CW73" s="22">
        <f t="shared" si="67"/>
        <v>339.72776048524355</v>
      </c>
      <c r="CX73" s="62">
        <f t="shared" si="68"/>
        <v>606.13330462225304</v>
      </c>
      <c r="CY73" s="62">
        <f ca="1">AVERAGE(OFFSET($CX$3,0,0,'Données projet'!$E$13+1,1))-AVERAGE(OFFSET($H$3,0,0,'Données projet'!$E$13+1,1))</f>
        <v>304.35088214287919</v>
      </c>
      <c r="CZ73" s="62">
        <f t="shared" si="96"/>
        <v>288.72611053217599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1.1368683772161603E-13</v>
      </c>
      <c r="DP73" s="18">
        <f>DO73*VLOOKUP('Données projet'!$B$14,Paramètres!$A$1:$I$89,3,0)*VLOOKUP('Données projet'!$B$14,Paramètres!$A$1:$I$89,5,0)</f>
        <v>6.5620042732916778E-14</v>
      </c>
      <c r="DQ73" s="14">
        <f t="shared" si="97"/>
        <v>1.0353460337118015E-12</v>
      </c>
      <c r="DR73" s="22">
        <f t="shared" si="70"/>
        <v>1.9175159164745509E-12</v>
      </c>
      <c r="DS73" s="62">
        <f t="shared" si="71"/>
        <v>266.40554413701142</v>
      </c>
      <c r="DT73" s="62">
        <f ca="1">AVERAGE(OFFSET($DS$3,0,0,'Données projet'!$E$14+1,1))-AVERAGE(OFFSET($H$3,0,0,'Données projet'!$E$14+1,1))</f>
        <v>172.86120068224633</v>
      </c>
      <c r="DU73" s="62">
        <f t="shared" si="98"/>
        <v>269.4995727085078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172</v>
      </c>
      <c r="EH73" s="13">
        <f>VLOOKUP(A73,'Données projet'!$A$191:$I$211,9,0)</f>
        <v>5</v>
      </c>
      <c r="EI73" s="13">
        <f t="array" ref="EI73">INDEX(EH:EH,MIN(IF(ISNUMBER(EH73:EH269),ROW(EH73:EH269),"")))</f>
        <v>5</v>
      </c>
      <c r="EJ73" s="13">
        <f>IF('Données projet'!$A$192&gt;35,EJ72+EI73-ER72,IF(A73&lt;'Données projet'!$A$192,$EG$205^A73,IF(A73='Données projet'!$A$192,'Données projet'!$B$192,EJ72+EI73-ER72)))</f>
        <v>172.00000000000006</v>
      </c>
      <c r="EK73" s="18">
        <f>EJ73*VLOOKUP('Données projet'!$B$15,Paramètres!$A$1:$I$89,3,0)*VLOOKUP('Données projet'!$B$15,Paramètres!$A$1:$I$89,5,0)</f>
        <v>144.89280000000005</v>
      </c>
      <c r="EL73" s="14">
        <f t="shared" si="99"/>
        <v>37.415626521357709</v>
      </c>
      <c r="EM73" s="22">
        <f t="shared" si="73"/>
        <v>317.52050952469813</v>
      </c>
      <c r="EN73" s="62">
        <f t="shared" si="74"/>
        <v>583.92605366170756</v>
      </c>
      <c r="EO73" s="62">
        <f ca="1">AVERAGE(OFFSET($EN$3,0,0,'Données projet'!$E$15+1,1))-AVERAGE(OFFSET($H$3,0,0,'Données projet'!$E$15+1,1))</f>
        <v>346.97972840139914</v>
      </c>
      <c r="EP73" s="62">
        <f t="shared" si="100"/>
        <v>158.41433650660613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172</v>
      </c>
      <c r="FC73" s="13">
        <f>VLOOKUP(A73,'Données projet'!$A$217:$I$237,9,0)</f>
        <v>3.8</v>
      </c>
      <c r="FD73" s="13">
        <f t="array" ref="FD73">INDEX(FC:FC,MIN(IF(ISNUMBER(FC73:FC269),ROW(FC73:FC269),"")))</f>
        <v>3.8</v>
      </c>
      <c r="FE73" s="13">
        <f>IF('Données projet'!$A$218&gt;35,FE72+FD73-FM72,IF(A73&lt;'Données projet'!$A$218,$FB$205^A73,IF(A73='Données projet'!$A$218,'Données projet'!$B$218,FE72+FD73-FM72)))</f>
        <v>171.99999999999983</v>
      </c>
      <c r="FF73" s="18">
        <f>FE73*VLOOKUP('Données projet'!$B$16,Paramètres!$A$1:$I$89,3,0)*VLOOKUP('Données projet'!$B$16,Paramètres!$A$1:$I$89,5,0)</f>
        <v>112.69439999999989</v>
      </c>
      <c r="FG73" s="14">
        <f t="shared" si="101"/>
        <v>29.964909381330607</v>
      </c>
      <c r="FH73" s="22">
        <f t="shared" si="76"/>
        <v>248.46496383915061</v>
      </c>
      <c r="FI73" s="62">
        <f t="shared" si="77"/>
        <v>514.87050797616007</v>
      </c>
      <c r="FJ73" s="62">
        <f ca="1">AVERAGE(OFFSET($FI$3,0,0,'Données projet'!$E$16+1,1))-AVERAGE(OFFSET($H$3,0,0,'Données projet'!$E$16+1,1))</f>
        <v>235.88453308732235</v>
      </c>
      <c r="FK73" s="62">
        <f t="shared" si="102"/>
        <v>220.72810812053521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191.39327999999998</v>
      </c>
      <c r="P74" s="14">
        <f t="shared" si="87"/>
        <v>47.847856170442952</v>
      </c>
      <c r="Q74" s="22">
        <f t="shared" si="54"/>
        <v>416.67831216352141</v>
      </c>
      <c r="R74" s="62">
        <f t="shared" si="55"/>
        <v>683.55099324156936</v>
      </c>
      <c r="S74" s="62">
        <f ca="1">AVERAGE(OFFSET($R$3,0,0,'Données projet'!$E$9+1,1))-AVERAGE(OFFSET($H$3,0,0,'Données projet'!$E$9+1,1))</f>
        <v>442.98179778678298</v>
      </c>
      <c r="T74" s="62">
        <f t="shared" si="88"/>
        <v>251.96153561746942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4.5999999999999996</v>
      </c>
      <c r="AI74" s="14">
        <f>IF('Données projet'!$A$62&gt;35,AI73+AH74-AQ73,IF(A74&lt;'Données projet'!$A$62,$AF$205^A74,IF(A74='Données projet'!$A$62,'Données projet'!$B$62,AI73+AH74-AQ73)))</f>
        <v>241.60000000000011</v>
      </c>
      <c r="AJ74" s="14">
        <f>AI74*VLOOKUP('Données projet'!$B$10,Paramètres!$A$1:$I$89,3,0)*VLOOKUP('Données projet'!$B$10,Paramètres!$A$1:$I$89,5,0)</f>
        <v>158.29632000000007</v>
      </c>
      <c r="AK74" s="14">
        <f t="shared" si="89"/>
        <v>40.458006540983739</v>
      </c>
      <c r="AL74" s="22">
        <f t="shared" si="58"/>
        <v>346.16378539221341</v>
      </c>
      <c r="AM74" s="62">
        <f t="shared" si="59"/>
        <v>613.0364664702613</v>
      </c>
      <c r="AN74" s="62">
        <f ca="1">AVERAGE(OFFSET($AM$3,0,0,'Données projet'!$E$10+1,1))-AVERAGE(OFFSET($H$3,0,0,'Données projet'!$E$10+1,1))</f>
        <v>304.35088214287919</v>
      </c>
      <c r="AO74" s="62">
        <f t="shared" si="90"/>
        <v>288.72611053217599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6.0897435897435859</v>
      </c>
      <c r="BD74" s="13">
        <f>IF('Données projet'!$A$88&gt;35,BD73+BC74-BL73,IF(A74&lt;'Données projet'!$A$88,$BA$205^A74,IF(A74='Données projet'!$A$88,'Données projet'!$B$88,BD73+BC74-BL73)))</f>
        <v>323.39743589743591</v>
      </c>
      <c r="BE74" s="14">
        <f>BD74*VLOOKUP('Données projet'!$B$11,Paramètres!$A$1:$I$89,3,0)*VLOOKUP('Données projet'!$B$11,Paramètres!$A$1:$I$89,5,0)</f>
        <v>206.84500000000003</v>
      </c>
      <c r="BF74" s="14">
        <f t="shared" si="91"/>
        <v>51.245532579702662</v>
      </c>
      <c r="BG74" s="22">
        <f t="shared" si="61"/>
        <v>449.50767757631553</v>
      </c>
      <c r="BH74" s="62">
        <f t="shared" si="62"/>
        <v>716.38035865436348</v>
      </c>
      <c r="BI74" s="62">
        <f ca="1">AVERAGE(OFFSET($BH$3,0,0,'Données projet'!$E$11+1,1))-AVERAGE(OFFSET($H$3,0,0,'Données projet'!$E$11+1,1))</f>
        <v>285.09561428624352</v>
      </c>
      <c r="BJ74" s="62">
        <f t="shared" si="92"/>
        <v>261.05678516705564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-9.2222762759774927E-14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272.69564942740931</v>
      </c>
      <c r="CE74" s="62">
        <f t="shared" si="94"/>
        <v>316.57989180609252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4.5999999999999996</v>
      </c>
      <c r="CT74" s="13">
        <f>IF('Données projet'!$A$140&gt;35,CT73+CS74-DB73,IF(A74&lt;'Données projet'!$A$140,$CQ$205^A74,IF(A74='Données projet'!$A$140,'Données projet'!$B$140,CT73+CS74-DB73)))</f>
        <v>241.60000000000011</v>
      </c>
      <c r="CU74" s="18">
        <f>CT74*VLOOKUP('Données projet'!$B$13,Paramètres!$A$1:$I$89,3,0)*VLOOKUP('Données projet'!$B$13,Paramètres!$A$1:$I$89,5,0)</f>
        <v>158.29632000000007</v>
      </c>
      <c r="CV74" s="14">
        <f t="shared" si="95"/>
        <v>40.458006540983739</v>
      </c>
      <c r="CW74" s="22">
        <f t="shared" si="67"/>
        <v>346.16378539221341</v>
      </c>
      <c r="CX74" s="62">
        <f t="shared" si="68"/>
        <v>613.0364664702613</v>
      </c>
      <c r="CY74" s="62">
        <f ca="1">AVERAGE(OFFSET($CX$3,0,0,'Données projet'!$E$13+1,1))-AVERAGE(OFFSET($H$3,0,0,'Données projet'!$E$13+1,1))</f>
        <v>304.35088214287919</v>
      </c>
      <c r="CZ74" s="62">
        <f t="shared" si="96"/>
        <v>288.72611053217599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1.1368683772161603E-13</v>
      </c>
      <c r="DP74" s="18">
        <f>DO74*VLOOKUP('Données projet'!$B$14,Paramètres!$A$1:$I$89,3,0)*VLOOKUP('Données projet'!$B$14,Paramètres!$A$1:$I$89,5,0)</f>
        <v>6.5620042732916778E-14</v>
      </c>
      <c r="DQ74" s="14">
        <f t="shared" si="97"/>
        <v>1.0353460337118015E-12</v>
      </c>
      <c r="DR74" s="22">
        <f t="shared" si="70"/>
        <v>1.9175159164745509E-12</v>
      </c>
      <c r="DS74" s="62">
        <f t="shared" si="71"/>
        <v>266.87268107804988</v>
      </c>
      <c r="DT74" s="62">
        <f ca="1">AVERAGE(OFFSET($DS$3,0,0,'Données projet'!$E$14+1,1))-AVERAGE(OFFSET($H$3,0,0,'Données projet'!$E$14+1,1))</f>
        <v>172.86120068224633</v>
      </c>
      <c r="DU74" s="62">
        <f t="shared" si="98"/>
        <v>269.4995727085078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5</v>
      </c>
      <c r="EJ74" s="13">
        <f>IF('Données projet'!$A$192&gt;35,EJ73+EI74-ER73,IF(A74&lt;'Données projet'!$A$192,$EG$205^A74,IF(A74='Données projet'!$A$192,'Données projet'!$B$192,EJ73+EI74-ER73)))</f>
        <v>177.00000000000006</v>
      </c>
      <c r="EK74" s="18">
        <f>EJ74*VLOOKUP('Données projet'!$B$15,Paramètres!$A$1:$I$89,3,0)*VLOOKUP('Données projet'!$B$15,Paramètres!$A$1:$I$89,5,0)</f>
        <v>149.10480000000007</v>
      </c>
      <c r="EL74" s="14">
        <f t="shared" si="99"/>
        <v>38.375077389658955</v>
      </c>
      <c r="EM74" s="22">
        <f t="shared" si="73"/>
        <v>326.52745312032278</v>
      </c>
      <c r="EN74" s="62">
        <f t="shared" si="74"/>
        <v>593.40013419837078</v>
      </c>
      <c r="EO74" s="62">
        <f ca="1">AVERAGE(OFFSET($EN$3,0,0,'Données projet'!$E$15+1,1))-AVERAGE(OFFSET($H$3,0,0,'Données projet'!$E$15+1,1))</f>
        <v>346.97972840139914</v>
      </c>
      <c r="EP74" s="62">
        <f t="shared" si="100"/>
        <v>158.41433650660613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3.6</v>
      </c>
      <c r="FE74" s="13">
        <f>IF('Données projet'!$A$218&gt;35,FE73+FD74-FM73,IF(A74&lt;'Données projet'!$A$218,$FB$205^A74,IF(A74='Données projet'!$A$218,'Données projet'!$B$218,FE73+FD74-FM73)))</f>
        <v>175.59999999999982</v>
      </c>
      <c r="FF74" s="18">
        <f>FE74*VLOOKUP('Données projet'!$B$16,Paramètres!$A$1:$I$89,3,0)*VLOOKUP('Données projet'!$B$16,Paramètres!$A$1:$I$89,5,0)</f>
        <v>115.05311999999988</v>
      </c>
      <c r="FG74" s="14">
        <f t="shared" si="101"/>
        <v>30.518409166186991</v>
      </c>
      <c r="FH74" s="22">
        <f t="shared" si="76"/>
        <v>253.53707996444214</v>
      </c>
      <c r="FI74" s="62">
        <f t="shared" si="77"/>
        <v>520.40976104249012</v>
      </c>
      <c r="FJ74" s="62">
        <f ca="1">AVERAGE(OFFSET($FI$3,0,0,'Données projet'!$E$16+1,1))-AVERAGE(OFFSET($H$3,0,0,'Données projet'!$E$16+1,1))</f>
        <v>235.88453308732235</v>
      </c>
      <c r="FK74" s="62">
        <f t="shared" si="102"/>
        <v>220.72810812053521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196.61615999999995</v>
      </c>
      <c r="P75" s="14">
        <f t="shared" si="87"/>
        <v>48.999765174076551</v>
      </c>
      <c r="Q75" s="22">
        <f t="shared" si="54"/>
        <v>427.7810696781832</v>
      </c>
      <c r="R75" s="62">
        <f t="shared" si="55"/>
        <v>695.11278391570431</v>
      </c>
      <c r="S75" s="62">
        <f ca="1">AVERAGE(OFFSET($R$3,0,0,'Données projet'!$E$9+1,1))-AVERAGE(OFFSET($H$3,0,0,'Données projet'!$E$9+1,1))</f>
        <v>442.98179778678298</v>
      </c>
      <c r="T75" s="62">
        <f t="shared" si="88"/>
        <v>251.96153561746942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4.5999999999999996</v>
      </c>
      <c r="AI75" s="14">
        <f>IF('Données projet'!$A$62&gt;35,AI74+AH75-AQ74,IF(A75&lt;'Données projet'!$A$62,$AF$205^A75,IF(A75='Données projet'!$A$62,'Données projet'!$B$62,AI74+AH75-AQ74)))</f>
        <v>246.2000000000001</v>
      </c>
      <c r="AJ75" s="14">
        <f>AI75*VLOOKUP('Données projet'!$B$10,Paramètres!$A$1:$I$89,3,0)*VLOOKUP('Données projet'!$B$10,Paramètres!$A$1:$I$89,5,0)</f>
        <v>161.31024000000008</v>
      </c>
      <c r="AK75" s="14">
        <f t="shared" si="89"/>
        <v>41.137903274661141</v>
      </c>
      <c r="AL75" s="22">
        <f t="shared" si="58"/>
        <v>352.59718287003494</v>
      </c>
      <c r="AM75" s="62">
        <f t="shared" si="59"/>
        <v>619.92889710755605</v>
      </c>
      <c r="AN75" s="62">
        <f ca="1">AVERAGE(OFFSET($AM$3,0,0,'Données projet'!$E$10+1,1))-AVERAGE(OFFSET($H$3,0,0,'Données projet'!$E$10+1,1))</f>
        <v>304.35088214287919</v>
      </c>
      <c r="AO75" s="62">
        <f t="shared" si="90"/>
        <v>288.72611053217599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6.0897435897435859</v>
      </c>
      <c r="BD75" s="13">
        <f>IF('Données projet'!$A$88&gt;35,BD74+BC75-BL74,IF(A75&lt;'Données projet'!$A$88,$BA$205^A75,IF(A75='Données projet'!$A$88,'Données projet'!$B$88,BD74+BC75-BL74)))</f>
        <v>329.4871794871795</v>
      </c>
      <c r="BE75" s="14">
        <f>BD75*VLOOKUP('Données projet'!$B$11,Paramètres!$A$1:$I$89,3,0)*VLOOKUP('Données projet'!$B$11,Paramètres!$A$1:$I$89,5,0)</f>
        <v>210.74</v>
      </c>
      <c r="BF75" s="14">
        <f t="shared" si="91"/>
        <v>52.097261195710331</v>
      </c>
      <c r="BG75" s="22">
        <f t="shared" si="61"/>
        <v>457.77489658252875</v>
      </c>
      <c r="BH75" s="62">
        <f t="shared" si="62"/>
        <v>725.10661082004981</v>
      </c>
      <c r="BI75" s="62">
        <f ca="1">AVERAGE(OFFSET($BH$3,0,0,'Données projet'!$E$11+1,1))-AVERAGE(OFFSET($H$3,0,0,'Données projet'!$E$11+1,1))</f>
        <v>285.09561428624352</v>
      </c>
      <c r="BJ75" s="62">
        <f t="shared" si="92"/>
        <v>261.05678516705564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-9.2222762759774927E-14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272.69564942740931</v>
      </c>
      <c r="CE75" s="62">
        <f t="shared" si="94"/>
        <v>316.57989180609252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4.5999999999999996</v>
      </c>
      <c r="CT75" s="13">
        <f>IF('Données projet'!$A$140&gt;35,CT74+CS75-DB74,IF(A75&lt;'Données projet'!$A$140,$CQ$205^A75,IF(A75='Données projet'!$A$140,'Données projet'!$B$140,CT74+CS75-DB74)))</f>
        <v>246.2000000000001</v>
      </c>
      <c r="CU75" s="18">
        <f>CT75*VLOOKUP('Données projet'!$B$13,Paramètres!$A$1:$I$89,3,0)*VLOOKUP('Données projet'!$B$13,Paramètres!$A$1:$I$89,5,0)</f>
        <v>161.31024000000008</v>
      </c>
      <c r="CV75" s="14">
        <f t="shared" si="95"/>
        <v>41.137903274661141</v>
      </c>
      <c r="CW75" s="22">
        <f t="shared" si="67"/>
        <v>352.59718287003494</v>
      </c>
      <c r="CX75" s="62">
        <f t="shared" si="68"/>
        <v>619.92889710755605</v>
      </c>
      <c r="CY75" s="62">
        <f ca="1">AVERAGE(OFFSET($CX$3,0,0,'Données projet'!$E$13+1,1))-AVERAGE(OFFSET($H$3,0,0,'Données projet'!$E$13+1,1))</f>
        <v>304.35088214287919</v>
      </c>
      <c r="CZ75" s="62">
        <f t="shared" si="96"/>
        <v>288.72611053217599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1.1368683772161603E-13</v>
      </c>
      <c r="DP75" s="18">
        <f>DO75*VLOOKUP('Données projet'!$B$14,Paramètres!$A$1:$I$89,3,0)*VLOOKUP('Données projet'!$B$14,Paramètres!$A$1:$I$89,5,0)</f>
        <v>6.5620042732916778E-14</v>
      </c>
      <c r="DQ75" s="14">
        <f t="shared" si="97"/>
        <v>1.0353460337118015E-12</v>
      </c>
      <c r="DR75" s="22">
        <f t="shared" si="70"/>
        <v>1.9175159164745509E-12</v>
      </c>
      <c r="DS75" s="62">
        <f t="shared" si="71"/>
        <v>267.33171423752304</v>
      </c>
      <c r="DT75" s="62">
        <f ca="1">AVERAGE(OFFSET($DS$3,0,0,'Données projet'!$E$14+1,1))-AVERAGE(OFFSET($H$3,0,0,'Données projet'!$E$14+1,1))</f>
        <v>172.86120068224633</v>
      </c>
      <c r="DU75" s="62">
        <f t="shared" si="98"/>
        <v>269.4995727085078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5</v>
      </c>
      <c r="EJ75" s="13">
        <f>IF('Données projet'!$A$192&gt;35,EJ74+EI75-ER74,IF(A75&lt;'Données projet'!$A$192,$EG$205^A75,IF(A75='Données projet'!$A$192,'Données projet'!$B$192,EJ74+EI75-ER74)))</f>
        <v>182.00000000000006</v>
      </c>
      <c r="EK75" s="18">
        <f>EJ75*VLOOKUP('Données projet'!$B$15,Paramètres!$A$1:$I$89,3,0)*VLOOKUP('Données projet'!$B$15,Paramètres!$A$1:$I$89,5,0)</f>
        <v>153.31680000000009</v>
      </c>
      <c r="EL75" s="14">
        <f t="shared" si="99"/>
        <v>39.33137819175279</v>
      </c>
      <c r="EM75" s="22">
        <f t="shared" si="73"/>
        <v>335.52891035063624</v>
      </c>
      <c r="EN75" s="62">
        <f t="shared" si="74"/>
        <v>602.86062458815741</v>
      </c>
      <c r="EO75" s="62">
        <f ca="1">AVERAGE(OFFSET($EN$3,0,0,'Données projet'!$E$15+1,1))-AVERAGE(OFFSET($H$3,0,0,'Données projet'!$E$15+1,1))</f>
        <v>346.97972840139914</v>
      </c>
      <c r="EP75" s="62">
        <f t="shared" si="100"/>
        <v>158.41433650660613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3.6</v>
      </c>
      <c r="FE75" s="13">
        <f>IF('Données projet'!$A$218&gt;35,FE74+FD75-FM74,IF(A75&lt;'Données projet'!$A$218,$FB$205^A75,IF(A75='Données projet'!$A$218,'Données projet'!$B$218,FE74+FD75-FM74)))</f>
        <v>179.19999999999982</v>
      </c>
      <c r="FF75" s="18">
        <f>FE75*VLOOKUP('Données projet'!$B$16,Paramètres!$A$1:$I$89,3,0)*VLOOKUP('Données projet'!$B$16,Paramètres!$A$1:$I$89,5,0)</f>
        <v>117.41183999999988</v>
      </c>
      <c r="FG75" s="14">
        <f t="shared" si="101"/>
        <v>31.070589593507016</v>
      </c>
      <c r="FH75" s="22">
        <f t="shared" si="76"/>
        <v>258.60689820869118</v>
      </c>
      <c r="FI75" s="62">
        <f t="shared" si="77"/>
        <v>525.93861244621235</v>
      </c>
      <c r="FJ75" s="62">
        <f ca="1">AVERAGE(OFFSET($FI$3,0,0,'Données projet'!$E$16+1,1))-AVERAGE(OFFSET($H$3,0,0,'Données projet'!$E$16+1,1))</f>
        <v>235.88453308732235</v>
      </c>
      <c r="FK75" s="62">
        <f t="shared" si="102"/>
        <v>220.72810812053521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201.83903999999995</v>
      </c>
      <c r="P76" s="14">
        <f t="shared" si="87"/>
        <v>50.148117498343801</v>
      </c>
      <c r="Q76" s="22">
        <f t="shared" si="54"/>
        <v>438.87763264294864</v>
      </c>
      <c r="R76" s="62">
        <f t="shared" si="55"/>
        <v>706.66041684087043</v>
      </c>
      <c r="S76" s="62">
        <f ca="1">AVERAGE(OFFSET($R$3,0,0,'Données projet'!$E$9+1,1))-AVERAGE(OFFSET($H$3,0,0,'Données projet'!$E$9+1,1))</f>
        <v>442.98179778678298</v>
      </c>
      <c r="T76" s="62">
        <f t="shared" si="88"/>
        <v>251.96153561746942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4.5999999999999996</v>
      </c>
      <c r="AI76" s="14">
        <f>IF('Données projet'!$A$62&gt;35,AI75+AH76-AQ75,IF(A76&lt;'Données projet'!$A$62,$AF$205^A76,IF(A76='Données projet'!$A$62,'Données projet'!$B$62,AI75+AH76-AQ75)))</f>
        <v>250.8000000000001</v>
      </c>
      <c r="AJ76" s="14">
        <f>AI76*VLOOKUP('Données projet'!$B$10,Paramètres!$A$1:$I$89,3,0)*VLOOKUP('Données projet'!$B$10,Paramètres!$A$1:$I$89,5,0)</f>
        <v>164.32416000000006</v>
      </c>
      <c r="AK76" s="14">
        <f t="shared" si="89"/>
        <v>41.816322873092751</v>
      </c>
      <c r="AL76" s="22">
        <f t="shared" si="58"/>
        <v>359.02800767063667</v>
      </c>
      <c r="AM76" s="62">
        <f t="shared" si="59"/>
        <v>626.81079186855845</v>
      </c>
      <c r="AN76" s="62">
        <f ca="1">AVERAGE(OFFSET($AM$3,0,0,'Données projet'!$E$10+1,1))-AVERAGE(OFFSET($H$3,0,0,'Données projet'!$E$10+1,1))</f>
        <v>304.35088214287919</v>
      </c>
      <c r="AO76" s="62">
        <f t="shared" si="90"/>
        <v>288.72611053217599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6.0897435897435859</v>
      </c>
      <c r="BD76" s="13">
        <f>IF('Données projet'!$A$88&gt;35,BD75+BC76-BL75,IF(A76&lt;'Données projet'!$A$88,$BA$205^A76,IF(A76='Données projet'!$A$88,'Données projet'!$B$88,BD75+BC76-BL75)))</f>
        <v>335.57692307692309</v>
      </c>
      <c r="BE76" s="14">
        <f>BD76*VLOOKUP('Données projet'!$B$11,Paramètres!$A$1:$I$89,3,0)*VLOOKUP('Données projet'!$B$11,Paramètres!$A$1:$I$89,5,0)</f>
        <v>214.63499999999999</v>
      </c>
      <c r="BF76" s="14">
        <f t="shared" si="91"/>
        <v>52.94715929471738</v>
      </c>
      <c r="BG76" s="22">
        <f t="shared" si="61"/>
        <v>466.03892743829942</v>
      </c>
      <c r="BH76" s="62">
        <f t="shared" si="62"/>
        <v>733.82171163622115</v>
      </c>
      <c r="BI76" s="62">
        <f ca="1">AVERAGE(OFFSET($BH$3,0,0,'Données projet'!$E$11+1,1))-AVERAGE(OFFSET($H$3,0,0,'Données projet'!$E$11+1,1))</f>
        <v>285.09561428624352</v>
      </c>
      <c r="BJ76" s="62">
        <f t="shared" si="92"/>
        <v>261.05678516705564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-9.2222762759774927E-14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272.69564942740931</v>
      </c>
      <c r="CE76" s="62">
        <f t="shared" si="94"/>
        <v>316.57989180609252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4.5999999999999996</v>
      </c>
      <c r="CT76" s="13">
        <f>IF('Données projet'!$A$140&gt;35,CT75+CS76-DB75,IF(A76&lt;'Données projet'!$A$140,$CQ$205^A76,IF(A76='Données projet'!$A$140,'Données projet'!$B$140,CT75+CS76-DB75)))</f>
        <v>250.8000000000001</v>
      </c>
      <c r="CU76" s="18">
        <f>CT76*VLOOKUP('Données projet'!$B$13,Paramètres!$A$1:$I$89,3,0)*VLOOKUP('Données projet'!$B$13,Paramètres!$A$1:$I$89,5,0)</f>
        <v>164.32416000000006</v>
      </c>
      <c r="CV76" s="14">
        <f t="shared" si="95"/>
        <v>41.816322873092751</v>
      </c>
      <c r="CW76" s="22">
        <f t="shared" si="67"/>
        <v>359.02800767063667</v>
      </c>
      <c r="CX76" s="62">
        <f t="shared" si="68"/>
        <v>626.81079186855845</v>
      </c>
      <c r="CY76" s="62">
        <f ca="1">AVERAGE(OFFSET($CX$3,0,0,'Données projet'!$E$13+1,1))-AVERAGE(OFFSET($H$3,0,0,'Données projet'!$E$13+1,1))</f>
        <v>304.35088214287919</v>
      </c>
      <c r="CZ76" s="62">
        <f t="shared" si="96"/>
        <v>288.72611053217599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1.1368683772161603E-13</v>
      </c>
      <c r="DP76" s="18">
        <f>DO76*VLOOKUP('Données projet'!$B$14,Paramètres!$A$1:$I$89,3,0)*VLOOKUP('Données projet'!$B$14,Paramètres!$A$1:$I$89,5,0)</f>
        <v>6.5620042732916778E-14</v>
      </c>
      <c r="DQ76" s="14">
        <f t="shared" si="97"/>
        <v>1.0353460337118015E-12</v>
      </c>
      <c r="DR76" s="22">
        <f t="shared" si="70"/>
        <v>1.9175159164745509E-12</v>
      </c>
      <c r="DS76" s="62">
        <f t="shared" si="71"/>
        <v>267.78278419792372</v>
      </c>
      <c r="DT76" s="62">
        <f ca="1">AVERAGE(OFFSET($DS$3,0,0,'Données projet'!$E$14+1,1))-AVERAGE(OFFSET($H$3,0,0,'Données projet'!$E$14+1,1))</f>
        <v>172.86120068224633</v>
      </c>
      <c r="DU76" s="62">
        <f t="shared" si="98"/>
        <v>269.4995727085078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5</v>
      </c>
      <c r="EJ76" s="13">
        <f>IF('Données projet'!$A$192&gt;35,EJ75+EI76-ER75,IF(A76&lt;'Données projet'!$A$192,$EG$205^A76,IF(A76='Données projet'!$A$192,'Données projet'!$B$192,EJ75+EI76-ER75)))</f>
        <v>187.00000000000006</v>
      </c>
      <c r="EK76" s="18">
        <f>EJ76*VLOOKUP('Données projet'!$B$15,Paramètres!$A$1:$I$89,3,0)*VLOOKUP('Données projet'!$B$15,Paramètres!$A$1:$I$89,5,0)</f>
        <v>157.52880000000005</v>
      </c>
      <c r="EL76" s="14">
        <f t="shared" si="99"/>
        <v>40.284625411479013</v>
      </c>
      <c r="EM76" s="22">
        <f t="shared" si="73"/>
        <v>344.52504925832596</v>
      </c>
      <c r="EN76" s="62">
        <f t="shared" si="74"/>
        <v>612.30783345624775</v>
      </c>
      <c r="EO76" s="62">
        <f ca="1">AVERAGE(OFFSET($EN$3,0,0,'Données projet'!$E$15+1,1))-AVERAGE(OFFSET($H$3,0,0,'Données projet'!$E$15+1,1))</f>
        <v>346.97972840139914</v>
      </c>
      <c r="EP76" s="62">
        <f t="shared" si="100"/>
        <v>158.41433650660613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3.6</v>
      </c>
      <c r="FE76" s="13">
        <f>IF('Données projet'!$A$218&gt;35,FE75+FD76-FM75,IF(A76&lt;'Données projet'!$A$218,$FB$205^A76,IF(A76='Données projet'!$A$218,'Données projet'!$B$218,FE75+FD76-FM75)))</f>
        <v>182.79999999999981</v>
      </c>
      <c r="FF76" s="18">
        <f>FE76*VLOOKUP('Données projet'!$B$16,Paramètres!$A$1:$I$89,3,0)*VLOOKUP('Données projet'!$B$16,Paramètres!$A$1:$I$89,5,0)</f>
        <v>119.77055999999989</v>
      </c>
      <c r="FG76" s="14">
        <f t="shared" si="101"/>
        <v>31.621480222860772</v>
      </c>
      <c r="FH76" s="22">
        <f t="shared" si="76"/>
        <v>263.67447005481563</v>
      </c>
      <c r="FI76" s="62">
        <f t="shared" si="77"/>
        <v>531.45725425273736</v>
      </c>
      <c r="FJ76" s="62">
        <f ca="1">AVERAGE(OFFSET($FI$3,0,0,'Données projet'!$E$16+1,1))-AVERAGE(OFFSET($H$3,0,0,'Données projet'!$E$16+1,1))</f>
        <v>235.88453308732235</v>
      </c>
      <c r="FK76" s="62">
        <f t="shared" si="102"/>
        <v>220.72810812053521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207.06191999999993</v>
      </c>
      <c r="P77" s="14">
        <f t="shared" si="87"/>
        <v>51.293015758902222</v>
      </c>
      <c r="Q77" s="22">
        <f t="shared" si="54"/>
        <v>449.96817978008789</v>
      </c>
      <c r="R77" s="62">
        <f t="shared" si="55"/>
        <v>718.19420888303875</v>
      </c>
      <c r="S77" s="62">
        <f ca="1">AVERAGE(OFFSET($R$3,0,0,'Données projet'!$E$9+1,1))-AVERAGE(OFFSET($H$3,0,0,'Données projet'!$E$9+1,1))</f>
        <v>442.98179778678298</v>
      </c>
      <c r="T77" s="62">
        <f t="shared" si="88"/>
        <v>251.96153561746942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4.5999999999999996</v>
      </c>
      <c r="AI77" s="14">
        <f>IF('Données projet'!$A$62&gt;35,AI76+AH77-AQ76,IF(A77&lt;'Données projet'!$A$62,$AF$205^A77,IF(A77='Données projet'!$A$62,'Données projet'!$B$62,AI76+AH77-AQ76)))</f>
        <v>255.40000000000009</v>
      </c>
      <c r="AJ77" s="14">
        <f>AI77*VLOOKUP('Données projet'!$B$10,Paramètres!$A$1:$I$89,3,0)*VLOOKUP('Données projet'!$B$10,Paramètres!$A$1:$I$89,5,0)</f>
        <v>167.33808000000005</v>
      </c>
      <c r="AK77" s="14">
        <f t="shared" si="89"/>
        <v>42.493295553601513</v>
      </c>
      <c r="AL77" s="22">
        <f t="shared" si="58"/>
        <v>365.45631242252267</v>
      </c>
      <c r="AM77" s="62">
        <f t="shared" si="59"/>
        <v>633.68234152547348</v>
      </c>
      <c r="AN77" s="62">
        <f ca="1">AVERAGE(OFFSET($AM$3,0,0,'Données projet'!$E$10+1,1))-AVERAGE(OFFSET($H$3,0,0,'Données projet'!$E$10+1,1))</f>
        <v>304.35088214287919</v>
      </c>
      <c r="AO77" s="62">
        <f t="shared" si="90"/>
        <v>288.72611053217599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6.0897435897435859</v>
      </c>
      <c r="BD77" s="13">
        <f>IF('Données projet'!$A$88&gt;35,BD76+BC77-BL76,IF(A77&lt;'Données projet'!$A$88,$BA$205^A77,IF(A77='Données projet'!$A$88,'Données projet'!$B$88,BD76+BC77-BL76)))</f>
        <v>341.66666666666669</v>
      </c>
      <c r="BE77" s="14">
        <f>BD77*VLOOKUP('Données projet'!$B$11,Paramètres!$A$1:$I$89,3,0)*VLOOKUP('Données projet'!$B$11,Paramètres!$A$1:$I$89,5,0)</f>
        <v>218.53000000000003</v>
      </c>
      <c r="BF77" s="14">
        <f t="shared" si="91"/>
        <v>53.795263926874632</v>
      </c>
      <c r="BG77" s="22">
        <f t="shared" si="61"/>
        <v>474.29983467263992</v>
      </c>
      <c r="BH77" s="62">
        <f t="shared" si="62"/>
        <v>742.52586377559078</v>
      </c>
      <c r="BI77" s="62">
        <f ca="1">AVERAGE(OFFSET($BH$3,0,0,'Données projet'!$E$11+1,1))-AVERAGE(OFFSET($H$3,0,0,'Données projet'!$E$11+1,1))</f>
        <v>285.09561428624352</v>
      </c>
      <c r="BJ77" s="62">
        <f t="shared" si="92"/>
        <v>261.05678516705564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-9.2222762759774927E-14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272.69564942740931</v>
      </c>
      <c r="CE77" s="62">
        <f t="shared" si="94"/>
        <v>316.57989180609252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4.5999999999999996</v>
      </c>
      <c r="CT77" s="13">
        <f>IF('Données projet'!$A$140&gt;35,CT76+CS77-DB76,IF(A77&lt;'Données projet'!$A$140,$CQ$205^A77,IF(A77='Données projet'!$A$140,'Données projet'!$B$140,CT76+CS77-DB76)))</f>
        <v>255.40000000000009</v>
      </c>
      <c r="CU77" s="18">
        <f>CT77*VLOOKUP('Données projet'!$B$13,Paramètres!$A$1:$I$89,3,0)*VLOOKUP('Données projet'!$B$13,Paramètres!$A$1:$I$89,5,0)</f>
        <v>167.33808000000005</v>
      </c>
      <c r="CV77" s="14">
        <f t="shared" si="95"/>
        <v>42.493295553601513</v>
      </c>
      <c r="CW77" s="22">
        <f t="shared" si="67"/>
        <v>365.45631242252267</v>
      </c>
      <c r="CX77" s="62">
        <f t="shared" si="68"/>
        <v>633.68234152547348</v>
      </c>
      <c r="CY77" s="62">
        <f ca="1">AVERAGE(OFFSET($CX$3,0,0,'Données projet'!$E$13+1,1))-AVERAGE(OFFSET($H$3,0,0,'Données projet'!$E$13+1,1))</f>
        <v>304.35088214287919</v>
      </c>
      <c r="CZ77" s="62">
        <f t="shared" si="96"/>
        <v>288.72611053217599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1.1368683772161603E-13</v>
      </c>
      <c r="DP77" s="18">
        <f>DO77*VLOOKUP('Données projet'!$B$14,Paramètres!$A$1:$I$89,3,0)*VLOOKUP('Données projet'!$B$14,Paramètres!$A$1:$I$89,5,0)</f>
        <v>6.5620042732916778E-14</v>
      </c>
      <c r="DQ77" s="14">
        <f t="shared" si="97"/>
        <v>1.0353460337118015E-12</v>
      </c>
      <c r="DR77" s="22">
        <f t="shared" si="70"/>
        <v>1.9175159164745509E-12</v>
      </c>
      <c r="DS77" s="62">
        <f t="shared" si="71"/>
        <v>268.22602910295279</v>
      </c>
      <c r="DT77" s="62">
        <f ca="1">AVERAGE(OFFSET($DS$3,0,0,'Données projet'!$E$14+1,1))-AVERAGE(OFFSET($H$3,0,0,'Données projet'!$E$14+1,1))</f>
        <v>172.86120068224633</v>
      </c>
      <c r="DU77" s="62">
        <f t="shared" si="98"/>
        <v>269.4995727085078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5</v>
      </c>
      <c r="EJ77" s="13">
        <f>IF('Données projet'!$A$192&gt;35,EJ76+EI77-ER76,IF(A77&lt;'Données projet'!$A$192,$EG$205^A77,IF(A77='Données projet'!$A$192,'Données projet'!$B$192,EJ76+EI77-ER76)))</f>
        <v>192.00000000000006</v>
      </c>
      <c r="EK77" s="18">
        <f>EJ77*VLOOKUP('Données projet'!$B$15,Paramètres!$A$1:$I$89,3,0)*VLOOKUP('Données projet'!$B$15,Paramètres!$A$1:$I$89,5,0)</f>
        <v>161.74080000000006</v>
      </c>
      <c r="EL77" s="14">
        <f t="shared" si="99"/>
        <v>41.234910079352424</v>
      </c>
      <c r="EM77" s="22">
        <f t="shared" si="73"/>
        <v>353.51602838820554</v>
      </c>
      <c r="EN77" s="62">
        <f t="shared" si="74"/>
        <v>621.7420574911564</v>
      </c>
      <c r="EO77" s="62">
        <f ca="1">AVERAGE(OFFSET($EN$3,0,0,'Données projet'!$E$15+1,1))-AVERAGE(OFFSET($H$3,0,0,'Données projet'!$E$15+1,1))</f>
        <v>346.97972840139914</v>
      </c>
      <c r="EP77" s="62">
        <f t="shared" si="100"/>
        <v>158.41433650660613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3.6</v>
      </c>
      <c r="FE77" s="13">
        <f>IF('Données projet'!$A$218&gt;35,FE76+FD77-FM76,IF(A77&lt;'Données projet'!$A$218,$FB$205^A77,IF(A77='Données projet'!$A$218,'Données projet'!$B$218,FE76+FD77-FM76)))</f>
        <v>186.39999999999981</v>
      </c>
      <c r="FF77" s="18">
        <f>FE77*VLOOKUP('Données projet'!$B$16,Paramètres!$A$1:$I$89,3,0)*VLOOKUP('Données projet'!$B$16,Paramètres!$A$1:$I$89,5,0)</f>
        <v>122.12927999999987</v>
      </c>
      <c r="FG77" s="14">
        <f t="shared" si="101"/>
        <v>32.171109382958136</v>
      </c>
      <c r="FH77" s="22">
        <f t="shared" si="76"/>
        <v>268.73984484198519</v>
      </c>
      <c r="FI77" s="62">
        <f t="shared" si="77"/>
        <v>536.96587394493599</v>
      </c>
      <c r="FJ77" s="62">
        <f ca="1">AVERAGE(OFFSET($FI$3,0,0,'Données projet'!$E$16+1,1))-AVERAGE(OFFSET($H$3,0,0,'Données projet'!$E$16+1,1))</f>
        <v>235.88453308732235</v>
      </c>
      <c r="FK77" s="62">
        <f t="shared" si="102"/>
        <v>220.72810812053521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212.28479999999993</v>
      </c>
      <c r="P78" s="14">
        <f t="shared" si="87"/>
        <v>52.434557099704143</v>
      </c>
      <c r="Q78" s="22">
        <f t="shared" si="54"/>
        <v>461.05288028198464</v>
      </c>
      <c r="R78" s="62">
        <f t="shared" si="55"/>
        <v>729.71446498180944</v>
      </c>
      <c r="S78" s="62">
        <f ca="1">AVERAGE(OFFSET($R$3,0,0,'Données projet'!$E$9+1,1))-AVERAGE(OFFSET($H$3,0,0,'Données projet'!$E$9+1,1))</f>
        <v>442.98179778678298</v>
      </c>
      <c r="T78" s="62">
        <f t="shared" si="88"/>
        <v>251.96153561746942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260</v>
      </c>
      <c r="AG78" s="13">
        <f>VLOOKUP(A78,'Données projet'!$A$61:$I$81,9,0)</f>
        <v>4.5999999999999996</v>
      </c>
      <c r="AH78" s="13">
        <f t="array" ref="AH78">INDEX(AG:AG,MIN(IF(ISNUMBER(AG78:AG274),ROW(AG78:AG274),"")))</f>
        <v>4.5999999999999996</v>
      </c>
      <c r="AI78" s="14">
        <f>IF('Données projet'!$A$62&gt;35,AI77+AH78-AQ77,IF(A78&lt;'Données projet'!$A$62,$AF$205^A78,IF(A78='Données projet'!$A$62,'Données projet'!$B$62,AI77+AH78-AQ77)))</f>
        <v>260.00000000000011</v>
      </c>
      <c r="AJ78" s="14">
        <f>AI78*VLOOKUP('Données projet'!$B$10,Paramètres!$A$1:$I$89,3,0)*VLOOKUP('Données projet'!$B$10,Paramètres!$A$1:$I$89,5,0)</f>
        <v>170.35200000000009</v>
      </c>
      <c r="AK78" s="14">
        <f t="shared" si="89"/>
        <v>43.168850382694487</v>
      </c>
      <c r="AL78" s="22">
        <f t="shared" si="58"/>
        <v>371.88214774985971</v>
      </c>
      <c r="AM78" s="62">
        <f t="shared" si="59"/>
        <v>640.54373244968451</v>
      </c>
      <c r="AN78" s="62">
        <f ca="1">AVERAGE(OFFSET($AM$3,0,0,'Données projet'!$E$10+1,1))-AVERAGE(OFFSET($H$3,0,0,'Données projet'!$E$10+1,1))</f>
        <v>304.35088214287919</v>
      </c>
      <c r="AO78" s="62">
        <f t="shared" si="90"/>
        <v>288.72611053217599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37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6.0897435897435859</v>
      </c>
      <c r="BD78" s="13">
        <f>IF('Données projet'!$A$88&gt;35,BD77+BC78-BL77,IF(A78&lt;'Données projet'!$A$88,$BA$205^A78,IF(A78='Données projet'!$A$88,'Données projet'!$B$88,BD77+BC78-BL77)))</f>
        <v>347.75641025641028</v>
      </c>
      <c r="BE78" s="14">
        <f>BD78*VLOOKUP('Données projet'!$B$11,Paramètres!$A$1:$I$89,3,0)*VLOOKUP('Données projet'!$B$11,Paramètres!$A$1:$I$89,5,0)</f>
        <v>222.42500000000001</v>
      </c>
      <c r="BF78" s="14">
        <f t="shared" si="91"/>
        <v>54.641610745956214</v>
      </c>
      <c r="BG78" s="22">
        <f t="shared" si="61"/>
        <v>482.55768038254035</v>
      </c>
      <c r="BH78" s="62">
        <f t="shared" si="62"/>
        <v>751.21926508236515</v>
      </c>
      <c r="BI78" s="62">
        <f ca="1">AVERAGE(OFFSET($BH$3,0,0,'Données projet'!$E$11+1,1))-AVERAGE(OFFSET($H$3,0,0,'Données projet'!$E$11+1,1))</f>
        <v>285.09561428624352</v>
      </c>
      <c r="BJ78" s="62">
        <f t="shared" si="92"/>
        <v>261.05678516705564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-9.2222762759774927E-14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272.69564942740931</v>
      </c>
      <c r="CE78" s="62">
        <f t="shared" si="94"/>
        <v>316.57989180609252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260</v>
      </c>
      <c r="CR78" s="13">
        <f>VLOOKUP(A78,'Données projet'!$A$139:$I$159,9,0)</f>
        <v>4.5999999999999996</v>
      </c>
      <c r="CS78" s="13">
        <f t="array" ref="CS78">INDEX(CR:CR,MIN(IF(ISNUMBER(CR78:CR274),ROW(CR78:CR274),"")))</f>
        <v>4.5999999999999996</v>
      </c>
      <c r="CT78" s="13">
        <f>IF('Données projet'!$A$140&gt;35,CT77+CS78-DB77,IF(A78&lt;'Données projet'!$A$140,$CQ$205^A78,IF(A78='Données projet'!$A$140,'Données projet'!$B$140,CT77+CS78-DB77)))</f>
        <v>260.00000000000011</v>
      </c>
      <c r="CU78" s="18">
        <f>CT78*VLOOKUP('Données projet'!$B$13,Paramètres!$A$1:$I$89,3,0)*VLOOKUP('Données projet'!$B$13,Paramètres!$A$1:$I$89,5,0)</f>
        <v>170.35200000000009</v>
      </c>
      <c r="CV78" s="14">
        <f t="shared" si="95"/>
        <v>43.168850382694487</v>
      </c>
      <c r="CW78" s="22">
        <f t="shared" si="67"/>
        <v>371.88214774985971</v>
      </c>
      <c r="CX78" s="62">
        <f t="shared" si="68"/>
        <v>640.54373244968451</v>
      </c>
      <c r="CY78" s="62">
        <f ca="1">AVERAGE(OFFSET($CX$3,0,0,'Données projet'!$E$13+1,1))-AVERAGE(OFFSET($H$3,0,0,'Données projet'!$E$13+1,1))</f>
        <v>304.35088214287919</v>
      </c>
      <c r="CZ78" s="62">
        <f t="shared" si="96"/>
        <v>288.72611053217599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37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1.1368683772161603E-13</v>
      </c>
      <c r="DP78" s="18">
        <f>DO78*VLOOKUP('Données projet'!$B$14,Paramètres!$A$1:$I$89,3,0)*VLOOKUP('Données projet'!$B$14,Paramètres!$A$1:$I$89,5,0)</f>
        <v>6.5620042732916778E-14</v>
      </c>
      <c r="DQ78" s="14">
        <f t="shared" si="97"/>
        <v>1.0353460337118015E-12</v>
      </c>
      <c r="DR78" s="22">
        <f t="shared" si="70"/>
        <v>1.9175159164745509E-12</v>
      </c>
      <c r="DS78" s="62">
        <f t="shared" si="71"/>
        <v>268.66158469982673</v>
      </c>
      <c r="DT78" s="62">
        <f ca="1">AVERAGE(OFFSET($DS$3,0,0,'Données projet'!$E$14+1,1))-AVERAGE(OFFSET($H$3,0,0,'Données projet'!$E$14+1,1))</f>
        <v>172.86120068224633</v>
      </c>
      <c r="DU78" s="62">
        <f t="shared" si="98"/>
        <v>269.4995727085078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197</v>
      </c>
      <c r="EH78" s="13">
        <f>VLOOKUP(A78,'Données projet'!$A$191:$I$211,9,0)</f>
        <v>5</v>
      </c>
      <c r="EI78" s="13">
        <f t="array" ref="EI78">INDEX(EH:EH,MIN(IF(ISNUMBER(EH78:EH274),ROW(EH78:EH274),"")))</f>
        <v>5</v>
      </c>
      <c r="EJ78" s="13">
        <f>IF('Données projet'!$A$192&gt;35,EJ77+EI78-ER77,IF(A78&lt;'Données projet'!$A$192,$EG$205^A78,IF(A78='Données projet'!$A$192,'Données projet'!$B$192,EJ77+EI78-ER77)))</f>
        <v>197.00000000000006</v>
      </c>
      <c r="EK78" s="18">
        <f>EJ78*VLOOKUP('Données projet'!$B$15,Paramètres!$A$1:$I$89,3,0)*VLOOKUP('Données projet'!$B$15,Paramètres!$A$1:$I$89,5,0)</f>
        <v>165.95280000000005</v>
      </c>
      <c r="EL78" s="14">
        <f t="shared" si="99"/>
        <v>42.182318214665827</v>
      </c>
      <c r="EM78" s="22">
        <f t="shared" si="73"/>
        <v>362.50199755720973</v>
      </c>
      <c r="EN78" s="62">
        <f t="shared" si="74"/>
        <v>631.16358225703448</v>
      </c>
      <c r="EO78" s="62">
        <f ca="1">AVERAGE(OFFSET($EN$3,0,0,'Données projet'!$E$15+1,1))-AVERAGE(OFFSET($H$3,0,0,'Données projet'!$E$15+1,1))</f>
        <v>346.97972840139914</v>
      </c>
      <c r="EP78" s="62">
        <f t="shared" si="100"/>
        <v>158.41433650660613</v>
      </c>
      <c r="EQ78" s="16">
        <f>IF(ISNA(VLOOKUP(A78,'Données projet'!$A$191:$I$211,3,0)),0,VLOOKUP(A78,'Données projet'!$A$191:$I$211,3,0))</f>
        <v>5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190</v>
      </c>
      <c r="FC78" s="13">
        <f>VLOOKUP(A78,'Données projet'!$A$217:$I$237,9,0)</f>
        <v>3.6</v>
      </c>
      <c r="FD78" s="13">
        <f t="array" ref="FD78">INDEX(FC:FC,MIN(IF(ISNUMBER(FC78:FC274),ROW(FC78:FC274),"")))</f>
        <v>3.6</v>
      </c>
      <c r="FE78" s="13">
        <f>IF('Données projet'!$A$218&gt;35,FE77+FD78-FM77,IF(A78&lt;'Données projet'!$A$218,$FB$205^A78,IF(A78='Données projet'!$A$218,'Données projet'!$B$218,FE77+FD78-FM77)))</f>
        <v>189.9999999999998</v>
      </c>
      <c r="FF78" s="18">
        <f>FE78*VLOOKUP('Données projet'!$B$16,Paramètres!$A$1:$I$89,3,0)*VLOOKUP('Données projet'!$B$16,Paramètres!$A$1:$I$89,5,0)</f>
        <v>124.48799999999987</v>
      </c>
      <c r="FG78" s="14">
        <f t="shared" si="101"/>
        <v>32.719504245667238</v>
      </c>
      <c r="FH78" s="22">
        <f t="shared" si="76"/>
        <v>273.80306989453686</v>
      </c>
      <c r="FI78" s="62">
        <f t="shared" si="77"/>
        <v>542.46465459436172</v>
      </c>
      <c r="FJ78" s="62">
        <f ca="1">AVERAGE(OFFSET($FI$3,0,0,'Données projet'!$E$16+1,1))-AVERAGE(OFFSET($H$3,0,0,'Données projet'!$E$16+1,1))</f>
        <v>235.88453308732235</v>
      </c>
      <c r="FK78" s="62">
        <f t="shared" si="102"/>
        <v>220.72810812053521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29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217.33919999999992</v>
      </c>
      <c r="P79" s="14">
        <f t="shared" si="87"/>
        <v>53.536165068020416</v>
      </c>
      <c r="Q79" s="22">
        <f t="shared" si="54"/>
        <v>471.77459416013545</v>
      </c>
      <c r="R79" s="62">
        <f t="shared" si="55"/>
        <v>740.86417854098488</v>
      </c>
      <c r="S79" s="62">
        <f ca="1">AVERAGE(OFFSET($R$3,0,0,'Données projet'!$E$9+1,1))-AVERAGE(OFFSET($H$3,0,0,'Données projet'!$E$9+1,1))</f>
        <v>442.98179778678298</v>
      </c>
      <c r="T79" s="62">
        <f t="shared" si="88"/>
        <v>251.96153561746942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4.2</v>
      </c>
      <c r="AI79" s="14">
        <f>IF('Données projet'!$A$62&gt;35,AI78+AH79-AQ78,IF(A79&lt;'Données projet'!$A$62,$AF$205^A79,IF(A79='Données projet'!$A$62,'Données projet'!$B$62,AI78+AH79-AQ78)))</f>
        <v>227.2000000000001</v>
      </c>
      <c r="AJ79" s="14">
        <f>AI79*VLOOKUP('Données projet'!$B$10,Paramètres!$A$1:$I$89,3,0)*VLOOKUP('Données projet'!$B$10,Paramètres!$A$1:$I$89,5,0)</f>
        <v>148.86144000000007</v>
      </c>
      <c r="AK79" s="14">
        <f t="shared" si="89"/>
        <v>38.319729148991954</v>
      </c>
      <c r="AL79" s="22">
        <f t="shared" si="58"/>
        <v>326.00720293449439</v>
      </c>
      <c r="AM79" s="62">
        <f t="shared" si="59"/>
        <v>595.09678731534382</v>
      </c>
      <c r="AN79" s="62">
        <f ca="1">AVERAGE(OFFSET($AM$3,0,0,'Données projet'!$E$10+1,1))-AVERAGE(OFFSET($H$3,0,0,'Données projet'!$E$10+1,1))</f>
        <v>304.35088214287919</v>
      </c>
      <c r="AO79" s="62">
        <f t="shared" si="90"/>
        <v>288.72611053217599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6.0897435897435859</v>
      </c>
      <c r="BD79" s="13">
        <f>IF('Données projet'!$A$88&gt;35,BD78+BC79-BL78,IF(A79&lt;'Données projet'!$A$88,$BA$205^A79,IF(A79='Données projet'!$A$88,'Données projet'!$B$88,BD78+BC79-BL78)))</f>
        <v>353.84615384615387</v>
      </c>
      <c r="BE79" s="14">
        <f>BD79*VLOOKUP('Données projet'!$B$11,Paramètres!$A$1:$I$89,3,0)*VLOOKUP('Données projet'!$B$11,Paramètres!$A$1:$I$89,5,0)</f>
        <v>226.32</v>
      </c>
      <c r="BF79" s="14">
        <f t="shared" si="91"/>
        <v>55.486234085502232</v>
      </c>
      <c r="BG79" s="22">
        <f t="shared" si="61"/>
        <v>490.8125243655831</v>
      </c>
      <c r="BH79" s="62">
        <f t="shared" si="62"/>
        <v>759.90210874643253</v>
      </c>
      <c r="BI79" s="62">
        <f ca="1">AVERAGE(OFFSET($BH$3,0,0,'Données projet'!$E$11+1,1))-AVERAGE(OFFSET($H$3,0,0,'Données projet'!$E$11+1,1))</f>
        <v>285.09561428624352</v>
      </c>
      <c r="BJ79" s="62">
        <f t="shared" si="92"/>
        <v>261.05678516705564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-9.2222762759774927E-14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272.69564942740931</v>
      </c>
      <c r="CE79" s="62">
        <f t="shared" si="94"/>
        <v>316.57989180609252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</v>
      </c>
      <c r="CT79" s="13">
        <f>IF('Données projet'!$A$140&gt;35,CT78+CS79-DB78,IF(A79&lt;'Données projet'!$A$140,$CQ$205^A79,IF(A79='Données projet'!$A$140,'Données projet'!$B$140,CT78+CS79-DB78)))</f>
        <v>227.2000000000001</v>
      </c>
      <c r="CU79" s="18">
        <f>CT79*VLOOKUP('Données projet'!$B$13,Paramètres!$A$1:$I$89,3,0)*VLOOKUP('Données projet'!$B$13,Paramètres!$A$1:$I$89,5,0)</f>
        <v>148.86144000000007</v>
      </c>
      <c r="CV79" s="14">
        <f t="shared" si="95"/>
        <v>38.319729148991954</v>
      </c>
      <c r="CW79" s="22">
        <f t="shared" si="67"/>
        <v>326.00720293449439</v>
      </c>
      <c r="CX79" s="62">
        <f t="shared" si="68"/>
        <v>595.09678731534382</v>
      </c>
      <c r="CY79" s="62">
        <f ca="1">AVERAGE(OFFSET($CX$3,0,0,'Données projet'!$E$13+1,1))-AVERAGE(OFFSET($H$3,0,0,'Données projet'!$E$13+1,1))</f>
        <v>304.35088214287919</v>
      </c>
      <c r="CZ79" s="62">
        <f t="shared" si="96"/>
        <v>288.72611053217599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1.1368683772161603E-13</v>
      </c>
      <c r="DP79" s="18">
        <f>DO79*VLOOKUP('Données projet'!$B$14,Paramètres!$A$1:$I$89,3,0)*VLOOKUP('Données projet'!$B$14,Paramètres!$A$1:$I$89,5,0)</f>
        <v>6.5620042732916778E-14</v>
      </c>
      <c r="DQ79" s="14">
        <f t="shared" si="97"/>
        <v>1.0353460337118015E-12</v>
      </c>
      <c r="DR79" s="22">
        <f t="shared" si="70"/>
        <v>1.9175159164745509E-12</v>
      </c>
      <c r="DS79" s="62">
        <f t="shared" si="71"/>
        <v>269.08958438085136</v>
      </c>
      <c r="DT79" s="62">
        <f ca="1">AVERAGE(OFFSET($DS$3,0,0,'Données projet'!$E$14+1,1))-AVERAGE(OFFSET($H$3,0,0,'Données projet'!$E$14+1,1))</f>
        <v>172.86120068224633</v>
      </c>
      <c r="DU79" s="62">
        <f t="shared" si="98"/>
        <v>269.4995727085078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4.5999999999999996</v>
      </c>
      <c r="EJ79" s="13">
        <f>IF('Données projet'!$A$192&gt;35,EJ78+EI79-ER78,IF(A79&lt;'Données projet'!$A$192,$EG$205^A79,IF(A79='Données projet'!$A$192,'Données projet'!$B$192,EJ78+EI79-ER78)))</f>
        <v>173.60000000000005</v>
      </c>
      <c r="EK79" s="18">
        <f>EJ79*VLOOKUP('Données projet'!$B$15,Paramètres!$A$1:$I$89,3,0)*VLOOKUP('Données projet'!$B$15,Paramètres!$A$1:$I$89,5,0)</f>
        <v>146.24064000000004</v>
      </c>
      <c r="EL79" s="14">
        <f t="shared" si="99"/>
        <v>37.722999642090628</v>
      </c>
      <c r="EM79" s="22">
        <f t="shared" si="73"/>
        <v>320.40333904330794</v>
      </c>
      <c r="EN79" s="62">
        <f t="shared" si="74"/>
        <v>589.49292342415742</v>
      </c>
      <c r="EO79" s="62">
        <f ca="1">AVERAGE(OFFSET($EN$3,0,0,'Données projet'!$E$15+1,1))-AVERAGE(OFFSET($H$3,0,0,'Données projet'!$E$15+1,1))</f>
        <v>346.97972840139914</v>
      </c>
      <c r="EP79" s="62">
        <f t="shared" si="100"/>
        <v>158.41433650660613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3.4</v>
      </c>
      <c r="FE79" s="13">
        <f>IF('Données projet'!$A$218&gt;35,FE78+FD79-FM78,IF(A79&lt;'Données projet'!$A$218,$FB$205^A79,IF(A79='Données projet'!$A$218,'Données projet'!$B$218,FE78+FD79-FM78)))</f>
        <v>164.39999999999981</v>
      </c>
      <c r="FF79" s="18">
        <f>FE79*VLOOKUP('Données projet'!$B$16,Paramètres!$A$1:$I$89,3,0)*VLOOKUP('Données projet'!$B$16,Paramètres!$A$1:$I$89,5,0)</f>
        <v>107.71487999999988</v>
      </c>
      <c r="FG79" s="14">
        <f t="shared" si="101"/>
        <v>28.791936453559583</v>
      </c>
      <c r="FH79" s="22">
        <f t="shared" si="76"/>
        <v>237.74937198994937</v>
      </c>
      <c r="FI79" s="62">
        <f t="shared" si="77"/>
        <v>506.83895637079877</v>
      </c>
      <c r="FJ79" s="62">
        <f ca="1">AVERAGE(OFFSET($FI$3,0,0,'Données projet'!$E$16+1,1))-AVERAGE(OFFSET($H$3,0,0,'Données projet'!$E$16+1,1))</f>
        <v>235.88453308732235</v>
      </c>
      <c r="FK79" s="62">
        <f t="shared" si="102"/>
        <v>220.72810812053521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222.39359999999994</v>
      </c>
      <c r="P80" s="14">
        <f t="shared" si="87"/>
        <v>54.634794757949287</v>
      </c>
      <c r="Q80" s="22">
        <f t="shared" si="54"/>
        <v>482.4911208700949</v>
      </c>
      <c r="R80" s="62">
        <f t="shared" si="55"/>
        <v>752.00128009436719</v>
      </c>
      <c r="S80" s="62">
        <f ca="1">AVERAGE(OFFSET($R$3,0,0,'Données projet'!$E$9+1,1))-AVERAGE(OFFSET($H$3,0,0,'Données projet'!$E$9+1,1))</f>
        <v>442.98179778678298</v>
      </c>
      <c r="T80" s="62">
        <f t="shared" si="88"/>
        <v>251.96153561746942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4.2</v>
      </c>
      <c r="AI80" s="14">
        <f>IF('Données projet'!$A$62&gt;35,AI79+AH80-AQ79,IF(A80&lt;'Données projet'!$A$62,$AF$205^A80,IF(A80='Données projet'!$A$62,'Données projet'!$B$62,AI79+AH80-AQ79)))</f>
        <v>231.40000000000009</v>
      </c>
      <c r="AJ80" s="14">
        <f>AI80*VLOOKUP('Données projet'!$B$10,Paramètres!$A$1:$I$89,3,0)*VLOOKUP('Données projet'!$B$10,Paramètres!$A$1:$I$89,5,0)</f>
        <v>151.61328000000006</v>
      </c>
      <c r="AK80" s="14">
        <f t="shared" si="89"/>
        <v>38.944980714143632</v>
      </c>
      <c r="AL80" s="22">
        <f t="shared" si="58"/>
        <v>331.88897074380026</v>
      </c>
      <c r="AM80" s="62">
        <f t="shared" si="59"/>
        <v>601.39912996807254</v>
      </c>
      <c r="AN80" s="62">
        <f ca="1">AVERAGE(OFFSET($AM$3,0,0,'Données projet'!$E$10+1,1))-AVERAGE(OFFSET($H$3,0,0,'Données projet'!$E$10+1,1))</f>
        <v>304.35088214287919</v>
      </c>
      <c r="AO80" s="62">
        <f t="shared" si="90"/>
        <v>288.72611053217599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6.0897435897435859</v>
      </c>
      <c r="BD80" s="13">
        <f>IF('Données projet'!$A$88&gt;35,BD79+BC80-BL79,IF(A80&lt;'Données projet'!$A$88,$BA$205^A80,IF(A80='Données projet'!$A$88,'Données projet'!$B$88,BD79+BC80-BL79)))</f>
        <v>359.93589743589746</v>
      </c>
      <c r="BE80" s="14">
        <f>BD80*VLOOKUP('Données projet'!$B$11,Paramètres!$A$1:$I$89,3,0)*VLOOKUP('Données projet'!$B$11,Paramètres!$A$1:$I$89,5,0)</f>
        <v>230.21500000000003</v>
      </c>
      <c r="BF80" s="14">
        <f t="shared" si="91"/>
        <v>56.329167029570456</v>
      </c>
      <c r="BG80" s="22">
        <f t="shared" si="61"/>
        <v>499.06442424316856</v>
      </c>
      <c r="BH80" s="62">
        <f t="shared" si="62"/>
        <v>768.57458346744079</v>
      </c>
      <c r="BI80" s="62">
        <f ca="1">AVERAGE(OFFSET($BH$3,0,0,'Données projet'!$E$11+1,1))-AVERAGE(OFFSET($H$3,0,0,'Données projet'!$E$11+1,1))</f>
        <v>285.09561428624352</v>
      </c>
      <c r="BJ80" s="62">
        <f t="shared" si="92"/>
        <v>261.05678516705564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-9.2222762759774927E-14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272.69564942740931</v>
      </c>
      <c r="CE80" s="62">
        <f t="shared" si="94"/>
        <v>316.57989180609252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</v>
      </c>
      <c r="CT80" s="13">
        <f>IF('Données projet'!$A$140&gt;35,CT79+CS80-DB79,IF(A80&lt;'Données projet'!$A$140,$CQ$205^A80,IF(A80='Données projet'!$A$140,'Données projet'!$B$140,CT79+CS80-DB79)))</f>
        <v>231.40000000000009</v>
      </c>
      <c r="CU80" s="18">
        <f>CT80*VLOOKUP('Données projet'!$B$13,Paramètres!$A$1:$I$89,3,0)*VLOOKUP('Données projet'!$B$13,Paramètres!$A$1:$I$89,5,0)</f>
        <v>151.61328000000006</v>
      </c>
      <c r="CV80" s="14">
        <f t="shared" si="95"/>
        <v>38.944980714143632</v>
      </c>
      <c r="CW80" s="22">
        <f t="shared" si="67"/>
        <v>331.88897074380026</v>
      </c>
      <c r="CX80" s="62">
        <f t="shared" si="68"/>
        <v>601.39912996807254</v>
      </c>
      <c r="CY80" s="62">
        <f ca="1">AVERAGE(OFFSET($CX$3,0,0,'Données projet'!$E$13+1,1))-AVERAGE(OFFSET($H$3,0,0,'Données projet'!$E$13+1,1))</f>
        <v>304.35088214287919</v>
      </c>
      <c r="CZ80" s="62">
        <f t="shared" si="96"/>
        <v>288.72611053217599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projet'!$B$14,Paramètres!$A$1:$I$89,3,0)*VLOOKUP('Données projet'!$B$14,Paramètres!$A$1:$I$89,5,0)</f>
        <v>6.5620042732916778E-14</v>
      </c>
      <c r="DQ80" s="14">
        <f t="shared" si="97"/>
        <v>1.0353460337118015E-12</v>
      </c>
      <c r="DR80" s="22">
        <f t="shared" si="70"/>
        <v>1.9175159164745509E-12</v>
      </c>
      <c r="DS80" s="62">
        <f t="shared" si="71"/>
        <v>269.51015922427422</v>
      </c>
      <c r="DT80" s="62">
        <f ca="1">AVERAGE(OFFSET($DS$3,0,0,'Données projet'!$E$14+1,1))-AVERAGE(OFFSET($H$3,0,0,'Données projet'!$E$14+1,1))</f>
        <v>172.86120068224633</v>
      </c>
      <c r="DU80" s="62">
        <f t="shared" si="98"/>
        <v>269.4995727085078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4.5999999999999996</v>
      </c>
      <c r="EJ80" s="13">
        <f>IF('Données projet'!$A$192&gt;35,EJ79+EI80-ER79,IF(A80&lt;'Données projet'!$A$192,$EG$205^A80,IF(A80='Données projet'!$A$192,'Données projet'!$B$192,EJ79+EI80-ER79)))</f>
        <v>178.20000000000005</v>
      </c>
      <c r="EK80" s="18">
        <f>EJ80*VLOOKUP('Données projet'!$B$15,Paramètres!$A$1:$I$89,3,0)*VLOOKUP('Données projet'!$B$15,Paramètres!$A$1:$I$89,5,0)</f>
        <v>150.11568000000005</v>
      </c>
      <c r="EL80" s="14">
        <f t="shared" si="99"/>
        <v>38.604873136356538</v>
      </c>
      <c r="EM80" s="22">
        <f t="shared" si="73"/>
        <v>328.68829671248773</v>
      </c>
      <c r="EN80" s="62">
        <f t="shared" si="74"/>
        <v>598.19845593675996</v>
      </c>
      <c r="EO80" s="62">
        <f ca="1">AVERAGE(OFFSET($EN$3,0,0,'Données projet'!$E$15+1,1))-AVERAGE(OFFSET($H$3,0,0,'Données projet'!$E$15+1,1))</f>
        <v>346.97972840139914</v>
      </c>
      <c r="EP80" s="62">
        <f t="shared" si="100"/>
        <v>158.41433650660613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3.4</v>
      </c>
      <c r="FE80" s="13">
        <f>IF('Données projet'!$A$218&gt;35,FE79+FD80-FM79,IF(A80&lt;'Données projet'!$A$218,$FB$205^A80,IF(A80='Données projet'!$A$218,'Données projet'!$B$218,FE79+FD80-FM79)))</f>
        <v>167.79999999999981</v>
      </c>
      <c r="FF80" s="18">
        <f>FE80*VLOOKUP('Données projet'!$B$16,Paramètres!$A$1:$I$89,3,0)*VLOOKUP('Données projet'!$B$16,Paramètres!$A$1:$I$89,5,0)</f>
        <v>109.94255999999987</v>
      </c>
      <c r="FG80" s="14">
        <f t="shared" si="101"/>
        <v>29.31745084917295</v>
      </c>
      <c r="FH80" s="22">
        <f t="shared" si="76"/>
        <v>242.54451889564268</v>
      </c>
      <c r="FI80" s="62">
        <f t="shared" si="77"/>
        <v>512.05467811991502</v>
      </c>
      <c r="FJ80" s="62">
        <f ca="1">AVERAGE(OFFSET($FI$3,0,0,'Données projet'!$E$16+1,1))-AVERAGE(OFFSET($H$3,0,0,'Données projet'!$E$16+1,1))</f>
        <v>235.88453308732235</v>
      </c>
      <c r="FK80" s="62">
        <f t="shared" si="102"/>
        <v>220.72810812053521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227.44799999999995</v>
      </c>
      <c r="P81" s="14">
        <f t="shared" si="87"/>
        <v>55.730521649800686</v>
      </c>
      <c r="Q81" s="22">
        <f t="shared" si="54"/>
        <v>493.20259187340275</v>
      </c>
      <c r="R81" s="62">
        <f t="shared" si="55"/>
        <v>763.12602990782898</v>
      </c>
      <c r="S81" s="62">
        <f ca="1">AVERAGE(OFFSET($R$3,0,0,'Données projet'!$E$9+1,1))-AVERAGE(OFFSET($H$3,0,0,'Données projet'!$E$9+1,1))</f>
        <v>442.98179778678298</v>
      </c>
      <c r="T81" s="62">
        <f t="shared" si="88"/>
        <v>251.96153561746942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4.2</v>
      </c>
      <c r="AI81" s="14">
        <f>IF('Données projet'!$A$62&gt;35,AI80+AH81-AQ80,IF(A81&lt;'Données projet'!$A$62,$AF$205^A81,IF(A81='Données projet'!$A$62,'Données projet'!$B$62,AI80+AH81-AQ80)))</f>
        <v>235.60000000000008</v>
      </c>
      <c r="AJ81" s="14">
        <f>AI81*VLOOKUP('Données projet'!$B$10,Paramètres!$A$1:$I$89,3,0)*VLOOKUP('Données projet'!$B$10,Paramètres!$A$1:$I$89,5,0)</f>
        <v>154.36512000000005</v>
      </c>
      <c r="AK81" s="14">
        <f t="shared" si="89"/>
        <v>39.568912624848309</v>
      </c>
      <c r="AL81" s="22">
        <f t="shared" si="58"/>
        <v>337.76844015494419</v>
      </c>
      <c r="AM81" s="62">
        <f t="shared" si="59"/>
        <v>607.69187818937041</v>
      </c>
      <c r="AN81" s="62">
        <f ca="1">AVERAGE(OFFSET($AM$3,0,0,'Données projet'!$E$10+1,1))-AVERAGE(OFFSET($H$3,0,0,'Données projet'!$E$10+1,1))</f>
        <v>304.35088214287919</v>
      </c>
      <c r="AO81" s="62">
        <f t="shared" si="90"/>
        <v>288.72611053217599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6.0897435897435859</v>
      </c>
      <c r="BD81" s="13">
        <f>IF('Données projet'!$A$88&gt;35,BD80+BC81-BL80,IF(A81&lt;'Données projet'!$A$88,$BA$205^A81,IF(A81='Données projet'!$A$88,'Données projet'!$B$88,BD80+BC81-BL80)))</f>
        <v>366.02564102564105</v>
      </c>
      <c r="BE81" s="14">
        <f>BD81*VLOOKUP('Données projet'!$B$11,Paramètres!$A$1:$I$89,3,0)*VLOOKUP('Données projet'!$B$11,Paramètres!$A$1:$I$89,5,0)</f>
        <v>234.11</v>
      </c>
      <c r="BF81" s="14">
        <f t="shared" si="91"/>
        <v>57.170441478564811</v>
      </c>
      <c r="BG81" s="22">
        <f t="shared" si="61"/>
        <v>507.31343557516715</v>
      </c>
      <c r="BH81" s="62">
        <f t="shared" si="62"/>
        <v>777.23687360959343</v>
      </c>
      <c r="BI81" s="62">
        <f ca="1">AVERAGE(OFFSET($BH$3,0,0,'Données projet'!$E$11+1,1))-AVERAGE(OFFSET($H$3,0,0,'Données projet'!$E$11+1,1))</f>
        <v>285.09561428624352</v>
      </c>
      <c r="BJ81" s="62">
        <f t="shared" si="92"/>
        <v>261.05678516705564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-9.2222762759774927E-14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272.69564942740931</v>
      </c>
      <c r="CE81" s="62">
        <f t="shared" si="94"/>
        <v>316.57989180609252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</v>
      </c>
      <c r="CT81" s="13">
        <f>IF('Données projet'!$A$140&gt;35,CT80+CS81-DB80,IF(A81&lt;'Données projet'!$A$140,$CQ$205^A81,IF(A81='Données projet'!$A$140,'Données projet'!$B$140,CT80+CS81-DB80)))</f>
        <v>235.60000000000008</v>
      </c>
      <c r="CU81" s="18">
        <f>CT81*VLOOKUP('Données projet'!$B$13,Paramètres!$A$1:$I$89,3,0)*VLOOKUP('Données projet'!$B$13,Paramètres!$A$1:$I$89,5,0)</f>
        <v>154.36512000000005</v>
      </c>
      <c r="CV81" s="14">
        <f t="shared" si="95"/>
        <v>39.568912624848309</v>
      </c>
      <c r="CW81" s="22">
        <f t="shared" si="67"/>
        <v>337.76844015494419</v>
      </c>
      <c r="CX81" s="62">
        <f t="shared" si="68"/>
        <v>607.69187818937041</v>
      </c>
      <c r="CY81" s="62">
        <f ca="1">AVERAGE(OFFSET($CX$3,0,0,'Données projet'!$E$13+1,1))-AVERAGE(OFFSET($H$3,0,0,'Données projet'!$E$13+1,1))</f>
        <v>304.35088214287919</v>
      </c>
      <c r="CZ81" s="62">
        <f t="shared" si="96"/>
        <v>288.72611053217599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projet'!$B$14,Paramètres!$A$1:$I$89,3,0)*VLOOKUP('Données projet'!$B$14,Paramètres!$A$1:$I$89,5,0)</f>
        <v>6.5620042732916778E-14</v>
      </c>
      <c r="DQ81" s="14">
        <f t="shared" si="97"/>
        <v>1.0353460337118015E-12</v>
      </c>
      <c r="DR81" s="22">
        <f t="shared" si="70"/>
        <v>1.9175159164745509E-12</v>
      </c>
      <c r="DS81" s="62">
        <f t="shared" si="71"/>
        <v>269.92343803442816</v>
      </c>
      <c r="DT81" s="62">
        <f ca="1">AVERAGE(OFFSET($DS$3,0,0,'Données projet'!$E$14+1,1))-AVERAGE(OFFSET($H$3,0,0,'Données projet'!$E$14+1,1))</f>
        <v>172.86120068224633</v>
      </c>
      <c r="DU81" s="62">
        <f t="shared" si="98"/>
        <v>269.4995727085078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4.5999999999999996</v>
      </c>
      <c r="EJ81" s="13">
        <f>IF('Données projet'!$A$192&gt;35,EJ80+EI81-ER80,IF(A81&lt;'Données projet'!$A$192,$EG$205^A81,IF(A81='Données projet'!$A$192,'Données projet'!$B$192,EJ80+EI81-ER80)))</f>
        <v>182.80000000000004</v>
      </c>
      <c r="EK81" s="18">
        <f>EJ81*VLOOKUP('Données projet'!$B$15,Paramètres!$A$1:$I$89,3,0)*VLOOKUP('Données projet'!$B$15,Paramètres!$A$1:$I$89,5,0)</f>
        <v>153.99072000000007</v>
      </c>
      <c r="EL81" s="14">
        <f t="shared" si="99"/>
        <v>39.48410051952979</v>
      </c>
      <c r="EM81" s="22">
        <f t="shared" si="73"/>
        <v>336.96864573818112</v>
      </c>
      <c r="EN81" s="62">
        <f t="shared" si="74"/>
        <v>606.89208377260729</v>
      </c>
      <c r="EO81" s="62">
        <f ca="1">AVERAGE(OFFSET($EN$3,0,0,'Données projet'!$E$15+1,1))-AVERAGE(OFFSET($H$3,0,0,'Données projet'!$E$15+1,1))</f>
        <v>346.97972840139914</v>
      </c>
      <c r="EP81" s="62">
        <f t="shared" si="100"/>
        <v>158.41433650660613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3.4</v>
      </c>
      <c r="FE81" s="13">
        <f>IF('Données projet'!$A$218&gt;35,FE80+FD81-FM80,IF(A81&lt;'Données projet'!$A$218,$FB$205^A81,IF(A81='Données projet'!$A$218,'Données projet'!$B$218,FE80+FD81-FM80)))</f>
        <v>171.19999999999982</v>
      </c>
      <c r="FF81" s="18">
        <f>FE81*VLOOKUP('Données projet'!$B$16,Paramètres!$A$1:$I$89,3,0)*VLOOKUP('Données projet'!$B$16,Paramètres!$A$1:$I$89,5,0)</f>
        <v>112.17023999999989</v>
      </c>
      <c r="FG81" s="14">
        <f t="shared" si="101"/>
        <v>29.841727178418427</v>
      </c>
      <c r="FH81" s="22">
        <f t="shared" si="76"/>
        <v>247.33750950241188</v>
      </c>
      <c r="FI81" s="62">
        <f t="shared" si="77"/>
        <v>517.2609475368381</v>
      </c>
      <c r="FJ81" s="62">
        <f ca="1">AVERAGE(OFFSET($FI$3,0,0,'Données projet'!$E$16+1,1))-AVERAGE(OFFSET($H$3,0,0,'Données projet'!$E$16+1,1))</f>
        <v>235.88453308732235</v>
      </c>
      <c r="FK81" s="62">
        <f t="shared" si="102"/>
        <v>220.72810812053521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232.50239999999991</v>
      </c>
      <c r="P82" s="14">
        <f t="shared" si="87"/>
        <v>56.823417677671891</v>
      </c>
      <c r="Q82" s="22">
        <f t="shared" si="54"/>
        <v>503.90913245527832</v>
      </c>
      <c r="R82" s="62">
        <f t="shared" si="55"/>
        <v>774.23867983645528</v>
      </c>
      <c r="S82" s="62">
        <f ca="1">AVERAGE(OFFSET($R$3,0,0,'Données projet'!$E$9+1,1))-AVERAGE(OFFSET($H$3,0,0,'Données projet'!$E$9+1,1))</f>
        <v>442.98179778678298</v>
      </c>
      <c r="T82" s="62">
        <f t="shared" si="88"/>
        <v>251.96153561746942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4.2</v>
      </c>
      <c r="AI82" s="14">
        <f>IF('Données projet'!$A$62&gt;35,AI81+AH82-AQ81,IF(A82&lt;'Données projet'!$A$62,$AF$205^A82,IF(A82='Données projet'!$A$62,'Données projet'!$B$62,AI81+AH82-AQ81)))</f>
        <v>239.80000000000007</v>
      </c>
      <c r="AJ82" s="14">
        <f>AI82*VLOOKUP('Données projet'!$B$10,Paramètres!$A$1:$I$89,3,0)*VLOOKUP('Données projet'!$B$10,Paramètres!$A$1:$I$89,5,0)</f>
        <v>157.11696000000003</v>
      </c>
      <c r="AK82" s="14">
        <f t="shared" si="89"/>
        <v>40.191551120265856</v>
      </c>
      <c r="AL82" s="22">
        <f t="shared" si="58"/>
        <v>343.6456568677965</v>
      </c>
      <c r="AM82" s="62">
        <f t="shared" si="59"/>
        <v>613.97520424897345</v>
      </c>
      <c r="AN82" s="62">
        <f ca="1">AVERAGE(OFFSET($AM$3,0,0,'Données projet'!$E$10+1,1))-AVERAGE(OFFSET($H$3,0,0,'Données projet'!$E$10+1,1))</f>
        <v>304.35088214287919</v>
      </c>
      <c r="AO82" s="62">
        <f t="shared" si="90"/>
        <v>288.72611053217599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6.0897435897435859</v>
      </c>
      <c r="BD82" s="13">
        <f>IF('Données projet'!$A$88&gt;35,BD81+BC82-BL81,IF(A82&lt;'Données projet'!$A$88,$BA$205^A82,IF(A82='Données projet'!$A$88,'Données projet'!$B$88,BD81+BC82-BL81)))</f>
        <v>372.11538461538464</v>
      </c>
      <c r="BE82" s="14">
        <f>BD82*VLOOKUP('Données projet'!$B$11,Paramètres!$A$1:$I$89,3,0)*VLOOKUP('Données projet'!$B$11,Paramètres!$A$1:$I$89,5,0)</f>
        <v>238.00500000000002</v>
      </c>
      <c r="BF82" s="14">
        <f t="shared" si="91"/>
        <v>58.01008821055833</v>
      </c>
      <c r="BG82" s="22">
        <f t="shared" si="61"/>
        <v>515.5596119667224</v>
      </c>
      <c r="BH82" s="62">
        <f t="shared" si="62"/>
        <v>785.88915934789929</v>
      </c>
      <c r="BI82" s="62">
        <f ca="1">AVERAGE(OFFSET($BH$3,0,0,'Données projet'!$E$11+1,1))-AVERAGE(OFFSET($H$3,0,0,'Données projet'!$E$11+1,1))</f>
        <v>285.09561428624352</v>
      </c>
      <c r="BJ82" s="62">
        <f t="shared" si="92"/>
        <v>261.05678516705564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-9.2222762759774927E-14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272.69564942740931</v>
      </c>
      <c r="CE82" s="62">
        <f t="shared" si="94"/>
        <v>316.57989180609252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</v>
      </c>
      <c r="CT82" s="13">
        <f>IF('Données projet'!$A$140&gt;35,CT81+CS82-DB81,IF(A82&lt;'Données projet'!$A$140,$CQ$205^A82,IF(A82='Données projet'!$A$140,'Données projet'!$B$140,CT81+CS82-DB81)))</f>
        <v>239.80000000000007</v>
      </c>
      <c r="CU82" s="18">
        <f>CT82*VLOOKUP('Données projet'!$B$13,Paramètres!$A$1:$I$89,3,0)*VLOOKUP('Données projet'!$B$13,Paramètres!$A$1:$I$89,5,0)</f>
        <v>157.11696000000003</v>
      </c>
      <c r="CV82" s="14">
        <f t="shared" si="95"/>
        <v>40.191551120265856</v>
      </c>
      <c r="CW82" s="22">
        <f t="shared" si="67"/>
        <v>343.6456568677965</v>
      </c>
      <c r="CX82" s="62">
        <f t="shared" si="68"/>
        <v>613.97520424897345</v>
      </c>
      <c r="CY82" s="62">
        <f ca="1">AVERAGE(OFFSET($CX$3,0,0,'Données projet'!$E$13+1,1))-AVERAGE(OFFSET($H$3,0,0,'Données projet'!$E$13+1,1))</f>
        <v>304.35088214287919</v>
      </c>
      <c r="CZ82" s="62">
        <f t="shared" si="96"/>
        <v>288.72611053217599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projet'!$B$14,Paramètres!$A$1:$I$89,3,0)*VLOOKUP('Données projet'!$B$14,Paramètres!$A$1:$I$89,5,0)</f>
        <v>6.5620042732916778E-14</v>
      </c>
      <c r="DQ82" s="14">
        <f t="shared" si="97"/>
        <v>1.0353460337118015E-12</v>
      </c>
      <c r="DR82" s="22">
        <f t="shared" si="70"/>
        <v>1.9175159164745509E-12</v>
      </c>
      <c r="DS82" s="62">
        <f t="shared" si="71"/>
        <v>270.32954738117888</v>
      </c>
      <c r="DT82" s="62">
        <f ca="1">AVERAGE(OFFSET($DS$3,0,0,'Données projet'!$E$14+1,1))-AVERAGE(OFFSET($H$3,0,0,'Données projet'!$E$14+1,1))</f>
        <v>172.86120068224633</v>
      </c>
      <c r="DU82" s="62">
        <f t="shared" si="98"/>
        <v>269.4995727085078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4.5999999999999996</v>
      </c>
      <c r="EJ82" s="13">
        <f>IF('Données projet'!$A$192&gt;35,EJ81+EI82-ER81,IF(A82&lt;'Données projet'!$A$192,$EG$205^A82,IF(A82='Données projet'!$A$192,'Données projet'!$B$192,EJ81+EI82-ER81)))</f>
        <v>187.40000000000003</v>
      </c>
      <c r="EK82" s="18">
        <f>EJ82*VLOOKUP('Données projet'!$B$15,Paramètres!$A$1:$I$89,3,0)*VLOOKUP('Données projet'!$B$15,Paramètres!$A$1:$I$89,5,0)</f>
        <v>157.86576000000005</v>
      </c>
      <c r="EL82" s="14">
        <f t="shared" si="99"/>
        <v>40.360756036470178</v>
      </c>
      <c r="EM82" s="22">
        <f t="shared" si="73"/>
        <v>345.24451543018563</v>
      </c>
      <c r="EN82" s="62">
        <f t="shared" si="74"/>
        <v>615.57406281136264</v>
      </c>
      <c r="EO82" s="62">
        <f ca="1">AVERAGE(OFFSET($EN$3,0,0,'Données projet'!$E$15+1,1))-AVERAGE(OFFSET($H$3,0,0,'Données projet'!$E$15+1,1))</f>
        <v>346.97972840139914</v>
      </c>
      <c r="EP82" s="62">
        <f t="shared" si="100"/>
        <v>158.41433650660613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3.4</v>
      </c>
      <c r="FE82" s="13">
        <f>IF('Données projet'!$A$218&gt;35,FE81+FD82-FM81,IF(A82&lt;'Données projet'!$A$218,$FB$205^A82,IF(A82='Données projet'!$A$218,'Données projet'!$B$218,FE81+FD82-FM81)))</f>
        <v>174.59999999999982</v>
      </c>
      <c r="FF82" s="18">
        <f>FE82*VLOOKUP('Données projet'!$B$16,Paramètres!$A$1:$I$89,3,0)*VLOOKUP('Données projet'!$B$16,Paramètres!$A$1:$I$89,5,0)</f>
        <v>114.39791999999989</v>
      </c>
      <c r="FG82" s="14">
        <f t="shared" si="101"/>
        <v>30.364792863013271</v>
      </c>
      <c r="FH82" s="22">
        <f t="shared" si="76"/>
        <v>252.12839156974792</v>
      </c>
      <c r="FI82" s="62">
        <f t="shared" si="77"/>
        <v>522.45793895092493</v>
      </c>
      <c r="FJ82" s="62">
        <f ca="1">AVERAGE(OFFSET($FI$3,0,0,'Données projet'!$E$16+1,1))-AVERAGE(OFFSET($H$3,0,0,'Données projet'!$E$16+1,1))</f>
        <v>235.88453308732235</v>
      </c>
      <c r="FK82" s="62">
        <f t="shared" si="102"/>
        <v>220.72810812053521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237.55679999999992</v>
      </c>
      <c r="P83" s="14">
        <f t="shared" si="87"/>
        <v>57.913551469467308</v>
      </c>
      <c r="Q83" s="22">
        <f t="shared" si="54"/>
        <v>514.61086214265538</v>
      </c>
      <c r="R83" s="62">
        <f t="shared" si="55"/>
        <v>785.33947378134144</v>
      </c>
      <c r="S83" s="62">
        <f ca="1">AVERAGE(OFFSET($R$3,0,0,'Données projet'!$E$9+1,1))-AVERAGE(OFFSET($H$3,0,0,'Données projet'!$E$9+1,1))</f>
        <v>442.98179778678298</v>
      </c>
      <c r="T83" s="62">
        <f t="shared" si="88"/>
        <v>251.96153561746942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244</v>
      </c>
      <c r="AG83" s="13">
        <f>VLOOKUP(A83,'Données projet'!$A$61:$I$81,9,0)</f>
        <v>4.2</v>
      </c>
      <c r="AH83" s="13">
        <f t="array" ref="AH83">INDEX(AG:AG,MIN(IF(ISNUMBER(AG83:AG279),ROW(AG83:AG279),"")))</f>
        <v>4.2</v>
      </c>
      <c r="AI83" s="14">
        <f>IF('Données projet'!$A$62&gt;35,AI82+AH83-AQ82,IF(A83&lt;'Données projet'!$A$62,$AF$205^A83,IF(A83='Données projet'!$A$62,'Données projet'!$B$62,AI82+AH83-AQ82)))</f>
        <v>244.00000000000006</v>
      </c>
      <c r="AJ83" s="14">
        <f>AI83*VLOOKUP('Données projet'!$B$10,Paramètres!$A$1:$I$89,3,0)*VLOOKUP('Données projet'!$B$10,Paramètres!$A$1:$I$89,5,0)</f>
        <v>159.86880000000002</v>
      </c>
      <c r="AK83" s="14">
        <f t="shared" si="89"/>
        <v>40.812921467768035</v>
      </c>
      <c r="AL83" s="22">
        <f t="shared" si="58"/>
        <v>349.52066488969604</v>
      </c>
      <c r="AM83" s="62">
        <f t="shared" si="59"/>
        <v>620.2492765283821</v>
      </c>
      <c r="AN83" s="62">
        <f ca="1">AVERAGE(OFFSET($AM$3,0,0,'Données projet'!$E$10+1,1))-AVERAGE(OFFSET($H$3,0,0,'Données projet'!$E$10+1,1))</f>
        <v>304.35088214287919</v>
      </c>
      <c r="AO83" s="62">
        <f t="shared" si="90"/>
        <v>288.72611053217599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378.20512820512818</v>
      </c>
      <c r="BB83" s="13">
        <f>VLOOKUP(A83,'Données projet'!$A$87:$I$107,9,0)</f>
        <v>6.0897435897435859</v>
      </c>
      <c r="BC83" s="13">
        <f t="array" ref="BC83">INDEX(BB:BB,MIN(IF(ISNUMBER(BB83:BB279),ROW(BB83:BB279),"")))</f>
        <v>6.0897435897435859</v>
      </c>
      <c r="BD83" s="13">
        <f>IF('Données projet'!$A$88&gt;35,BD82+BC83-BL82,IF(A83&lt;'Données projet'!$A$88,$BA$205^A83,IF(A83='Données projet'!$A$88,'Données projet'!$B$88,BD82+BC83-BL82)))</f>
        <v>378.20512820512823</v>
      </c>
      <c r="BE83" s="14">
        <f>BD83*VLOOKUP('Données projet'!$B$11,Paramètres!$A$1:$I$89,3,0)*VLOOKUP('Données projet'!$B$11,Paramètres!$A$1:$I$89,5,0)</f>
        <v>241.9</v>
      </c>
      <c r="BF83" s="14">
        <f t="shared" si="91"/>
        <v>58.848136938488487</v>
      </c>
      <c r="BG83" s="22">
        <f t="shared" si="61"/>
        <v>523.80300516786735</v>
      </c>
      <c r="BH83" s="62">
        <f t="shared" si="62"/>
        <v>794.53161680655353</v>
      </c>
      <c r="BI83" s="62">
        <f ca="1">AVERAGE(OFFSET($BH$3,0,0,'Données projet'!$E$11+1,1))-AVERAGE(OFFSET($H$3,0,0,'Données projet'!$E$11+1,1))</f>
        <v>285.09561428624352</v>
      </c>
      <c r="BJ83" s="62">
        <f t="shared" si="92"/>
        <v>261.05678516705564</v>
      </c>
      <c r="BK83" s="16">
        <f>IF(ISNA(VLOOKUP(A83,'Données projet'!$A$87:$I$107,3,0)),0,VLOOKUP(A83,'Données projet'!$A$87:$I$107,3,0))</f>
        <v>4</v>
      </c>
      <c r="BL83" s="23">
        <f>IF(ISNA(VLOOKUP(A83,'Données projet'!$A$87:$I$107,4,0)),0,VLOOKUP(A83,'Données projet'!$A$87:$I$107,4,0))</f>
        <v>378.20512820512818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-9.2222762759774927E-14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272.69564942740931</v>
      </c>
      <c r="CE83" s="62">
        <f t="shared" si="94"/>
        <v>316.57989180609252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244</v>
      </c>
      <c r="CR83" s="13">
        <f>VLOOKUP(A83,'Données projet'!$A$139:$I$159,9,0)</f>
        <v>4.2</v>
      </c>
      <c r="CS83" s="13">
        <f t="array" ref="CS83">INDEX(CR:CR,MIN(IF(ISNUMBER(CR83:CR279),ROW(CR83:CR279),"")))</f>
        <v>4.2</v>
      </c>
      <c r="CT83" s="13">
        <f>IF('Données projet'!$A$140&gt;35,CT82+CS83-DB82,IF(A83&lt;'Données projet'!$A$140,$CQ$205^A83,IF(A83='Données projet'!$A$140,'Données projet'!$B$140,CT82+CS83-DB82)))</f>
        <v>244.00000000000006</v>
      </c>
      <c r="CU83" s="18">
        <f>CT83*VLOOKUP('Données projet'!$B$13,Paramètres!$A$1:$I$89,3,0)*VLOOKUP('Données projet'!$B$13,Paramètres!$A$1:$I$89,5,0)</f>
        <v>159.86880000000002</v>
      </c>
      <c r="CV83" s="14">
        <f t="shared" si="95"/>
        <v>40.812921467768035</v>
      </c>
      <c r="CW83" s="22">
        <f t="shared" si="67"/>
        <v>349.52066488969604</v>
      </c>
      <c r="CX83" s="62">
        <f t="shared" si="68"/>
        <v>620.2492765283821</v>
      </c>
      <c r="CY83" s="62">
        <f ca="1">AVERAGE(OFFSET($CX$3,0,0,'Données projet'!$E$13+1,1))-AVERAGE(OFFSET($H$3,0,0,'Données projet'!$E$13+1,1))</f>
        <v>304.35088214287919</v>
      </c>
      <c r="CZ83" s="62">
        <f t="shared" si="96"/>
        <v>288.72611053217599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projet'!$B$14,Paramètres!$A$1:$I$89,3,0)*VLOOKUP('Données projet'!$B$14,Paramètres!$A$1:$I$89,5,0)</f>
        <v>6.5620042732916778E-14</v>
      </c>
      <c r="DQ83" s="14">
        <f t="shared" si="97"/>
        <v>1.0353460337118015E-12</v>
      </c>
      <c r="DR83" s="22">
        <f t="shared" si="70"/>
        <v>1.9175159164745509E-12</v>
      </c>
      <c r="DS83" s="62">
        <f t="shared" si="71"/>
        <v>270.72861163868805</v>
      </c>
      <c r="DT83" s="62">
        <f ca="1">AVERAGE(OFFSET($DS$3,0,0,'Données projet'!$E$14+1,1))-AVERAGE(OFFSET($H$3,0,0,'Données projet'!$E$14+1,1))</f>
        <v>172.86120068224633</v>
      </c>
      <c r="DU83" s="62">
        <f t="shared" si="98"/>
        <v>269.4995727085078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192</v>
      </c>
      <c r="EH83" s="13">
        <f>VLOOKUP(A83,'Données projet'!$A$191:$I$211,9,0)</f>
        <v>4.5999999999999996</v>
      </c>
      <c r="EI83" s="13">
        <f t="array" ref="EI83">INDEX(EH:EH,MIN(IF(ISNUMBER(EH83:EH279),ROW(EH83:EH279),"")))</f>
        <v>4.5999999999999996</v>
      </c>
      <c r="EJ83" s="13">
        <f>IF('Données projet'!$A$192&gt;35,EJ82+EI83-ER82,IF(A83&lt;'Données projet'!$A$192,$EG$205^A83,IF(A83='Données projet'!$A$192,'Données projet'!$B$192,EJ82+EI83-ER82)))</f>
        <v>192.00000000000003</v>
      </c>
      <c r="EK83" s="18">
        <f>EJ83*VLOOKUP('Données projet'!$B$15,Paramètres!$A$1:$I$89,3,0)*VLOOKUP('Données projet'!$B$15,Paramètres!$A$1:$I$89,5,0)</f>
        <v>161.74080000000004</v>
      </c>
      <c r="EL83" s="14">
        <f t="shared" si="99"/>
        <v>41.234910079352424</v>
      </c>
      <c r="EM83" s="22">
        <f t="shared" si="73"/>
        <v>353.51602838820554</v>
      </c>
      <c r="EN83" s="62">
        <f t="shared" si="74"/>
        <v>624.2446400268916</v>
      </c>
      <c r="EO83" s="62">
        <f ca="1">AVERAGE(OFFSET($EN$3,0,0,'Données projet'!$E$15+1,1))-AVERAGE(OFFSET($H$3,0,0,'Données projet'!$E$15+1,1))</f>
        <v>346.97972840139914</v>
      </c>
      <c r="EP83" s="62">
        <f t="shared" si="100"/>
        <v>158.41433650660613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178</v>
      </c>
      <c r="FC83" s="13">
        <f>VLOOKUP(A83,'Données projet'!$A$217:$I$237,9,0)</f>
        <v>3.4</v>
      </c>
      <c r="FD83" s="13">
        <f t="array" ref="FD83">INDEX(FC:FC,MIN(IF(ISNUMBER(FC83:FC279),ROW(FC83:FC279),"")))</f>
        <v>3.4</v>
      </c>
      <c r="FE83" s="13">
        <f>IF('Données projet'!$A$218&gt;35,FE82+FD83-FM82,IF(A83&lt;'Données projet'!$A$218,$FB$205^A83,IF(A83='Données projet'!$A$218,'Données projet'!$B$218,FE82+FD83-FM82)))</f>
        <v>177.99999999999983</v>
      </c>
      <c r="FF83" s="18">
        <f>FE83*VLOOKUP('Données projet'!$B$16,Paramètres!$A$1:$I$89,3,0)*VLOOKUP('Données projet'!$B$16,Paramètres!$A$1:$I$89,5,0)</f>
        <v>116.62559999999988</v>
      </c>
      <c r="FG83" s="14">
        <f t="shared" si="101"/>
        <v>30.886674195614191</v>
      </c>
      <c r="FH83" s="22">
        <f t="shared" si="76"/>
        <v>256.91721089069443</v>
      </c>
      <c r="FI83" s="62">
        <f t="shared" si="77"/>
        <v>527.64582252938055</v>
      </c>
      <c r="FJ83" s="62">
        <f ca="1">AVERAGE(OFFSET($FI$3,0,0,'Données projet'!$E$16+1,1))-AVERAGE(OFFSET($H$3,0,0,'Données projet'!$E$16+1,1))</f>
        <v>235.88453308732235</v>
      </c>
      <c r="FK83" s="62">
        <f t="shared" si="102"/>
        <v>220.72810812053521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206.89343999999994</v>
      </c>
      <c r="P84" s="14">
        <f t="shared" si="87"/>
        <v>51.256136462199102</v>
      </c>
      <c r="Q84" s="22">
        <f t="shared" si="54"/>
        <v>449.61051233832995</v>
      </c>
      <c r="R84" s="62">
        <f t="shared" si="55"/>
        <v>720.73126536183145</v>
      </c>
      <c r="S84" s="62">
        <f ca="1">AVERAGE(OFFSET($R$3,0,0,'Données projet'!$E$9+1,1))-AVERAGE(OFFSET($H$3,0,0,'Données projet'!$E$9+1,1))</f>
        <v>442.98179778678298</v>
      </c>
      <c r="T84" s="62">
        <f t="shared" si="88"/>
        <v>251.96153561746942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3.8</v>
      </c>
      <c r="AI84" s="14">
        <f>IF('Données projet'!$A$62&gt;35,AI83+AH84-AQ83,IF(A84&lt;'Données projet'!$A$62,$AF$205^A84,IF(A84='Données projet'!$A$62,'Données projet'!$B$62,AI83+AH84-AQ83)))</f>
        <v>247.80000000000007</v>
      </c>
      <c r="AJ84" s="14">
        <f>AI84*VLOOKUP('Données projet'!$B$10,Paramètres!$A$1:$I$89,3,0)*VLOOKUP('Données projet'!$B$10,Paramètres!$A$1:$I$89,5,0)</f>
        <v>162.35856000000004</v>
      </c>
      <c r="AK84" s="14">
        <f t="shared" si="89"/>
        <v>41.374041283105448</v>
      </c>
      <c r="AL84" s="22">
        <f t="shared" si="58"/>
        <v>354.83428056807537</v>
      </c>
      <c r="AM84" s="62">
        <f t="shared" si="59"/>
        <v>625.95503359157681</v>
      </c>
      <c r="AN84" s="62">
        <f ca="1">AVERAGE(OFFSET($AM$3,0,0,'Données projet'!$E$10+1,1))-AVERAGE(OFFSET($H$3,0,0,'Données projet'!$E$10+1,1))</f>
        <v>304.35088214287919</v>
      </c>
      <c r="AO84" s="62">
        <f t="shared" si="90"/>
        <v>288.72611053217599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3.6357050703372803E-14</v>
      </c>
      <c r="BF84" s="14">
        <f t="shared" si="91"/>
        <v>6.1445232567661395E-13</v>
      </c>
      <c r="BG84" s="22">
        <f t="shared" si="61"/>
        <v>1.1334929971951436E-12</v>
      </c>
      <c r="BH84" s="62">
        <f t="shared" si="62"/>
        <v>271.12075302350257</v>
      </c>
      <c r="BI84" s="62">
        <f ca="1">AVERAGE(OFFSET($BH$3,0,0,'Données projet'!$E$11+1,1))-AVERAGE(OFFSET($H$3,0,0,'Données projet'!$E$11+1,1))</f>
        <v>285.09561428624352</v>
      </c>
      <c r="BJ84" s="62">
        <f t="shared" si="92"/>
        <v>261.05678516705564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-9.2222762759774927E-14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272.69564942740931</v>
      </c>
      <c r="CE84" s="62">
        <f t="shared" si="94"/>
        <v>316.57989180609252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</v>
      </c>
      <c r="CT84" s="13">
        <f>IF('Données projet'!$A$140&gt;35,CT83+CS84-DB83,IF(A84&lt;'Données projet'!$A$140,$CQ$205^A84,IF(A84='Données projet'!$A$140,'Données projet'!$B$140,CT83+CS84-DB83)))</f>
        <v>247.80000000000007</v>
      </c>
      <c r="CU84" s="18">
        <f>CT84*VLOOKUP('Données projet'!$B$13,Paramètres!$A$1:$I$89,3,0)*VLOOKUP('Données projet'!$B$13,Paramètres!$A$1:$I$89,5,0)</f>
        <v>162.35856000000004</v>
      </c>
      <c r="CV84" s="14">
        <f t="shared" si="95"/>
        <v>41.374041283105448</v>
      </c>
      <c r="CW84" s="22">
        <f t="shared" si="67"/>
        <v>354.83428056807537</v>
      </c>
      <c r="CX84" s="62">
        <f t="shared" si="68"/>
        <v>625.95503359157681</v>
      </c>
      <c r="CY84" s="62">
        <f ca="1">AVERAGE(OFFSET($CX$3,0,0,'Données projet'!$E$13+1,1))-AVERAGE(OFFSET($H$3,0,0,'Données projet'!$E$13+1,1))</f>
        <v>304.35088214287919</v>
      </c>
      <c r="CZ84" s="62">
        <f t="shared" si="96"/>
        <v>288.72611053217599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projet'!$B$14,Paramètres!$A$1:$I$89,3,0)*VLOOKUP('Données projet'!$B$14,Paramètres!$A$1:$I$89,5,0)</f>
        <v>6.5620042732916778E-14</v>
      </c>
      <c r="DQ84" s="14">
        <f t="shared" si="97"/>
        <v>1.0353460337118015E-12</v>
      </c>
      <c r="DR84" s="22">
        <f t="shared" si="70"/>
        <v>1.9175159164745509E-12</v>
      </c>
      <c r="DS84" s="62">
        <f t="shared" si="71"/>
        <v>271.12075302350337</v>
      </c>
      <c r="DT84" s="62">
        <f ca="1">AVERAGE(OFFSET($DS$3,0,0,'Données projet'!$E$14+1,1))-AVERAGE(OFFSET($H$3,0,0,'Données projet'!$E$14+1,1))</f>
        <v>172.86120068224633</v>
      </c>
      <c r="DU84" s="62">
        <f t="shared" si="98"/>
        <v>269.4995727085078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4.4000000000000004</v>
      </c>
      <c r="EJ84" s="13">
        <f>IF('Données projet'!$A$192&gt;35,EJ83+EI84-ER83,IF(A84&lt;'Données projet'!$A$192,$EG$205^A84,IF(A84='Données projet'!$A$192,'Données projet'!$B$192,EJ83+EI84-ER83)))</f>
        <v>196.40000000000003</v>
      </c>
      <c r="EK84" s="18">
        <f>EJ84*VLOOKUP('Données projet'!$B$15,Paramètres!$A$1:$I$89,3,0)*VLOOKUP('Données projet'!$B$15,Paramètres!$A$1:$I$89,5,0)</f>
        <v>165.44736000000003</v>
      </c>
      <c r="EL84" s="14">
        <f t="shared" si="99"/>
        <v>42.06877838506054</v>
      </c>
      <c r="EM84" s="22">
        <f t="shared" si="73"/>
        <v>361.42394102064713</v>
      </c>
      <c r="EN84" s="62">
        <f t="shared" si="74"/>
        <v>632.54469404414863</v>
      </c>
      <c r="EO84" s="62">
        <f ca="1">AVERAGE(OFFSET($EN$3,0,0,'Données projet'!$E$15+1,1))-AVERAGE(OFFSET($H$3,0,0,'Données projet'!$E$15+1,1))</f>
        <v>346.97972840139914</v>
      </c>
      <c r="EP84" s="62">
        <f t="shared" si="100"/>
        <v>158.41433650660613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</v>
      </c>
      <c r="FE84" s="13">
        <f>IF('Données projet'!$A$218&gt;35,FE83+FD84-FM83,IF(A84&lt;'Données projet'!$A$218,$FB$205^A84,IF(A84='Données projet'!$A$218,'Données projet'!$B$218,FE83+FD84-FM83)))</f>
        <v>180.99999999999983</v>
      </c>
      <c r="FF84" s="18">
        <f>FE84*VLOOKUP('Données projet'!$B$16,Paramètres!$A$1:$I$89,3,0)*VLOOKUP('Données projet'!$B$16,Paramètres!$A$1:$I$89,5,0)</f>
        <v>118.59119999999989</v>
      </c>
      <c r="FG84" s="14">
        <f t="shared" si="101"/>
        <v>31.346194334434038</v>
      </c>
      <c r="FH84" s="22">
        <f t="shared" si="76"/>
        <v>261.14096179913906</v>
      </c>
      <c r="FI84" s="62">
        <f t="shared" si="77"/>
        <v>532.26171482264044</v>
      </c>
      <c r="FJ84" s="62">
        <f ca="1">AVERAGE(OFFSET($FI$3,0,0,'Données projet'!$E$16+1,1))-AVERAGE(OFFSET($H$3,0,0,'Données projet'!$E$16+1,1))</f>
        <v>235.88453308732235</v>
      </c>
      <c r="FK84" s="62">
        <f t="shared" si="102"/>
        <v>220.72810812053521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211.61087999999995</v>
      </c>
      <c r="P85" s="14">
        <f t="shared" si="87"/>
        <v>52.287446798055761</v>
      </c>
      <c r="Q85" s="22">
        <f t="shared" si="54"/>
        <v>459.62291917328042</v>
      </c>
      <c r="R85" s="62">
        <f t="shared" si="55"/>
        <v>731.1290108052674</v>
      </c>
      <c r="S85" s="62">
        <f ca="1">AVERAGE(OFFSET($R$3,0,0,'Données projet'!$E$9+1,1))-AVERAGE(OFFSET($H$3,0,0,'Données projet'!$E$9+1,1))</f>
        <v>442.98179778678298</v>
      </c>
      <c r="T85" s="62">
        <f t="shared" si="88"/>
        <v>251.96153561746942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3.8</v>
      </c>
      <c r="AI85" s="14">
        <f>IF('Données projet'!$A$62&gt;35,AI84+AH85-AQ84,IF(A85&lt;'Données projet'!$A$62,$AF$205^A85,IF(A85='Données projet'!$A$62,'Données projet'!$B$62,AI84+AH85-AQ84)))</f>
        <v>251.60000000000008</v>
      </c>
      <c r="AJ85" s="14">
        <f>AI85*VLOOKUP('Données projet'!$B$10,Paramètres!$A$1:$I$89,3,0)*VLOOKUP('Données projet'!$B$10,Paramètres!$A$1:$I$89,5,0)</f>
        <v>164.84832000000006</v>
      </c>
      <c r="AK85" s="14">
        <f t="shared" si="89"/>
        <v>41.934160358278433</v>
      </c>
      <c r="AL85" s="22">
        <f t="shared" si="58"/>
        <v>360.14615329066834</v>
      </c>
      <c r="AM85" s="62">
        <f t="shared" si="59"/>
        <v>631.65224492265543</v>
      </c>
      <c r="AN85" s="62">
        <f ca="1">AVERAGE(OFFSET($AM$3,0,0,'Données projet'!$E$10+1,1))-AVERAGE(OFFSET($H$3,0,0,'Données projet'!$E$10+1,1))</f>
        <v>304.35088214287919</v>
      </c>
      <c r="AO85" s="62">
        <f t="shared" si="90"/>
        <v>288.72611053217599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3.6357050703372803E-14</v>
      </c>
      <c r="BF85" s="14">
        <f t="shared" si="91"/>
        <v>6.1445232567661395E-13</v>
      </c>
      <c r="BG85" s="22">
        <f t="shared" si="61"/>
        <v>1.1334929971951436E-12</v>
      </c>
      <c r="BH85" s="62">
        <f t="shared" si="62"/>
        <v>271.50609163198817</v>
      </c>
      <c r="BI85" s="62">
        <f ca="1">AVERAGE(OFFSET($BH$3,0,0,'Données projet'!$E$11+1,1))-AVERAGE(OFFSET($H$3,0,0,'Données projet'!$E$11+1,1))</f>
        <v>285.09561428624352</v>
      </c>
      <c r="BJ85" s="62">
        <f t="shared" si="92"/>
        <v>261.05678516705564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-9.2222762759774927E-14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272.69564942740931</v>
      </c>
      <c r="CE85" s="62">
        <f t="shared" si="94"/>
        <v>316.57989180609252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</v>
      </c>
      <c r="CT85" s="13">
        <f>IF('Données projet'!$A$140&gt;35,CT84+CS85-DB84,IF(A85&lt;'Données projet'!$A$140,$CQ$205^A85,IF(A85='Données projet'!$A$140,'Données projet'!$B$140,CT84+CS85-DB84)))</f>
        <v>251.60000000000008</v>
      </c>
      <c r="CU85" s="18">
        <f>CT85*VLOOKUP('Données projet'!$B$13,Paramètres!$A$1:$I$89,3,0)*VLOOKUP('Données projet'!$B$13,Paramètres!$A$1:$I$89,5,0)</f>
        <v>164.84832000000006</v>
      </c>
      <c r="CV85" s="14">
        <f t="shared" si="95"/>
        <v>41.934160358278433</v>
      </c>
      <c r="CW85" s="22">
        <f t="shared" si="67"/>
        <v>360.14615329066834</v>
      </c>
      <c r="CX85" s="62">
        <f t="shared" si="68"/>
        <v>631.65224492265543</v>
      </c>
      <c r="CY85" s="62">
        <f ca="1">AVERAGE(OFFSET($CX$3,0,0,'Données projet'!$E$13+1,1))-AVERAGE(OFFSET($H$3,0,0,'Données projet'!$E$13+1,1))</f>
        <v>304.35088214287919</v>
      </c>
      <c r="CZ85" s="62">
        <f t="shared" si="96"/>
        <v>288.72611053217599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projet'!$B$14,Paramètres!$A$1:$I$89,3,0)*VLOOKUP('Données projet'!$B$14,Paramètres!$A$1:$I$89,5,0)</f>
        <v>6.5620042732916778E-14</v>
      </c>
      <c r="DQ85" s="14">
        <f t="shared" si="97"/>
        <v>1.0353460337118015E-12</v>
      </c>
      <c r="DR85" s="22">
        <f t="shared" si="70"/>
        <v>1.9175159164745509E-12</v>
      </c>
      <c r="DS85" s="62">
        <f t="shared" si="71"/>
        <v>271.50609163198897</v>
      </c>
      <c r="DT85" s="62">
        <f ca="1">AVERAGE(OFFSET($DS$3,0,0,'Données projet'!$E$14+1,1))-AVERAGE(OFFSET($H$3,0,0,'Données projet'!$E$14+1,1))</f>
        <v>172.86120068224633</v>
      </c>
      <c r="DU85" s="62">
        <f t="shared" si="98"/>
        <v>269.4995727085078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4.4000000000000004</v>
      </c>
      <c r="EJ85" s="13">
        <f>IF('Données projet'!$A$192&gt;35,EJ84+EI85-ER84,IF(A85&lt;'Données projet'!$A$192,$EG$205^A85,IF(A85='Données projet'!$A$192,'Données projet'!$B$192,EJ84+EI85-ER84)))</f>
        <v>200.80000000000004</v>
      </c>
      <c r="EK85" s="18">
        <f>EJ85*VLOOKUP('Données projet'!$B$15,Paramètres!$A$1:$I$89,3,0)*VLOOKUP('Données projet'!$B$15,Paramètres!$A$1:$I$89,5,0)</f>
        <v>169.15392000000006</v>
      </c>
      <c r="EL85" s="14">
        <f t="shared" si="99"/>
        <v>42.900474820401094</v>
      </c>
      <c r="EM85" s="22">
        <f t="shared" si="73"/>
        <v>369.3280709788653</v>
      </c>
      <c r="EN85" s="62">
        <f t="shared" si="74"/>
        <v>640.83416261085233</v>
      </c>
      <c r="EO85" s="62">
        <f ca="1">AVERAGE(OFFSET($EN$3,0,0,'Données projet'!$E$15+1,1))-AVERAGE(OFFSET($H$3,0,0,'Données projet'!$E$15+1,1))</f>
        <v>346.97972840139914</v>
      </c>
      <c r="EP85" s="62">
        <f t="shared" si="100"/>
        <v>158.41433650660613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</v>
      </c>
      <c r="FE85" s="13">
        <f>IF('Données projet'!$A$218&gt;35,FE84+FD85-FM84,IF(A85&lt;'Données projet'!$A$218,$FB$205^A85,IF(A85='Données projet'!$A$218,'Données projet'!$B$218,FE84+FD85-FM84)))</f>
        <v>183.99999999999983</v>
      </c>
      <c r="FF85" s="18">
        <f>FE85*VLOOKUP('Données projet'!$B$16,Paramètres!$A$1:$I$89,3,0)*VLOOKUP('Données projet'!$B$16,Paramètres!$A$1:$I$89,5,0)</f>
        <v>120.5567999999999</v>
      </c>
      <c r="FG85" s="14">
        <f t="shared" si="101"/>
        <v>31.804828741198751</v>
      </c>
      <c r="FH85" s="22">
        <f t="shared" si="76"/>
        <v>265.36317005758764</v>
      </c>
      <c r="FI85" s="62">
        <f t="shared" si="77"/>
        <v>536.86926168957461</v>
      </c>
      <c r="FJ85" s="62">
        <f ca="1">AVERAGE(OFFSET($FI$3,0,0,'Données projet'!$E$16+1,1))-AVERAGE(OFFSET($H$3,0,0,'Données projet'!$E$16+1,1))</f>
        <v>235.88453308732235</v>
      </c>
      <c r="FK85" s="62">
        <f t="shared" si="102"/>
        <v>220.72810812053521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216.32831999999991</v>
      </c>
      <c r="P86" s="14">
        <f t="shared" si="87"/>
        <v>53.316084217295149</v>
      </c>
      <c r="Q86" s="22">
        <f t="shared" si="54"/>
        <v>469.6306706784556</v>
      </c>
      <c r="R86" s="62">
        <f t="shared" si="55"/>
        <v>741.51541615555902</v>
      </c>
      <c r="S86" s="62">
        <f ca="1">AVERAGE(OFFSET($R$3,0,0,'Données projet'!$E$9+1,1))-AVERAGE(OFFSET($H$3,0,0,'Données projet'!$E$9+1,1))</f>
        <v>442.98179778678298</v>
      </c>
      <c r="T86" s="62">
        <f t="shared" si="88"/>
        <v>251.96153561746942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3.8</v>
      </c>
      <c r="AI86" s="14">
        <f>IF('Données projet'!$A$62&gt;35,AI85+AH86-AQ85,IF(A86&lt;'Données projet'!$A$62,$AF$205^A86,IF(A86='Données projet'!$A$62,'Données projet'!$B$62,AI85+AH86-AQ85)))</f>
        <v>255.40000000000009</v>
      </c>
      <c r="AJ86" s="14">
        <f>AI86*VLOOKUP('Données projet'!$B$10,Paramètres!$A$1:$I$89,3,0)*VLOOKUP('Données projet'!$B$10,Paramètres!$A$1:$I$89,5,0)</f>
        <v>167.33808000000005</v>
      </c>
      <c r="AK86" s="14">
        <f t="shared" si="89"/>
        <v>42.493295553601513</v>
      </c>
      <c r="AL86" s="22">
        <f t="shared" si="58"/>
        <v>365.45631242252267</v>
      </c>
      <c r="AM86" s="62">
        <f t="shared" si="59"/>
        <v>637.34105789962609</v>
      </c>
      <c r="AN86" s="62">
        <f ca="1">AVERAGE(OFFSET($AM$3,0,0,'Données projet'!$E$10+1,1))-AVERAGE(OFFSET($H$3,0,0,'Données projet'!$E$10+1,1))</f>
        <v>304.35088214287919</v>
      </c>
      <c r="AO86" s="62">
        <f t="shared" si="90"/>
        <v>288.72611053217599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3.6357050703372803E-14</v>
      </c>
      <c r="BF86" s="14">
        <f t="shared" si="91"/>
        <v>6.1445232567661395E-13</v>
      </c>
      <c r="BG86" s="22">
        <f t="shared" si="61"/>
        <v>1.1334929971951436E-12</v>
      </c>
      <c r="BH86" s="62">
        <f t="shared" si="62"/>
        <v>271.88474547710462</v>
      </c>
      <c r="BI86" s="62">
        <f ca="1">AVERAGE(OFFSET($BH$3,0,0,'Données projet'!$E$11+1,1))-AVERAGE(OFFSET($H$3,0,0,'Données projet'!$E$11+1,1))</f>
        <v>285.09561428624352</v>
      </c>
      <c r="BJ86" s="62">
        <f t="shared" si="92"/>
        <v>261.05678516705564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-9.2222762759774927E-14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272.69564942740931</v>
      </c>
      <c r="CE86" s="62">
        <f t="shared" si="94"/>
        <v>316.57989180609252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</v>
      </c>
      <c r="CT86" s="13">
        <f>IF('Données projet'!$A$140&gt;35,CT85+CS86-DB85,IF(A86&lt;'Données projet'!$A$140,$CQ$205^A86,IF(A86='Données projet'!$A$140,'Données projet'!$B$140,CT85+CS86-DB85)))</f>
        <v>255.40000000000009</v>
      </c>
      <c r="CU86" s="18">
        <f>CT86*VLOOKUP('Données projet'!$B$13,Paramètres!$A$1:$I$89,3,0)*VLOOKUP('Données projet'!$B$13,Paramètres!$A$1:$I$89,5,0)</f>
        <v>167.33808000000005</v>
      </c>
      <c r="CV86" s="14">
        <f t="shared" si="95"/>
        <v>42.493295553601513</v>
      </c>
      <c r="CW86" s="22">
        <f t="shared" si="67"/>
        <v>365.45631242252267</v>
      </c>
      <c r="CX86" s="62">
        <f t="shared" si="68"/>
        <v>637.34105789962609</v>
      </c>
      <c r="CY86" s="62">
        <f ca="1">AVERAGE(OFFSET($CX$3,0,0,'Données projet'!$E$13+1,1))-AVERAGE(OFFSET($H$3,0,0,'Données projet'!$E$13+1,1))</f>
        <v>304.35088214287919</v>
      </c>
      <c r="CZ86" s="62">
        <f t="shared" si="96"/>
        <v>288.72611053217599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projet'!$B$14,Paramètres!$A$1:$I$89,3,0)*VLOOKUP('Données projet'!$B$14,Paramètres!$A$1:$I$89,5,0)</f>
        <v>6.5620042732916778E-14</v>
      </c>
      <c r="DQ86" s="14">
        <f t="shared" si="97"/>
        <v>1.0353460337118015E-12</v>
      </c>
      <c r="DR86" s="22">
        <f t="shared" si="70"/>
        <v>1.9175159164745509E-12</v>
      </c>
      <c r="DS86" s="62">
        <f t="shared" si="71"/>
        <v>271.88474547710541</v>
      </c>
      <c r="DT86" s="62">
        <f ca="1">AVERAGE(OFFSET($DS$3,0,0,'Données projet'!$E$14+1,1))-AVERAGE(OFFSET($H$3,0,0,'Données projet'!$E$14+1,1))</f>
        <v>172.86120068224633</v>
      </c>
      <c r="DU86" s="62">
        <f t="shared" si="98"/>
        <v>269.4995727085078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4.4000000000000004</v>
      </c>
      <c r="EJ86" s="13">
        <f>IF('Données projet'!$A$192&gt;35,EJ85+EI86-ER85,IF(A86&lt;'Données projet'!$A$192,$EG$205^A86,IF(A86='Données projet'!$A$192,'Données projet'!$B$192,EJ85+EI86-ER85)))</f>
        <v>205.20000000000005</v>
      </c>
      <c r="EK86" s="18">
        <f>EJ86*VLOOKUP('Données projet'!$B$15,Paramètres!$A$1:$I$89,3,0)*VLOOKUP('Données projet'!$B$15,Paramètres!$A$1:$I$89,5,0)</f>
        <v>172.86048000000005</v>
      </c>
      <c r="EL86" s="14">
        <f t="shared" si="99"/>
        <v>43.73005245660606</v>
      </c>
      <c r="EM86" s="22">
        <f t="shared" si="73"/>
        <v>377.22851069525564</v>
      </c>
      <c r="EN86" s="62">
        <f t="shared" si="74"/>
        <v>649.11325617235912</v>
      </c>
      <c r="EO86" s="62">
        <f ca="1">AVERAGE(OFFSET($EN$3,0,0,'Données projet'!$E$15+1,1))-AVERAGE(OFFSET($H$3,0,0,'Données projet'!$E$15+1,1))</f>
        <v>346.97972840139914</v>
      </c>
      <c r="EP86" s="62">
        <f t="shared" si="100"/>
        <v>158.41433650660613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</v>
      </c>
      <c r="FE86" s="13">
        <f>IF('Données projet'!$A$218&gt;35,FE85+FD86-FM85,IF(A86&lt;'Données projet'!$A$218,$FB$205^A86,IF(A86='Données projet'!$A$218,'Données projet'!$B$218,FE85+FD86-FM85)))</f>
        <v>186.99999999999983</v>
      </c>
      <c r="FF86" s="18">
        <f>FE86*VLOOKUP('Données projet'!$B$16,Paramètres!$A$1:$I$89,3,0)*VLOOKUP('Données projet'!$B$16,Paramètres!$A$1:$I$89,5,0)</f>
        <v>122.52239999999988</v>
      </c>
      <c r="FG86" s="14">
        <f t="shared" si="101"/>
        <v>32.262593524306261</v>
      </c>
      <c r="FH86" s="22">
        <f t="shared" si="76"/>
        <v>269.58386372149988</v>
      </c>
      <c r="FI86" s="62">
        <f t="shared" si="77"/>
        <v>541.46860919860342</v>
      </c>
      <c r="FJ86" s="62">
        <f ca="1">AVERAGE(OFFSET($FI$3,0,0,'Données projet'!$E$16+1,1))-AVERAGE(OFFSET($H$3,0,0,'Données projet'!$E$16+1,1))</f>
        <v>235.88453308732235</v>
      </c>
      <c r="FK86" s="62">
        <f t="shared" si="102"/>
        <v>220.72810812053521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221.04575999999997</v>
      </c>
      <c r="P87" s="14">
        <f t="shared" si="87"/>
        <v>54.342113720419057</v>
      </c>
      <c r="Q87" s="22">
        <f t="shared" si="54"/>
        <v>479.63388006306309</v>
      </c>
      <c r="R87" s="62">
        <f t="shared" si="55"/>
        <v>751.8907105876134</v>
      </c>
      <c r="S87" s="62">
        <f ca="1">AVERAGE(OFFSET($R$3,0,0,'Données projet'!$E$9+1,1))-AVERAGE(OFFSET($H$3,0,0,'Données projet'!$E$9+1,1))</f>
        <v>442.98179778678298</v>
      </c>
      <c r="T87" s="62">
        <f t="shared" si="88"/>
        <v>251.96153561746942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3.8</v>
      </c>
      <c r="AI87" s="14">
        <f>IF('Données projet'!$A$62&gt;35,AI86+AH87-AQ86,IF(A87&lt;'Données projet'!$A$62,$AF$205^A87,IF(A87='Données projet'!$A$62,'Données projet'!$B$62,AI86+AH87-AQ86)))</f>
        <v>259.2000000000001</v>
      </c>
      <c r="AJ87" s="14">
        <f>AI87*VLOOKUP('Données projet'!$B$10,Paramètres!$A$1:$I$89,3,0)*VLOOKUP('Données projet'!$B$10,Paramètres!$A$1:$I$89,5,0)</f>
        <v>169.82784000000007</v>
      </c>
      <c r="AK87" s="14">
        <f t="shared" si="89"/>
        <v>43.051463198873812</v>
      </c>
      <c r="AL87" s="22">
        <f t="shared" si="58"/>
        <v>370.76478640470532</v>
      </c>
      <c r="AM87" s="62">
        <f t="shared" si="59"/>
        <v>643.02161692925563</v>
      </c>
      <c r="AN87" s="62">
        <f ca="1">AVERAGE(OFFSET($AM$3,0,0,'Données projet'!$E$10+1,1))-AVERAGE(OFFSET($H$3,0,0,'Données projet'!$E$10+1,1))</f>
        <v>304.35088214287919</v>
      </c>
      <c r="AO87" s="62">
        <f t="shared" si="90"/>
        <v>288.72611053217599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3.6357050703372803E-14</v>
      </c>
      <c r="BF87" s="14">
        <f t="shared" si="91"/>
        <v>6.1445232567661395E-13</v>
      </c>
      <c r="BG87" s="22">
        <f t="shared" si="61"/>
        <v>1.1334929971951436E-12</v>
      </c>
      <c r="BH87" s="62">
        <f t="shared" si="62"/>
        <v>272.25683052455145</v>
      </c>
      <c r="BI87" s="62">
        <f ca="1">AVERAGE(OFFSET($BH$3,0,0,'Données projet'!$E$11+1,1))-AVERAGE(OFFSET($H$3,0,0,'Données projet'!$E$11+1,1))</f>
        <v>285.09561428624352</v>
      </c>
      <c r="BJ87" s="62">
        <f t="shared" si="92"/>
        <v>261.05678516705564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-9.2222762759774927E-14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272.69564942740931</v>
      </c>
      <c r="CE87" s="62">
        <f t="shared" si="94"/>
        <v>316.57989180609252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</v>
      </c>
      <c r="CT87" s="13">
        <f>IF('Données projet'!$A$140&gt;35,CT86+CS87-DB86,IF(A87&lt;'Données projet'!$A$140,$CQ$205^A87,IF(A87='Données projet'!$A$140,'Données projet'!$B$140,CT86+CS87-DB86)))</f>
        <v>259.2000000000001</v>
      </c>
      <c r="CU87" s="18">
        <f>CT87*VLOOKUP('Données projet'!$B$13,Paramètres!$A$1:$I$89,3,0)*VLOOKUP('Données projet'!$B$13,Paramètres!$A$1:$I$89,5,0)</f>
        <v>169.82784000000007</v>
      </c>
      <c r="CV87" s="14">
        <f t="shared" si="95"/>
        <v>43.051463198873812</v>
      </c>
      <c r="CW87" s="22">
        <f t="shared" si="67"/>
        <v>370.76478640470532</v>
      </c>
      <c r="CX87" s="62">
        <f t="shared" si="68"/>
        <v>643.02161692925563</v>
      </c>
      <c r="CY87" s="62">
        <f ca="1">AVERAGE(OFFSET($CX$3,0,0,'Données projet'!$E$13+1,1))-AVERAGE(OFFSET($H$3,0,0,'Données projet'!$E$13+1,1))</f>
        <v>304.35088214287919</v>
      </c>
      <c r="CZ87" s="62">
        <f t="shared" si="96"/>
        <v>288.72611053217599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projet'!$B$14,Paramètres!$A$1:$I$89,3,0)*VLOOKUP('Données projet'!$B$14,Paramètres!$A$1:$I$89,5,0)</f>
        <v>6.5620042732916778E-14</v>
      </c>
      <c r="DQ87" s="14">
        <f t="shared" si="97"/>
        <v>1.0353460337118015E-12</v>
      </c>
      <c r="DR87" s="22">
        <f t="shared" si="70"/>
        <v>1.9175159164745509E-12</v>
      </c>
      <c r="DS87" s="62">
        <f t="shared" si="71"/>
        <v>272.25683052455224</v>
      </c>
      <c r="DT87" s="62">
        <f ca="1">AVERAGE(OFFSET($DS$3,0,0,'Données projet'!$E$14+1,1))-AVERAGE(OFFSET($H$3,0,0,'Données projet'!$E$14+1,1))</f>
        <v>172.86120068224633</v>
      </c>
      <c r="DU87" s="62">
        <f t="shared" si="98"/>
        <v>269.4995727085078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4.4000000000000004</v>
      </c>
      <c r="EJ87" s="13">
        <f>IF('Données projet'!$A$192&gt;35,EJ86+EI87-ER86,IF(A87&lt;'Données projet'!$A$192,$EG$205^A87,IF(A87='Données projet'!$A$192,'Données projet'!$B$192,EJ86+EI87-ER86)))</f>
        <v>209.60000000000005</v>
      </c>
      <c r="EK87" s="18">
        <f>EJ87*VLOOKUP('Données projet'!$B$15,Paramètres!$A$1:$I$89,3,0)*VLOOKUP('Données projet'!$B$15,Paramètres!$A$1:$I$89,5,0)</f>
        <v>176.56704000000008</v>
      </c>
      <c r="EL87" s="14">
        <f t="shared" si="99"/>
        <v>44.557561958936887</v>
      </c>
      <c r="EM87" s="22">
        <f t="shared" si="73"/>
        <v>385.1253484118152</v>
      </c>
      <c r="EN87" s="62">
        <f t="shared" si="74"/>
        <v>657.38217893636556</v>
      </c>
      <c r="EO87" s="62">
        <f ca="1">AVERAGE(OFFSET($EN$3,0,0,'Données projet'!$E$15+1,1))-AVERAGE(OFFSET($H$3,0,0,'Données projet'!$E$15+1,1))</f>
        <v>346.97972840139914</v>
      </c>
      <c r="EP87" s="62">
        <f t="shared" si="100"/>
        <v>158.41433650660613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</v>
      </c>
      <c r="FE87" s="13">
        <f>IF('Données projet'!$A$218&gt;35,FE86+FD87-FM86,IF(A87&lt;'Données projet'!$A$218,$FB$205^A87,IF(A87='Données projet'!$A$218,'Données projet'!$B$218,FE86+FD87-FM86)))</f>
        <v>189.99999999999983</v>
      </c>
      <c r="FF87" s="18">
        <f>FE87*VLOOKUP('Données projet'!$B$16,Paramètres!$A$1:$I$89,3,0)*VLOOKUP('Données projet'!$B$16,Paramètres!$A$1:$I$89,5,0)</f>
        <v>124.48799999999989</v>
      </c>
      <c r="FG87" s="14">
        <f t="shared" si="101"/>
        <v>32.719504245667238</v>
      </c>
      <c r="FH87" s="22">
        <f t="shared" si="76"/>
        <v>273.80306989453686</v>
      </c>
      <c r="FI87" s="62">
        <f t="shared" si="77"/>
        <v>546.05990041908717</v>
      </c>
      <c r="FJ87" s="62">
        <f ca="1">AVERAGE(OFFSET($FI$3,0,0,'Données projet'!$E$16+1,1))-AVERAGE(OFFSET($H$3,0,0,'Données projet'!$E$16+1,1))</f>
        <v>235.88453308732235</v>
      </c>
      <c r="FK87" s="62">
        <f t="shared" si="102"/>
        <v>220.72810812053521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225.76319999999996</v>
      </c>
      <c r="P88" s="14">
        <f t="shared" si="87"/>
        <v>55.365597375021402</v>
      </c>
      <c r="Q88" s="22">
        <f t="shared" si="54"/>
        <v>489.6326554281622</v>
      </c>
      <c r="R88" s="62">
        <f t="shared" si="55"/>
        <v>762.25511615644371</v>
      </c>
      <c r="S88" s="62">
        <f ca="1">AVERAGE(OFFSET($R$3,0,0,'Données projet'!$E$9+1,1))-AVERAGE(OFFSET($H$3,0,0,'Données projet'!$E$9+1,1))</f>
        <v>442.98179778678298</v>
      </c>
      <c r="T88" s="62">
        <f t="shared" si="88"/>
        <v>251.96153561746942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263</v>
      </c>
      <c r="AG88" s="13">
        <f>VLOOKUP(A88,'Données projet'!$A$61:$I$81,9,0)</f>
        <v>3.8</v>
      </c>
      <c r="AH88" s="13">
        <f t="array" ref="AH88">INDEX(AG:AG,MIN(IF(ISNUMBER(AG88:AG284),ROW(AG88:AG284),"")))</f>
        <v>3.8</v>
      </c>
      <c r="AI88" s="14">
        <f>IF('Données projet'!$A$62&gt;35,AI87+AH88-AQ87,IF(A88&lt;'Données projet'!$A$62,$AF$205^A88,IF(A88='Données projet'!$A$62,'Données projet'!$B$62,AI87+AH88-AQ87)))</f>
        <v>263.00000000000011</v>
      </c>
      <c r="AJ88" s="14">
        <f>AI88*VLOOKUP('Données projet'!$B$10,Paramètres!$A$1:$I$89,3,0)*VLOOKUP('Données projet'!$B$10,Paramètres!$A$1:$I$89,5,0)</f>
        <v>172.31760000000008</v>
      </c>
      <c r="AK88" s="14">
        <f t="shared" si="89"/>
        <v>43.608679117600296</v>
      </c>
      <c r="AL88" s="22">
        <f t="shared" si="58"/>
        <v>376.0716027964873</v>
      </c>
      <c r="AM88" s="62">
        <f t="shared" si="59"/>
        <v>648.69406352476881</v>
      </c>
      <c r="AN88" s="62">
        <f ca="1">AVERAGE(OFFSET($AM$3,0,0,'Données projet'!$E$10+1,1))-AVERAGE(OFFSET($H$3,0,0,'Données projet'!$E$10+1,1))</f>
        <v>304.35088214287919</v>
      </c>
      <c r="AO88" s="62">
        <f t="shared" si="90"/>
        <v>288.72611053217599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3.6357050703372803E-14</v>
      </c>
      <c r="BF88" s="14">
        <f t="shared" si="91"/>
        <v>6.1445232567661395E-13</v>
      </c>
      <c r="BG88" s="22">
        <f t="shared" si="61"/>
        <v>1.1334929971951436E-12</v>
      </c>
      <c r="BH88" s="62">
        <f t="shared" si="62"/>
        <v>272.62246072828265</v>
      </c>
      <c r="BI88" s="62">
        <f ca="1">AVERAGE(OFFSET($BH$3,0,0,'Données projet'!$E$11+1,1))-AVERAGE(OFFSET($H$3,0,0,'Données projet'!$E$11+1,1))</f>
        <v>285.09561428624352</v>
      </c>
      <c r="BJ88" s="62">
        <f t="shared" si="92"/>
        <v>261.05678516705564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-9.2222762759774927E-14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272.69564942740931</v>
      </c>
      <c r="CE88" s="62">
        <f t="shared" si="94"/>
        <v>316.57989180609252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263</v>
      </c>
      <c r="CR88" s="13">
        <f>VLOOKUP(A88,'Données projet'!$A$139:$I$159,9,0)</f>
        <v>3.8</v>
      </c>
      <c r="CS88" s="13">
        <f t="array" ref="CS88">INDEX(CR:CR,MIN(IF(ISNUMBER(CR88:CR284),ROW(CR88:CR284),"")))</f>
        <v>3.8</v>
      </c>
      <c r="CT88" s="13">
        <f>IF('Données projet'!$A$140&gt;35,CT87+CS88-DB87,IF(A88&lt;'Données projet'!$A$140,$CQ$205^A88,IF(A88='Données projet'!$A$140,'Données projet'!$B$140,CT87+CS88-DB87)))</f>
        <v>263.00000000000011</v>
      </c>
      <c r="CU88" s="18">
        <f>CT88*VLOOKUP('Données projet'!$B$13,Paramètres!$A$1:$I$89,3,0)*VLOOKUP('Données projet'!$B$13,Paramètres!$A$1:$I$89,5,0)</f>
        <v>172.31760000000008</v>
      </c>
      <c r="CV88" s="14">
        <f t="shared" si="95"/>
        <v>43.608679117600296</v>
      </c>
      <c r="CW88" s="22">
        <f t="shared" si="67"/>
        <v>376.0716027964873</v>
      </c>
      <c r="CX88" s="62">
        <f t="shared" si="68"/>
        <v>648.69406352476881</v>
      </c>
      <c r="CY88" s="62">
        <f ca="1">AVERAGE(OFFSET($CX$3,0,0,'Données projet'!$E$13+1,1))-AVERAGE(OFFSET($H$3,0,0,'Données projet'!$E$13+1,1))</f>
        <v>304.35088214287919</v>
      </c>
      <c r="CZ88" s="62">
        <f t="shared" si="96"/>
        <v>288.72611053217599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projet'!$B$14,Paramètres!$A$1:$I$89,3,0)*VLOOKUP('Données projet'!$B$14,Paramètres!$A$1:$I$89,5,0)</f>
        <v>6.5620042732916778E-14</v>
      </c>
      <c r="DQ88" s="14">
        <f t="shared" si="97"/>
        <v>1.0353460337118015E-12</v>
      </c>
      <c r="DR88" s="22">
        <f t="shared" si="70"/>
        <v>1.9175159164745509E-12</v>
      </c>
      <c r="DS88" s="62">
        <f t="shared" si="71"/>
        <v>272.62246072828344</v>
      </c>
      <c r="DT88" s="62">
        <f ca="1">AVERAGE(OFFSET($DS$3,0,0,'Données projet'!$E$14+1,1))-AVERAGE(OFFSET($H$3,0,0,'Données projet'!$E$14+1,1))</f>
        <v>172.86120068224633</v>
      </c>
      <c r="DU88" s="62">
        <f t="shared" si="98"/>
        <v>269.4995727085078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214</v>
      </c>
      <c r="EH88" s="13">
        <f>VLOOKUP(A88,'Données projet'!$A$191:$I$211,9,0)</f>
        <v>4.4000000000000004</v>
      </c>
      <c r="EI88" s="13">
        <f t="array" ref="EI88">INDEX(EH:EH,MIN(IF(ISNUMBER(EH88:EH284),ROW(EH88:EH284),"")))</f>
        <v>4.4000000000000004</v>
      </c>
      <c r="EJ88" s="13">
        <f>IF('Données projet'!$A$192&gt;35,EJ87+EI88-ER87,IF(A88&lt;'Données projet'!$A$192,$EG$205^A88,IF(A88='Données projet'!$A$192,'Données projet'!$B$192,EJ87+EI88-ER87)))</f>
        <v>214.00000000000006</v>
      </c>
      <c r="EK88" s="18">
        <f>EJ88*VLOOKUP('Données projet'!$B$15,Paramètres!$A$1:$I$89,3,0)*VLOOKUP('Données projet'!$B$15,Paramètres!$A$1:$I$89,5,0)</f>
        <v>180.27360000000007</v>
      </c>
      <c r="EL88" s="14">
        <f t="shared" si="99"/>
        <v>45.38305174393809</v>
      </c>
      <c r="EM88" s="22">
        <f t="shared" si="73"/>
        <v>393.01866845402566</v>
      </c>
      <c r="EN88" s="62">
        <f t="shared" si="74"/>
        <v>665.64112918230717</v>
      </c>
      <c r="EO88" s="62">
        <f ca="1">AVERAGE(OFFSET($EN$3,0,0,'Données projet'!$E$15+1,1))-AVERAGE(OFFSET($H$3,0,0,'Données projet'!$E$15+1,1))</f>
        <v>346.97972840139914</v>
      </c>
      <c r="EP88" s="62">
        <f t="shared" si="100"/>
        <v>158.41433650660613</v>
      </c>
      <c r="EQ88" s="16">
        <f>IF(ISNA(VLOOKUP(A88,'Données projet'!$A$191:$I$211,3,0)),0,VLOOKUP(A88,'Données projet'!$A$191:$I$211,3,0))</f>
        <v>6</v>
      </c>
      <c r="ER88" s="16">
        <f>IF(ISNA(VLOOKUP(A88,'Données projet'!$A$191:$I$211,4,0)),0,VLOOKUP(A88,'Données projet'!$A$191:$I$211,4,0))</f>
        <v>28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193</v>
      </c>
      <c r="FC88" s="13">
        <f>VLOOKUP(A88,'Données projet'!$A$217:$I$237,9,0)</f>
        <v>3</v>
      </c>
      <c r="FD88" s="13">
        <f t="array" ref="FD88">INDEX(FC:FC,MIN(IF(ISNUMBER(FC88:FC284),ROW(FC88:FC284),"")))</f>
        <v>3</v>
      </c>
      <c r="FE88" s="13">
        <f>IF('Données projet'!$A$218&gt;35,FE87+FD88-FM87,IF(A88&lt;'Données projet'!$A$218,$FB$205^A88,IF(A88='Données projet'!$A$218,'Données projet'!$B$218,FE87+FD88-FM87)))</f>
        <v>192.99999999999983</v>
      </c>
      <c r="FF88" s="18">
        <f>FE88*VLOOKUP('Données projet'!$B$16,Paramètres!$A$1:$I$89,3,0)*VLOOKUP('Données projet'!$B$16,Paramètres!$A$1:$I$89,5,0)</f>
        <v>126.45359999999989</v>
      </c>
      <c r="FG88" s="14">
        <f t="shared" si="101"/>
        <v>33.175575947575631</v>
      </c>
      <c r="FH88" s="22">
        <f t="shared" si="76"/>
        <v>278.02081477536069</v>
      </c>
      <c r="FI88" s="62">
        <f t="shared" si="77"/>
        <v>550.64327550364214</v>
      </c>
      <c r="FJ88" s="62">
        <f ca="1">AVERAGE(OFFSET($FI$3,0,0,'Données projet'!$E$16+1,1))-AVERAGE(OFFSET($H$3,0,0,'Données projet'!$E$16+1,1))</f>
        <v>235.88453308732235</v>
      </c>
      <c r="FK88" s="62">
        <f t="shared" si="102"/>
        <v>220.72810812053521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230.48063999999999</v>
      </c>
      <c r="P89" s="14">
        <f t="shared" si="87"/>
        <v>56.386594506599792</v>
      </c>
      <c r="Q89" s="22">
        <f t="shared" si="54"/>
        <v>499.62710009899462</v>
      </c>
      <c r="R89" s="62">
        <f t="shared" si="55"/>
        <v>772.60884816439932</v>
      </c>
      <c r="S89" s="62">
        <f ca="1">AVERAGE(OFFSET($R$3,0,0,'Données projet'!$E$9+1,1))-AVERAGE(OFFSET($H$3,0,0,'Données projet'!$E$9+1,1))</f>
        <v>442.98179778678298</v>
      </c>
      <c r="T89" s="62">
        <f t="shared" si="88"/>
        <v>251.96153561746942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3.6</v>
      </c>
      <c r="AI89" s="14">
        <f>IF('Données projet'!$A$62&gt;35,AI88+AH89-AQ88,IF(A89&lt;'Données projet'!$A$62,$AF$205^A89,IF(A89='Données projet'!$A$62,'Données projet'!$B$62,AI88+AH89-AQ88)))</f>
        <v>266.60000000000014</v>
      </c>
      <c r="AJ89" s="14">
        <f>AI89*VLOOKUP('Données projet'!$B$10,Paramètres!$A$1:$I$89,3,0)*VLOOKUP('Données projet'!$B$10,Paramètres!$A$1:$I$89,5,0)</f>
        <v>174.67632000000009</v>
      </c>
      <c r="AK89" s="14">
        <f t="shared" si="89"/>
        <v>44.135703881788153</v>
      </c>
      <c r="AL89" s="22">
        <f t="shared" si="58"/>
        <v>381.0976082607811</v>
      </c>
      <c r="AM89" s="62">
        <f t="shared" si="59"/>
        <v>654.0793563261858</v>
      </c>
      <c r="AN89" s="62">
        <f ca="1">AVERAGE(OFFSET($AM$3,0,0,'Données projet'!$E$10+1,1))-AVERAGE(OFFSET($H$3,0,0,'Données projet'!$E$10+1,1))</f>
        <v>304.35088214287919</v>
      </c>
      <c r="AO89" s="62">
        <f t="shared" si="90"/>
        <v>288.72611053217599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3.6357050703372803E-14</v>
      </c>
      <c r="BF89" s="14">
        <f t="shared" si="91"/>
        <v>6.1445232567661395E-13</v>
      </c>
      <c r="BG89" s="22">
        <f t="shared" si="61"/>
        <v>1.1334929971951436E-12</v>
      </c>
      <c r="BH89" s="62">
        <f t="shared" si="62"/>
        <v>272.98174806540584</v>
      </c>
      <c r="BI89" s="62">
        <f ca="1">AVERAGE(OFFSET($BH$3,0,0,'Données projet'!$E$11+1,1))-AVERAGE(OFFSET($H$3,0,0,'Données projet'!$E$11+1,1))</f>
        <v>285.09561428624352</v>
      </c>
      <c r="BJ89" s="62">
        <f t="shared" si="92"/>
        <v>261.05678516705564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-9.2222762759774927E-14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272.69564942740931</v>
      </c>
      <c r="CE89" s="62">
        <f t="shared" si="94"/>
        <v>316.57989180609252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3.6</v>
      </c>
      <c r="CT89" s="13">
        <f>IF('Données projet'!$A$140&gt;35,CT88+CS89-DB88,IF(A89&lt;'Données projet'!$A$140,$CQ$205^A89,IF(A89='Données projet'!$A$140,'Données projet'!$B$140,CT88+CS89-DB88)))</f>
        <v>266.60000000000014</v>
      </c>
      <c r="CU89" s="18">
        <f>CT89*VLOOKUP('Données projet'!$B$13,Paramètres!$A$1:$I$89,3,0)*VLOOKUP('Données projet'!$B$13,Paramètres!$A$1:$I$89,5,0)</f>
        <v>174.67632000000009</v>
      </c>
      <c r="CV89" s="14">
        <f t="shared" si="95"/>
        <v>44.135703881788153</v>
      </c>
      <c r="CW89" s="22">
        <f t="shared" si="67"/>
        <v>381.0976082607811</v>
      </c>
      <c r="CX89" s="62">
        <f t="shared" si="68"/>
        <v>654.0793563261858</v>
      </c>
      <c r="CY89" s="62">
        <f ca="1">AVERAGE(OFFSET($CX$3,0,0,'Données projet'!$E$13+1,1))-AVERAGE(OFFSET($H$3,0,0,'Données projet'!$E$13+1,1))</f>
        <v>304.35088214287919</v>
      </c>
      <c r="CZ89" s="62">
        <f t="shared" si="96"/>
        <v>288.72611053217599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projet'!$B$14,Paramètres!$A$1:$I$89,3,0)*VLOOKUP('Données projet'!$B$14,Paramètres!$A$1:$I$89,5,0)</f>
        <v>6.5620042732916778E-14</v>
      </c>
      <c r="DQ89" s="14">
        <f t="shared" si="97"/>
        <v>1.0353460337118015E-12</v>
      </c>
      <c r="DR89" s="22">
        <f t="shared" si="70"/>
        <v>1.9175159164745509E-12</v>
      </c>
      <c r="DS89" s="62">
        <f t="shared" si="71"/>
        <v>272.98174806540663</v>
      </c>
      <c r="DT89" s="62">
        <f ca="1">AVERAGE(OFFSET($DS$3,0,0,'Données projet'!$E$14+1,1))-AVERAGE(OFFSET($H$3,0,0,'Données projet'!$E$14+1,1))</f>
        <v>172.86120068224633</v>
      </c>
      <c r="DU89" s="62">
        <f t="shared" si="98"/>
        <v>269.4995727085078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4.2</v>
      </c>
      <c r="EJ89" s="13">
        <f>IF('Données projet'!$A$192&gt;35,EJ88+EI89-ER88,IF(A89&lt;'Données projet'!$A$192,$EG$205^A89,IF(A89='Données projet'!$A$192,'Données projet'!$B$192,EJ88+EI89-ER88)))</f>
        <v>190.20000000000005</v>
      </c>
      <c r="EK89" s="18">
        <f>EJ89*VLOOKUP('Données projet'!$B$15,Paramètres!$A$1:$I$89,3,0)*VLOOKUP('Données projet'!$B$15,Paramètres!$A$1:$I$89,5,0)</f>
        <v>160.22448000000006</v>
      </c>
      <c r="EL89" s="14">
        <f t="shared" si="99"/>
        <v>40.89314336510823</v>
      </c>
      <c r="EM89" s="22">
        <f t="shared" si="73"/>
        <v>350.27986069423019</v>
      </c>
      <c r="EN89" s="62">
        <f t="shared" si="74"/>
        <v>623.2616087596349</v>
      </c>
      <c r="EO89" s="62">
        <f ca="1">AVERAGE(OFFSET($EN$3,0,0,'Données projet'!$E$15+1,1))-AVERAGE(OFFSET($H$3,0,0,'Données projet'!$E$15+1,1))</f>
        <v>346.97972840139914</v>
      </c>
      <c r="EP89" s="62">
        <f t="shared" si="100"/>
        <v>158.41433650660613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2.8</v>
      </c>
      <c r="FE89" s="13">
        <f>IF('Données projet'!$A$218&gt;35,FE88+FD89-FM88,IF(A89&lt;'Données projet'!$A$218,$FB$205^A89,IF(A89='Données projet'!$A$218,'Données projet'!$B$218,FE88+FD89-FM88)))</f>
        <v>195.79999999999984</v>
      </c>
      <c r="FF89" s="18">
        <f>FE89*VLOOKUP('Données projet'!$B$16,Paramètres!$A$1:$I$89,3,0)*VLOOKUP('Données projet'!$B$16,Paramètres!$A$1:$I$89,5,0)</f>
        <v>128.28815999999989</v>
      </c>
      <c r="FG89" s="14">
        <f t="shared" si="101"/>
        <v>33.600498728056053</v>
      </c>
      <c r="FH89" s="22">
        <f t="shared" si="76"/>
        <v>281.95608061803074</v>
      </c>
      <c r="FI89" s="62">
        <f t="shared" si="77"/>
        <v>554.93782868343544</v>
      </c>
      <c r="FJ89" s="62">
        <f ca="1">AVERAGE(OFFSET($FI$3,0,0,'Données projet'!$E$16+1,1))-AVERAGE(OFFSET($H$3,0,0,'Données projet'!$E$16+1,1))</f>
        <v>235.88453308732235</v>
      </c>
      <c r="FK89" s="62">
        <f t="shared" si="102"/>
        <v>220.72810812053521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235.19808</v>
      </c>
      <c r="P90" s="14">
        <f t="shared" si="87"/>
        <v>57.40516187330315</v>
      </c>
      <c r="Q90" s="22">
        <f t="shared" si="54"/>
        <v>509.61731292933632</v>
      </c>
      <c r="R90" s="62">
        <f t="shared" si="55"/>
        <v>782.95211549981116</v>
      </c>
      <c r="S90" s="62">
        <f ca="1">AVERAGE(OFFSET($R$3,0,0,'Données projet'!$E$9+1,1))-AVERAGE(OFFSET($H$3,0,0,'Données projet'!$E$9+1,1))</f>
        <v>442.98179778678298</v>
      </c>
      <c r="T90" s="62">
        <f t="shared" si="88"/>
        <v>251.96153561746942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3.6</v>
      </c>
      <c r="AI90" s="14">
        <f>IF('Données projet'!$A$62&gt;35,AI89+AH90-AQ89,IF(A90&lt;'Données projet'!$A$62,$AF$205^A90,IF(A90='Données projet'!$A$62,'Données projet'!$B$62,AI89+AH90-AQ89)))</f>
        <v>270.20000000000016</v>
      </c>
      <c r="AJ90" s="14">
        <f>AI90*VLOOKUP('Données projet'!$B$10,Paramètres!$A$1:$I$89,3,0)*VLOOKUP('Données projet'!$B$10,Paramètres!$A$1:$I$89,5,0)</f>
        <v>177.03504000000009</v>
      </c>
      <c r="AK90" s="14">
        <f t="shared" si="89"/>
        <v>44.661900896243402</v>
      </c>
      <c r="AL90" s="22">
        <f t="shared" si="58"/>
        <v>386.12217206095738</v>
      </c>
      <c r="AM90" s="62">
        <f t="shared" si="59"/>
        <v>659.45697463143222</v>
      </c>
      <c r="AN90" s="62">
        <f ca="1">AVERAGE(OFFSET($AM$3,0,0,'Données projet'!$E$10+1,1))-AVERAGE(OFFSET($H$3,0,0,'Données projet'!$E$10+1,1))</f>
        <v>304.35088214287919</v>
      </c>
      <c r="AO90" s="62">
        <f t="shared" si="90"/>
        <v>288.72611053217599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3.6357050703372803E-14</v>
      </c>
      <c r="BF90" s="14">
        <f t="shared" si="91"/>
        <v>6.1445232567661395E-13</v>
      </c>
      <c r="BG90" s="22">
        <f t="shared" si="61"/>
        <v>1.1334929971951436E-12</v>
      </c>
      <c r="BH90" s="62">
        <f t="shared" si="62"/>
        <v>273.33480257047597</v>
      </c>
      <c r="BI90" s="62">
        <f ca="1">AVERAGE(OFFSET($BH$3,0,0,'Données projet'!$E$11+1,1))-AVERAGE(OFFSET($H$3,0,0,'Données projet'!$E$11+1,1))</f>
        <v>285.09561428624352</v>
      </c>
      <c r="BJ90" s="62">
        <f t="shared" si="92"/>
        <v>261.05678516705564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-9.2222762759774927E-14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272.69564942740931</v>
      </c>
      <c r="CE90" s="62">
        <f t="shared" si="94"/>
        <v>316.57989180609252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3.6</v>
      </c>
      <c r="CT90" s="13">
        <f>IF('Données projet'!$A$140&gt;35,CT89+CS90-DB89,IF(A90&lt;'Données projet'!$A$140,$CQ$205^A90,IF(A90='Données projet'!$A$140,'Données projet'!$B$140,CT89+CS90-DB89)))</f>
        <v>270.20000000000016</v>
      </c>
      <c r="CU90" s="18">
        <f>CT90*VLOOKUP('Données projet'!$B$13,Paramètres!$A$1:$I$89,3,0)*VLOOKUP('Données projet'!$B$13,Paramètres!$A$1:$I$89,5,0)</f>
        <v>177.03504000000009</v>
      </c>
      <c r="CV90" s="14">
        <f t="shared" si="95"/>
        <v>44.661900896243402</v>
      </c>
      <c r="CW90" s="22">
        <f t="shared" si="67"/>
        <v>386.12217206095738</v>
      </c>
      <c r="CX90" s="62">
        <f t="shared" si="68"/>
        <v>659.45697463143222</v>
      </c>
      <c r="CY90" s="62">
        <f ca="1">AVERAGE(OFFSET($CX$3,0,0,'Données projet'!$E$13+1,1))-AVERAGE(OFFSET($H$3,0,0,'Données projet'!$E$13+1,1))</f>
        <v>304.35088214287919</v>
      </c>
      <c r="CZ90" s="62">
        <f t="shared" si="96"/>
        <v>288.72611053217599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projet'!$B$14,Paramètres!$A$1:$I$89,3,0)*VLOOKUP('Données projet'!$B$14,Paramètres!$A$1:$I$89,5,0)</f>
        <v>6.5620042732916778E-14</v>
      </c>
      <c r="DQ90" s="14">
        <f t="shared" si="97"/>
        <v>1.0353460337118015E-12</v>
      </c>
      <c r="DR90" s="22">
        <f t="shared" si="70"/>
        <v>1.9175159164745509E-12</v>
      </c>
      <c r="DS90" s="62">
        <f t="shared" si="71"/>
        <v>273.33480257047677</v>
      </c>
      <c r="DT90" s="62">
        <f ca="1">AVERAGE(OFFSET($DS$3,0,0,'Données projet'!$E$14+1,1))-AVERAGE(OFFSET($H$3,0,0,'Données projet'!$E$14+1,1))</f>
        <v>172.86120068224633</v>
      </c>
      <c r="DU90" s="62">
        <f t="shared" si="98"/>
        <v>269.4995727085078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4.2</v>
      </c>
      <c r="EJ90" s="13">
        <f>IF('Données projet'!$A$192&gt;35,EJ89+EI90-ER89,IF(A90&lt;'Données projet'!$A$192,$EG$205^A90,IF(A90='Données projet'!$A$192,'Données projet'!$B$192,EJ89+EI90-ER89)))</f>
        <v>194.40000000000003</v>
      </c>
      <c r="EK90" s="18">
        <f>EJ90*VLOOKUP('Données projet'!$B$15,Paramètres!$A$1:$I$89,3,0)*VLOOKUP('Données projet'!$B$15,Paramètres!$A$1:$I$89,5,0)</f>
        <v>163.76256000000004</v>
      </c>
      <c r="EL90" s="14">
        <f t="shared" si="99"/>
        <v>41.690019860015774</v>
      </c>
      <c r="EM90" s="22">
        <f t="shared" si="73"/>
        <v>357.82990992286085</v>
      </c>
      <c r="EN90" s="62">
        <f t="shared" si="74"/>
        <v>631.16471249333563</v>
      </c>
      <c r="EO90" s="62">
        <f ca="1">AVERAGE(OFFSET($EN$3,0,0,'Données projet'!$E$15+1,1))-AVERAGE(OFFSET($H$3,0,0,'Données projet'!$E$15+1,1))</f>
        <v>346.97972840139914</v>
      </c>
      <c r="EP90" s="62">
        <f t="shared" si="100"/>
        <v>158.41433650660613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2.8</v>
      </c>
      <c r="FE90" s="13">
        <f>IF('Données projet'!$A$218&gt;35,FE89+FD90-FM89,IF(A90&lt;'Données projet'!$A$218,$FB$205^A90,IF(A90='Données projet'!$A$218,'Données projet'!$B$218,FE89+FD90-FM89)))</f>
        <v>198.59999999999985</v>
      </c>
      <c r="FF90" s="18">
        <f>FE90*VLOOKUP('Données projet'!$B$16,Paramètres!$A$1:$I$89,3,0)*VLOOKUP('Données projet'!$B$16,Paramètres!$A$1:$I$89,5,0)</f>
        <v>130.1227199999999</v>
      </c>
      <c r="FG90" s="14">
        <f t="shared" si="101"/>
        <v>34.024714763793234</v>
      </c>
      <c r="FH90" s="22">
        <f t="shared" si="76"/>
        <v>285.89011554693974</v>
      </c>
      <c r="FI90" s="62">
        <f t="shared" si="77"/>
        <v>559.22491811741452</v>
      </c>
      <c r="FJ90" s="62">
        <f ca="1">AVERAGE(OFFSET($FI$3,0,0,'Données projet'!$E$16+1,1))-AVERAGE(OFFSET($H$3,0,0,'Données projet'!$E$16+1,1))</f>
        <v>235.88453308732235</v>
      </c>
      <c r="FK90" s="62">
        <f t="shared" si="102"/>
        <v>220.72810812053521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239.91552000000004</v>
      </c>
      <c r="P91" s="14">
        <f t="shared" si="87"/>
        <v>58.421353826263946</v>
      </c>
      <c r="Q91" s="22">
        <f t="shared" si="54"/>
        <v>519.60338858074306</v>
      </c>
      <c r="R91" s="62">
        <f t="shared" si="55"/>
        <v>793.28512094993675</v>
      </c>
      <c r="S91" s="62">
        <f ca="1">AVERAGE(OFFSET($R$3,0,0,'Données projet'!$E$9+1,1))-AVERAGE(OFFSET($H$3,0,0,'Données projet'!$E$9+1,1))</f>
        <v>442.98179778678298</v>
      </c>
      <c r="T91" s="62">
        <f t="shared" si="88"/>
        <v>251.96153561746942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3.6</v>
      </c>
      <c r="AI91" s="14">
        <f>IF('Données projet'!$A$62&gt;35,AI90+AH91-AQ90,IF(A91&lt;'Données projet'!$A$62,$AF$205^A91,IF(A91='Données projet'!$A$62,'Données projet'!$B$62,AI90+AH91-AQ90)))</f>
        <v>273.80000000000018</v>
      </c>
      <c r="AJ91" s="14">
        <f>AI91*VLOOKUP('Données projet'!$B$10,Paramètres!$A$1:$I$89,3,0)*VLOOKUP('Données projet'!$B$10,Paramètres!$A$1:$I$89,5,0)</f>
        <v>179.3937600000001</v>
      </c>
      <c r="AK91" s="14">
        <f t="shared" si="89"/>
        <v>45.187282464366746</v>
      </c>
      <c r="AL91" s="22">
        <f t="shared" si="58"/>
        <v>391.14531562543885</v>
      </c>
      <c r="AM91" s="62">
        <f t="shared" si="59"/>
        <v>664.82704799463249</v>
      </c>
      <c r="AN91" s="62">
        <f ca="1">AVERAGE(OFFSET($AM$3,0,0,'Données projet'!$E$10+1,1))-AVERAGE(OFFSET($H$3,0,0,'Données projet'!$E$10+1,1))</f>
        <v>304.35088214287919</v>
      </c>
      <c r="AO91" s="62">
        <f t="shared" si="90"/>
        <v>288.72611053217599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3.6357050703372803E-14</v>
      </c>
      <c r="BF91" s="14">
        <f t="shared" si="91"/>
        <v>6.1445232567661395E-13</v>
      </c>
      <c r="BG91" s="22">
        <f t="shared" si="61"/>
        <v>1.1334929971951436E-12</v>
      </c>
      <c r="BH91" s="62">
        <f t="shared" si="62"/>
        <v>273.68173236919483</v>
      </c>
      <c r="BI91" s="62">
        <f ca="1">AVERAGE(OFFSET($BH$3,0,0,'Données projet'!$E$11+1,1))-AVERAGE(OFFSET($H$3,0,0,'Données projet'!$E$11+1,1))</f>
        <v>285.09561428624352</v>
      </c>
      <c r="BJ91" s="62">
        <f t="shared" si="92"/>
        <v>261.05678516705564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-9.2222762759774927E-14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272.69564942740931</v>
      </c>
      <c r="CE91" s="62">
        <f t="shared" si="94"/>
        <v>316.57989180609252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3.6</v>
      </c>
      <c r="CT91" s="13">
        <f>IF('Données projet'!$A$140&gt;35,CT90+CS91-DB90,IF(A91&lt;'Données projet'!$A$140,$CQ$205^A91,IF(A91='Données projet'!$A$140,'Données projet'!$B$140,CT90+CS91-DB90)))</f>
        <v>273.80000000000018</v>
      </c>
      <c r="CU91" s="18">
        <f>CT91*VLOOKUP('Données projet'!$B$13,Paramètres!$A$1:$I$89,3,0)*VLOOKUP('Données projet'!$B$13,Paramètres!$A$1:$I$89,5,0)</f>
        <v>179.3937600000001</v>
      </c>
      <c r="CV91" s="14">
        <f t="shared" si="95"/>
        <v>45.187282464366746</v>
      </c>
      <c r="CW91" s="22">
        <f t="shared" si="67"/>
        <v>391.14531562543885</v>
      </c>
      <c r="CX91" s="62">
        <f t="shared" si="68"/>
        <v>664.82704799463249</v>
      </c>
      <c r="CY91" s="62">
        <f ca="1">AVERAGE(OFFSET($CX$3,0,0,'Données projet'!$E$13+1,1))-AVERAGE(OFFSET($H$3,0,0,'Données projet'!$E$13+1,1))</f>
        <v>304.35088214287919</v>
      </c>
      <c r="CZ91" s="62">
        <f t="shared" si="96"/>
        <v>288.72611053217599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projet'!$B$14,Paramètres!$A$1:$I$89,3,0)*VLOOKUP('Données projet'!$B$14,Paramètres!$A$1:$I$89,5,0)</f>
        <v>6.5620042732916778E-14</v>
      </c>
      <c r="DQ91" s="14">
        <f t="shared" si="97"/>
        <v>1.0353460337118015E-12</v>
      </c>
      <c r="DR91" s="22">
        <f t="shared" si="70"/>
        <v>1.9175159164745509E-12</v>
      </c>
      <c r="DS91" s="62">
        <f t="shared" si="71"/>
        <v>273.68173236919563</v>
      </c>
      <c r="DT91" s="62">
        <f ca="1">AVERAGE(OFFSET($DS$3,0,0,'Données projet'!$E$14+1,1))-AVERAGE(OFFSET($H$3,0,0,'Données projet'!$E$14+1,1))</f>
        <v>172.86120068224633</v>
      </c>
      <c r="DU91" s="62">
        <f t="shared" si="98"/>
        <v>269.4995727085078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4.2</v>
      </c>
      <c r="EJ91" s="13">
        <f>IF('Données projet'!$A$192&gt;35,EJ90+EI91-ER90,IF(A91&lt;'Données projet'!$A$192,$EG$205^A91,IF(A91='Données projet'!$A$192,'Données projet'!$B$192,EJ90+EI91-ER90)))</f>
        <v>198.60000000000002</v>
      </c>
      <c r="EK91" s="18">
        <f>EJ91*VLOOKUP('Données projet'!$B$15,Paramètres!$A$1:$I$89,3,0)*VLOOKUP('Données projet'!$B$15,Paramètres!$A$1:$I$89,5,0)</f>
        <v>167.30064000000002</v>
      </c>
      <c r="EL91" s="14">
        <f t="shared" si="99"/>
        <v>42.4848947112445</v>
      </c>
      <c r="EM91" s="22">
        <f t="shared" si="73"/>
        <v>365.37647295541751</v>
      </c>
      <c r="EN91" s="62">
        <f t="shared" si="74"/>
        <v>639.05820532461121</v>
      </c>
      <c r="EO91" s="62">
        <f ca="1">AVERAGE(OFFSET($EN$3,0,0,'Données projet'!$E$15+1,1))-AVERAGE(OFFSET($H$3,0,0,'Données projet'!$E$15+1,1))</f>
        <v>346.97972840139914</v>
      </c>
      <c r="EP91" s="62">
        <f t="shared" si="100"/>
        <v>158.41433650660613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2.8</v>
      </c>
      <c r="FE91" s="13">
        <f>IF('Données projet'!$A$218&gt;35,FE90+FD91-FM90,IF(A91&lt;'Données projet'!$A$218,$FB$205^A91,IF(A91='Données projet'!$A$218,'Données projet'!$B$218,FE90+FD91-FM90)))</f>
        <v>201.39999999999986</v>
      </c>
      <c r="FF91" s="18">
        <f>FE91*VLOOKUP('Données projet'!$B$16,Paramètres!$A$1:$I$89,3,0)*VLOOKUP('Données projet'!$B$16,Paramètres!$A$1:$I$89,5,0)</f>
        <v>131.95727999999991</v>
      </c>
      <c r="FG91" s="14">
        <f t="shared" si="101"/>
        <v>34.448235170411273</v>
      </c>
      <c r="FH91" s="22">
        <f t="shared" si="76"/>
        <v>289.82293892179945</v>
      </c>
      <c r="FI91" s="62">
        <f t="shared" si="77"/>
        <v>563.5046712909932</v>
      </c>
      <c r="FJ91" s="62">
        <f ca="1">AVERAGE(OFFSET($FI$3,0,0,'Données projet'!$E$16+1,1))-AVERAGE(OFFSET($H$3,0,0,'Données projet'!$E$16+1,1))</f>
        <v>235.88453308732235</v>
      </c>
      <c r="FK91" s="62">
        <f t="shared" si="102"/>
        <v>220.72810812053521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244.63296000000005</v>
      </c>
      <c r="P92" s="14">
        <f t="shared" si="87"/>
        <v>59.435222456963288</v>
      </c>
      <c r="Q92" s="22">
        <f t="shared" si="54"/>
        <v>529.58541777921107</v>
      </c>
      <c r="R92" s="62">
        <f t="shared" si="55"/>
        <v>803.6080614907346</v>
      </c>
      <c r="S92" s="62">
        <f ca="1">AVERAGE(OFFSET($R$3,0,0,'Données projet'!$E$9+1,1))-AVERAGE(OFFSET($H$3,0,0,'Données projet'!$E$9+1,1))</f>
        <v>442.98179778678298</v>
      </c>
      <c r="T92" s="62">
        <f t="shared" si="88"/>
        <v>251.96153561746942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3.6</v>
      </c>
      <c r="AI92" s="14">
        <f>IF('Données projet'!$A$62&gt;35,AI91+AH92-AQ91,IF(A92&lt;'Données projet'!$A$62,$AF$205^A92,IF(A92='Données projet'!$A$62,'Données projet'!$B$62,AI91+AH92-AQ91)))</f>
        <v>277.4000000000002</v>
      </c>
      <c r="AJ92" s="14">
        <f>AI92*VLOOKUP('Données projet'!$B$10,Paramètres!$A$1:$I$89,3,0)*VLOOKUP('Données projet'!$B$10,Paramètres!$A$1:$I$89,5,0)</f>
        <v>181.75248000000013</v>
      </c>
      <c r="AK92" s="14">
        <f t="shared" si="89"/>
        <v>45.711860547424223</v>
      </c>
      <c r="AL92" s="22">
        <f t="shared" si="58"/>
        <v>396.16705978676401</v>
      </c>
      <c r="AM92" s="62">
        <f t="shared" si="59"/>
        <v>670.1897034982876</v>
      </c>
      <c r="AN92" s="62">
        <f ca="1">AVERAGE(OFFSET($AM$3,0,0,'Données projet'!$E$10+1,1))-AVERAGE(OFFSET($H$3,0,0,'Données projet'!$E$10+1,1))</f>
        <v>304.35088214287919</v>
      </c>
      <c r="AO92" s="62">
        <f t="shared" si="90"/>
        <v>288.72611053217599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3.6357050703372803E-14</v>
      </c>
      <c r="BF92" s="14">
        <f t="shared" si="91"/>
        <v>6.1445232567661395E-13</v>
      </c>
      <c r="BG92" s="22">
        <f t="shared" si="61"/>
        <v>1.1334929971951436E-12</v>
      </c>
      <c r="BH92" s="62">
        <f t="shared" si="62"/>
        <v>274.02264371152472</v>
      </c>
      <c r="BI92" s="62">
        <f ca="1">AVERAGE(OFFSET($BH$3,0,0,'Données projet'!$E$11+1,1))-AVERAGE(OFFSET($H$3,0,0,'Données projet'!$E$11+1,1))</f>
        <v>285.09561428624352</v>
      </c>
      <c r="BJ92" s="62">
        <f t="shared" si="92"/>
        <v>261.05678516705564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-9.2222762759774927E-14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272.69564942740931</v>
      </c>
      <c r="CE92" s="62">
        <f t="shared" si="94"/>
        <v>316.57989180609252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3.6</v>
      </c>
      <c r="CT92" s="13">
        <f>IF('Données projet'!$A$140&gt;35,CT91+CS92-DB91,IF(A92&lt;'Données projet'!$A$140,$CQ$205^A92,IF(A92='Données projet'!$A$140,'Données projet'!$B$140,CT91+CS92-DB91)))</f>
        <v>277.4000000000002</v>
      </c>
      <c r="CU92" s="18">
        <f>CT92*VLOOKUP('Données projet'!$B$13,Paramètres!$A$1:$I$89,3,0)*VLOOKUP('Données projet'!$B$13,Paramètres!$A$1:$I$89,5,0)</f>
        <v>181.75248000000013</v>
      </c>
      <c r="CV92" s="14">
        <f t="shared" si="95"/>
        <v>45.711860547424223</v>
      </c>
      <c r="CW92" s="22">
        <f t="shared" si="67"/>
        <v>396.16705978676401</v>
      </c>
      <c r="CX92" s="62">
        <f t="shared" si="68"/>
        <v>670.1897034982876</v>
      </c>
      <c r="CY92" s="62">
        <f ca="1">AVERAGE(OFFSET($CX$3,0,0,'Données projet'!$E$13+1,1))-AVERAGE(OFFSET($H$3,0,0,'Données projet'!$E$13+1,1))</f>
        <v>304.35088214287919</v>
      </c>
      <c r="CZ92" s="62">
        <f t="shared" si="96"/>
        <v>288.72611053217599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projet'!$B$14,Paramètres!$A$1:$I$89,3,0)*VLOOKUP('Données projet'!$B$14,Paramètres!$A$1:$I$89,5,0)</f>
        <v>6.5620042732916778E-14</v>
      </c>
      <c r="DQ92" s="14">
        <f t="shared" si="97"/>
        <v>1.0353460337118015E-12</v>
      </c>
      <c r="DR92" s="22">
        <f t="shared" si="70"/>
        <v>1.9175159164745509E-12</v>
      </c>
      <c r="DS92" s="62">
        <f t="shared" si="71"/>
        <v>274.02264371152552</v>
      </c>
      <c r="DT92" s="62">
        <f ca="1">AVERAGE(OFFSET($DS$3,0,0,'Données projet'!$E$14+1,1))-AVERAGE(OFFSET($H$3,0,0,'Données projet'!$E$14+1,1))</f>
        <v>172.86120068224633</v>
      </c>
      <c r="DU92" s="62">
        <f t="shared" si="98"/>
        <v>269.4995727085078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4.2</v>
      </c>
      <c r="EJ92" s="13">
        <f>IF('Données projet'!$A$192&gt;35,EJ91+EI92-ER91,IF(A92&lt;'Données projet'!$A$192,$EG$205^A92,IF(A92='Données projet'!$A$192,'Données projet'!$B$192,EJ91+EI92-ER91)))</f>
        <v>202.8</v>
      </c>
      <c r="EK92" s="18">
        <f>EJ92*VLOOKUP('Données projet'!$B$15,Paramètres!$A$1:$I$89,3,0)*VLOOKUP('Données projet'!$B$15,Paramètres!$A$1:$I$89,5,0)</f>
        <v>170.83872000000002</v>
      </c>
      <c r="EL92" s="14">
        <f t="shared" si="99"/>
        <v>43.277815125923723</v>
      </c>
      <c r="EM92" s="22">
        <f t="shared" si="73"/>
        <v>372.91963201098383</v>
      </c>
      <c r="EN92" s="62">
        <f t="shared" si="74"/>
        <v>646.94227572250747</v>
      </c>
      <c r="EO92" s="62">
        <f ca="1">AVERAGE(OFFSET($EN$3,0,0,'Données projet'!$E$15+1,1))-AVERAGE(OFFSET($H$3,0,0,'Données projet'!$E$15+1,1))</f>
        <v>346.97972840139914</v>
      </c>
      <c r="EP92" s="62">
        <f t="shared" si="100"/>
        <v>158.41433650660613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2.8</v>
      </c>
      <c r="FE92" s="13">
        <f>IF('Données projet'!$A$218&gt;35,FE91+FD92-FM91,IF(A92&lt;'Données projet'!$A$218,$FB$205^A92,IF(A92='Données projet'!$A$218,'Données projet'!$B$218,FE91+FD92-FM91)))</f>
        <v>204.19999999999987</v>
      </c>
      <c r="FF92" s="18">
        <f>FE92*VLOOKUP('Données projet'!$B$16,Paramètres!$A$1:$I$89,3,0)*VLOOKUP('Données projet'!$B$16,Paramètres!$A$1:$I$89,5,0)</f>
        <v>133.79183999999992</v>
      </c>
      <c r="FG92" s="14">
        <f t="shared" si="101"/>
        <v>34.871070736705384</v>
      </c>
      <c r="FH92" s="22">
        <f t="shared" si="76"/>
        <v>293.75456953309504</v>
      </c>
      <c r="FI92" s="62">
        <f t="shared" si="77"/>
        <v>567.77721324461868</v>
      </c>
      <c r="FJ92" s="62">
        <f ca="1">AVERAGE(OFFSET($FI$3,0,0,'Données projet'!$E$16+1,1))-AVERAGE(OFFSET($H$3,0,0,'Données projet'!$E$16+1,1))</f>
        <v>235.88453308732235</v>
      </c>
      <c r="FK92" s="62">
        <f t="shared" si="102"/>
        <v>220.72810812053521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249.35040000000006</v>
      </c>
      <c r="P93" s="14">
        <f t="shared" si="87"/>
        <v>60.446817732908166</v>
      </c>
      <c r="Q93" s="22">
        <f t="shared" si="54"/>
        <v>539.56348755148178</v>
      </c>
      <c r="R93" s="62">
        <f t="shared" si="55"/>
        <v>813.9211285557094</v>
      </c>
      <c r="S93" s="62">
        <f ca="1">AVERAGE(OFFSET($R$3,0,0,'Données projet'!$E$9+1,1))-AVERAGE(OFFSET($H$3,0,0,'Données projet'!$E$9+1,1))</f>
        <v>442.98179778678298</v>
      </c>
      <c r="T93" s="62">
        <f t="shared" si="88"/>
        <v>251.96153561746942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281</v>
      </c>
      <c r="AG93" s="13">
        <f>VLOOKUP(A93,'Données projet'!$A$61:$I$81,9,0)</f>
        <v>3.6</v>
      </c>
      <c r="AH93" s="13">
        <f t="array" ref="AH93">INDEX(AG:AG,MIN(IF(ISNUMBER(AG93:AG289),ROW(AG93:AG289),"")))</f>
        <v>3.6</v>
      </c>
      <c r="AI93" s="14">
        <f>IF('Données projet'!$A$62&gt;35,AI92+AH93-AQ92,IF(A93&lt;'Données projet'!$A$62,$AF$205^A93,IF(A93='Données projet'!$A$62,'Données projet'!$B$62,AI92+AH93-AQ92)))</f>
        <v>281.00000000000023</v>
      </c>
      <c r="AJ93" s="14">
        <f>AI93*VLOOKUP('Données projet'!$B$10,Paramètres!$A$1:$I$89,3,0)*VLOOKUP('Données projet'!$B$10,Paramètres!$A$1:$I$89,5,0)</f>
        <v>184.11120000000017</v>
      </c>
      <c r="AK93" s="14">
        <f t="shared" si="89"/>
        <v>46.23564677837556</v>
      </c>
      <c r="AL93" s="22">
        <f t="shared" si="58"/>
        <v>401.18742480567101</v>
      </c>
      <c r="AM93" s="62">
        <f t="shared" si="59"/>
        <v>675.54506580989869</v>
      </c>
      <c r="AN93" s="62">
        <f ca="1">AVERAGE(OFFSET($AM$3,0,0,'Données projet'!$E$10+1,1))-AVERAGE(OFFSET($H$3,0,0,'Données projet'!$E$10+1,1))</f>
        <v>304.35088214287919</v>
      </c>
      <c r="AO93" s="62">
        <f t="shared" si="90"/>
        <v>288.72611053217599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281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3.6357050703372803E-14</v>
      </c>
      <c r="BF93" s="14">
        <f t="shared" si="91"/>
        <v>6.1445232567661395E-13</v>
      </c>
      <c r="BG93" s="22">
        <f t="shared" si="61"/>
        <v>1.1334929971951436E-12</v>
      </c>
      <c r="BH93" s="62">
        <f t="shared" si="62"/>
        <v>274.35764100422881</v>
      </c>
      <c r="BI93" s="62">
        <f ca="1">AVERAGE(OFFSET($BH$3,0,0,'Données projet'!$E$11+1,1))-AVERAGE(OFFSET($H$3,0,0,'Données projet'!$E$11+1,1))</f>
        <v>285.09561428624352</v>
      </c>
      <c r="BJ93" s="62">
        <f t="shared" si="92"/>
        <v>261.05678516705564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-9.2222762759774927E-14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272.69564942740931</v>
      </c>
      <c r="CE93" s="62">
        <f t="shared" si="94"/>
        <v>316.57989180609252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281</v>
      </c>
      <c r="CR93" s="13">
        <f>VLOOKUP(A93,'Données projet'!$A$139:$I$159,9,0)</f>
        <v>3.6</v>
      </c>
      <c r="CS93" s="13">
        <f t="array" ref="CS93">INDEX(CR:CR,MIN(IF(ISNUMBER(CR93:CR289),ROW(CR93:CR289),"")))</f>
        <v>3.6</v>
      </c>
      <c r="CT93" s="13">
        <f>IF('Données projet'!$A$140&gt;35,CT92+CS93-DB92,IF(A93&lt;'Données projet'!$A$140,$CQ$205^A93,IF(A93='Données projet'!$A$140,'Données projet'!$B$140,CT92+CS93-DB92)))</f>
        <v>281.00000000000023</v>
      </c>
      <c r="CU93" s="18">
        <f>CT93*VLOOKUP('Données projet'!$B$13,Paramètres!$A$1:$I$89,3,0)*VLOOKUP('Données projet'!$B$13,Paramètres!$A$1:$I$89,5,0)</f>
        <v>184.11120000000017</v>
      </c>
      <c r="CV93" s="14">
        <f t="shared" si="95"/>
        <v>46.23564677837556</v>
      </c>
      <c r="CW93" s="22">
        <f t="shared" si="67"/>
        <v>401.18742480567101</v>
      </c>
      <c r="CX93" s="62">
        <f t="shared" si="68"/>
        <v>675.54506580989869</v>
      </c>
      <c r="CY93" s="62">
        <f ca="1">AVERAGE(OFFSET($CX$3,0,0,'Données projet'!$E$13+1,1))-AVERAGE(OFFSET($H$3,0,0,'Données projet'!$E$13+1,1))</f>
        <v>304.35088214287919</v>
      </c>
      <c r="CZ93" s="62">
        <f t="shared" si="96"/>
        <v>288.72611053217599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281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projet'!$B$14,Paramètres!$A$1:$I$89,3,0)*VLOOKUP('Données projet'!$B$14,Paramètres!$A$1:$I$89,5,0)</f>
        <v>6.5620042732916778E-14</v>
      </c>
      <c r="DQ93" s="14">
        <f t="shared" si="97"/>
        <v>1.0353460337118015E-12</v>
      </c>
      <c r="DR93" s="22">
        <f t="shared" si="70"/>
        <v>1.9175159164745509E-12</v>
      </c>
      <c r="DS93" s="62">
        <f t="shared" si="71"/>
        <v>274.35764100422961</v>
      </c>
      <c r="DT93" s="62">
        <f ca="1">AVERAGE(OFFSET($DS$3,0,0,'Données projet'!$E$14+1,1))-AVERAGE(OFFSET($H$3,0,0,'Données projet'!$E$14+1,1))</f>
        <v>172.86120068224633</v>
      </c>
      <c r="DU93" s="62">
        <f t="shared" si="98"/>
        <v>269.4995727085078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207</v>
      </c>
      <c r="EH93" s="13">
        <f>VLOOKUP(A93,'Données projet'!$A$191:$I$211,9,0)</f>
        <v>4.2</v>
      </c>
      <c r="EI93" s="13">
        <f t="array" ref="EI93">INDEX(EH:EH,MIN(IF(ISNUMBER(EH93:EH289),ROW(EH93:EH289),"")))</f>
        <v>4.2</v>
      </c>
      <c r="EJ93" s="13">
        <f>IF('Données projet'!$A$192&gt;35,EJ92+EI93-ER92,IF(A93&lt;'Données projet'!$A$192,$EG$205^A93,IF(A93='Données projet'!$A$192,'Données projet'!$B$192,EJ92+EI93-ER92)))</f>
        <v>207</v>
      </c>
      <c r="EK93" s="18">
        <f>EJ93*VLOOKUP('Données projet'!$B$15,Paramètres!$A$1:$I$89,3,0)*VLOOKUP('Données projet'!$B$15,Paramètres!$A$1:$I$89,5,0)</f>
        <v>174.3768</v>
      </c>
      <c r="EL93" s="14">
        <f t="shared" si="99"/>
        <v>44.06882624410639</v>
      </c>
      <c r="EM93" s="22">
        <f t="shared" si="73"/>
        <v>380.45946570848531</v>
      </c>
      <c r="EN93" s="62">
        <f t="shared" si="74"/>
        <v>654.81710671271298</v>
      </c>
      <c r="EO93" s="62">
        <f ca="1">AVERAGE(OFFSET($EN$3,0,0,'Données projet'!$E$15+1,1))-AVERAGE(OFFSET($H$3,0,0,'Données projet'!$E$15+1,1))</f>
        <v>346.97972840139914</v>
      </c>
      <c r="EP93" s="62">
        <f t="shared" si="100"/>
        <v>158.41433650660613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207</v>
      </c>
      <c r="FC93" s="13">
        <f>VLOOKUP(A93,'Données projet'!$A$217:$I$237,9,0)</f>
        <v>2.8</v>
      </c>
      <c r="FD93" s="13">
        <f t="array" ref="FD93">INDEX(FC:FC,MIN(IF(ISNUMBER(FC93:FC289),ROW(FC93:FC289),"")))</f>
        <v>2.8</v>
      </c>
      <c r="FE93" s="13">
        <f>IF('Données projet'!$A$218&gt;35,FE92+FD93-FM92,IF(A93&lt;'Données projet'!$A$218,$FB$205^A93,IF(A93='Données projet'!$A$218,'Données projet'!$B$218,FE92+FD93-FM92)))</f>
        <v>206.99999999999989</v>
      </c>
      <c r="FF93" s="18">
        <f>FE93*VLOOKUP('Données projet'!$B$16,Paramètres!$A$1:$I$89,3,0)*VLOOKUP('Données projet'!$B$16,Paramètres!$A$1:$I$89,5,0)</f>
        <v>135.62639999999993</v>
      </c>
      <c r="FG93" s="14">
        <f t="shared" si="101"/>
        <v>35.293231938598453</v>
      </c>
      <c r="FH93" s="22">
        <f t="shared" si="76"/>
        <v>297.68502562639225</v>
      </c>
      <c r="FI93" s="62">
        <f t="shared" si="77"/>
        <v>572.04266663061992</v>
      </c>
      <c r="FJ93" s="62">
        <f ca="1">AVERAGE(OFFSET($FI$3,0,0,'Données projet'!$E$16+1,1))-AVERAGE(OFFSET($H$3,0,0,'Données projet'!$E$16+1,1))</f>
        <v>235.88453308732235</v>
      </c>
      <c r="FK93" s="62">
        <f t="shared" si="102"/>
        <v>220.72810812053521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207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218.09736000000007</v>
      </c>
      <c r="P94" s="14">
        <f t="shared" si="87"/>
        <v>53.701147500486194</v>
      </c>
      <c r="Q94" s="22">
        <f t="shared" si="54"/>
        <v>473.38240056334689</v>
      </c>
      <c r="R94" s="62">
        <f t="shared" si="55"/>
        <v>748.06922740619189</v>
      </c>
      <c r="S94" s="62">
        <f ca="1">AVERAGE(OFFSET($R$3,0,0,'Données projet'!$E$9+1,1))-AVERAGE(OFFSET($H$3,0,0,'Données projet'!$E$9+1,1))</f>
        <v>442.98179778678298</v>
      </c>
      <c r="T94" s="62">
        <f t="shared" si="88"/>
        <v>251.96153561746942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1.4897523215040565E-13</v>
      </c>
      <c r="AK94" s="14">
        <f t="shared" si="89"/>
        <v>2.136562777003313E-12</v>
      </c>
      <c r="AL94" s="22">
        <f t="shared" si="58"/>
        <v>3.9806453659427267E-12</v>
      </c>
      <c r="AM94" s="62">
        <f t="shared" si="59"/>
        <v>274.68682684284903</v>
      </c>
      <c r="AN94" s="62">
        <f ca="1">AVERAGE(OFFSET($AM$3,0,0,'Données projet'!$E$10+1,1))-AVERAGE(OFFSET($H$3,0,0,'Données projet'!$E$10+1,1))</f>
        <v>304.35088214287919</v>
      </c>
      <c r="AO94" s="62">
        <f t="shared" si="90"/>
        <v>288.72611053217599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3.6357050703372803E-14</v>
      </c>
      <c r="BF94" s="14">
        <f t="shared" si="91"/>
        <v>6.1445232567661395E-13</v>
      </c>
      <c r="BG94" s="22">
        <f t="shared" si="61"/>
        <v>1.1334929971951436E-12</v>
      </c>
      <c r="BH94" s="62">
        <f t="shared" si="62"/>
        <v>274.68682684284619</v>
      </c>
      <c r="BI94" s="62">
        <f ca="1">AVERAGE(OFFSET($BH$3,0,0,'Données projet'!$E$11+1,1))-AVERAGE(OFFSET($H$3,0,0,'Données projet'!$E$11+1,1))</f>
        <v>285.09561428624352</v>
      </c>
      <c r="BJ94" s="62">
        <f t="shared" si="92"/>
        <v>261.05678516705564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-9.2222762759774927E-14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272.69564942740931</v>
      </c>
      <c r="CE94" s="62">
        <f t="shared" si="94"/>
        <v>316.57989180609252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2.2737367544323206E-13</v>
      </c>
      <c r="CU94" s="18">
        <f>CT94*VLOOKUP('Données projet'!$B$13,Paramètres!$A$1:$I$89,3,0)*VLOOKUP('Données projet'!$B$13,Paramètres!$A$1:$I$89,5,0)</f>
        <v>1.4897523215040565E-13</v>
      </c>
      <c r="CV94" s="14">
        <f t="shared" si="95"/>
        <v>2.136562777003313E-12</v>
      </c>
      <c r="CW94" s="22">
        <f t="shared" si="67"/>
        <v>3.9806453659427267E-12</v>
      </c>
      <c r="CX94" s="62">
        <f t="shared" si="68"/>
        <v>274.68682684284903</v>
      </c>
      <c r="CY94" s="62">
        <f ca="1">AVERAGE(OFFSET($CX$3,0,0,'Données projet'!$E$13+1,1))-AVERAGE(OFFSET($H$3,0,0,'Données projet'!$E$13+1,1))</f>
        <v>304.35088214287919</v>
      </c>
      <c r="CZ94" s="62">
        <f t="shared" si="96"/>
        <v>288.72611053217599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projet'!$B$14,Paramètres!$A$1:$I$89,3,0)*VLOOKUP('Données projet'!$B$14,Paramètres!$A$1:$I$89,5,0)</f>
        <v>6.5620042732916778E-14</v>
      </c>
      <c r="DQ94" s="14">
        <f t="shared" si="97"/>
        <v>1.0353460337118015E-12</v>
      </c>
      <c r="DR94" s="22">
        <f t="shared" si="70"/>
        <v>1.9175159164745509E-12</v>
      </c>
      <c r="DS94" s="62">
        <f t="shared" si="71"/>
        <v>274.68682684284698</v>
      </c>
      <c r="DT94" s="62">
        <f ca="1">AVERAGE(OFFSET($DS$3,0,0,'Données projet'!$E$14+1,1))-AVERAGE(OFFSET($H$3,0,0,'Données projet'!$E$14+1,1))</f>
        <v>172.86120068224633</v>
      </c>
      <c r="DU94" s="62">
        <f t="shared" si="98"/>
        <v>269.4995727085078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3.8</v>
      </c>
      <c r="EJ94" s="13">
        <f>IF('Données projet'!$A$192&gt;35,EJ93+EI94-ER93,IF(A94&lt;'Données projet'!$A$192,$EG$205^A94,IF(A94='Données projet'!$A$192,'Données projet'!$B$192,EJ93+EI94-ER93)))</f>
        <v>210.8</v>
      </c>
      <c r="EK94" s="18">
        <f>EJ94*VLOOKUP('Données projet'!$B$15,Paramètres!$A$1:$I$89,3,0)*VLOOKUP('Données projet'!$B$15,Paramètres!$A$1:$I$89,5,0)</f>
        <v>177.57792000000001</v>
      </c>
      <c r="EL94" s="14">
        <f t="shared" si="99"/>
        <v>44.782893853597976</v>
      </c>
      <c r="EM94" s="22">
        <f t="shared" si="73"/>
        <v>387.27841746168315</v>
      </c>
      <c r="EN94" s="62">
        <f t="shared" si="74"/>
        <v>661.96524430452814</v>
      </c>
      <c r="EO94" s="62">
        <f ca="1">AVERAGE(OFFSET($EN$3,0,0,'Données projet'!$E$15+1,1))-AVERAGE(OFFSET($H$3,0,0,'Données projet'!$E$15+1,1))</f>
        <v>346.97972840139914</v>
      </c>
      <c r="EP94" s="62">
        <f t="shared" si="100"/>
        <v>158.41433650660613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-1.1368683772161603E-13</v>
      </c>
      <c r="FF94" s="18">
        <f>FE94*VLOOKUP('Données projet'!$B$16,Paramètres!$A$1:$I$89,3,0)*VLOOKUP('Données projet'!$B$16,Paramètres!$A$1:$I$89,5,0)</f>
        <v>-7.4487616075202823E-14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235.88453308732235</v>
      </c>
      <c r="FK94" s="62">
        <f t="shared" si="102"/>
        <v>220.72810812053521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222.22512000000006</v>
      </c>
      <c r="P95" s="14">
        <f t="shared" si="87"/>
        <v>54.598220944501897</v>
      </c>
      <c r="Q95" s="22">
        <f t="shared" si="54"/>
        <v>482.13398547834095</v>
      </c>
      <c r="R95" s="62">
        <f t="shared" si="55"/>
        <v>757.14428752145272</v>
      </c>
      <c r="S95" s="62">
        <f ca="1">AVERAGE(OFFSET($R$3,0,0,'Données projet'!$E$9+1,1))-AVERAGE(OFFSET($H$3,0,0,'Données projet'!$E$9+1,1))</f>
        <v>442.98179778678298</v>
      </c>
      <c r="T95" s="62">
        <f t="shared" si="88"/>
        <v>251.96153561746942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1.4897523215040565E-13</v>
      </c>
      <c r="AK95" s="14">
        <f t="shared" si="89"/>
        <v>2.136562777003313E-12</v>
      </c>
      <c r="AL95" s="22">
        <f t="shared" si="58"/>
        <v>3.9806453659427267E-12</v>
      </c>
      <c r="AM95" s="62">
        <f t="shared" si="59"/>
        <v>275.0103020431157</v>
      </c>
      <c r="AN95" s="62">
        <f ca="1">AVERAGE(OFFSET($AM$3,0,0,'Données projet'!$E$10+1,1))-AVERAGE(OFFSET($H$3,0,0,'Données projet'!$E$10+1,1))</f>
        <v>304.35088214287919</v>
      </c>
      <c r="AO95" s="62">
        <f t="shared" si="90"/>
        <v>288.72611053217599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3.6357050703372803E-14</v>
      </c>
      <c r="BF95" s="14">
        <f t="shared" si="91"/>
        <v>6.1445232567661395E-13</v>
      </c>
      <c r="BG95" s="22">
        <f t="shared" si="61"/>
        <v>1.1334929971951436E-12</v>
      </c>
      <c r="BH95" s="62">
        <f t="shared" si="62"/>
        <v>275.01030204311286</v>
      </c>
      <c r="BI95" s="62">
        <f ca="1">AVERAGE(OFFSET($BH$3,0,0,'Données projet'!$E$11+1,1))-AVERAGE(OFFSET($H$3,0,0,'Données projet'!$E$11+1,1))</f>
        <v>285.09561428624352</v>
      </c>
      <c r="BJ95" s="62">
        <f t="shared" si="92"/>
        <v>261.05678516705564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-9.2222762759774927E-14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272.69564942740931</v>
      </c>
      <c r="CE95" s="62">
        <f t="shared" si="94"/>
        <v>316.57989180609252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2.2737367544323206E-13</v>
      </c>
      <c r="CU95" s="18">
        <f>CT95*VLOOKUP('Données projet'!$B$13,Paramètres!$A$1:$I$89,3,0)*VLOOKUP('Données projet'!$B$13,Paramètres!$A$1:$I$89,5,0)</f>
        <v>1.4897523215040565E-13</v>
      </c>
      <c r="CV95" s="14">
        <f t="shared" si="95"/>
        <v>2.136562777003313E-12</v>
      </c>
      <c r="CW95" s="22">
        <f t="shared" si="67"/>
        <v>3.9806453659427267E-12</v>
      </c>
      <c r="CX95" s="62">
        <f t="shared" si="68"/>
        <v>275.0103020431157</v>
      </c>
      <c r="CY95" s="62">
        <f ca="1">AVERAGE(OFFSET($CX$3,0,0,'Données projet'!$E$13+1,1))-AVERAGE(OFFSET($H$3,0,0,'Données projet'!$E$13+1,1))</f>
        <v>304.35088214287919</v>
      </c>
      <c r="CZ95" s="62">
        <f t="shared" si="96"/>
        <v>288.72611053217599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projet'!$B$14,Paramètres!$A$1:$I$89,3,0)*VLOOKUP('Données projet'!$B$14,Paramètres!$A$1:$I$89,5,0)</f>
        <v>6.5620042732916778E-14</v>
      </c>
      <c r="DQ95" s="14">
        <f t="shared" si="97"/>
        <v>1.0353460337118015E-12</v>
      </c>
      <c r="DR95" s="22">
        <f t="shared" si="70"/>
        <v>1.9175159164745509E-12</v>
      </c>
      <c r="DS95" s="62">
        <f t="shared" si="71"/>
        <v>275.01030204311365</v>
      </c>
      <c r="DT95" s="62">
        <f ca="1">AVERAGE(OFFSET($DS$3,0,0,'Données projet'!$E$14+1,1))-AVERAGE(OFFSET($H$3,0,0,'Données projet'!$E$14+1,1))</f>
        <v>172.86120068224633</v>
      </c>
      <c r="DU95" s="62">
        <f t="shared" si="98"/>
        <v>269.4995727085078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3.8</v>
      </c>
      <c r="EJ95" s="13">
        <f>IF('Données projet'!$A$192&gt;35,EJ94+EI95-ER94,IF(A95&lt;'Données projet'!$A$192,$EG$205^A95,IF(A95='Données projet'!$A$192,'Données projet'!$B$192,EJ94+EI95-ER94)))</f>
        <v>214.60000000000002</v>
      </c>
      <c r="EK95" s="18">
        <f>EJ95*VLOOKUP('Données projet'!$B$15,Paramètres!$A$1:$I$89,3,0)*VLOOKUP('Données projet'!$B$15,Paramètres!$A$1:$I$89,5,0)</f>
        <v>180.77904000000004</v>
      </c>
      <c r="EL95" s="14">
        <f t="shared" si="99"/>
        <v>45.495464625737284</v>
      </c>
      <c r="EM95" s="22">
        <f t="shared" si="73"/>
        <v>394.09476222315919</v>
      </c>
      <c r="EN95" s="62">
        <f t="shared" si="74"/>
        <v>669.10506426627092</v>
      </c>
      <c r="EO95" s="62">
        <f ca="1">AVERAGE(OFFSET($EN$3,0,0,'Données projet'!$E$15+1,1))-AVERAGE(OFFSET($H$3,0,0,'Données projet'!$E$15+1,1))</f>
        <v>346.97972840139914</v>
      </c>
      <c r="EP95" s="62">
        <f t="shared" si="100"/>
        <v>158.41433650660613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-1.1368683772161603E-13</v>
      </c>
      <c r="FF95" s="18">
        <f>FE95*VLOOKUP('Données projet'!$B$16,Paramètres!$A$1:$I$89,3,0)*VLOOKUP('Données projet'!$B$16,Paramètres!$A$1:$I$89,5,0)</f>
        <v>-7.4487616075202823E-14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235.88453308732235</v>
      </c>
      <c r="FK95" s="62">
        <f t="shared" si="102"/>
        <v>220.72810812053521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226.35288000000003</v>
      </c>
      <c r="P96" s="14">
        <f t="shared" si="87"/>
        <v>55.493356810213015</v>
      </c>
      <c r="Q96" s="22">
        <f t="shared" si="54"/>
        <v>490.88219577778773</v>
      </c>
      <c r="R96" s="62">
        <f t="shared" si="55"/>
        <v>766.21036144962363</v>
      </c>
      <c r="S96" s="62">
        <f ca="1">AVERAGE(OFFSET($R$3,0,0,'Données projet'!$E$9+1,1))-AVERAGE(OFFSET($H$3,0,0,'Données projet'!$E$9+1,1))</f>
        <v>442.98179778678298</v>
      </c>
      <c r="T96" s="62">
        <f t="shared" si="88"/>
        <v>251.96153561746942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1.4897523215040565E-13</v>
      </c>
      <c r="AK96" s="14">
        <f t="shared" si="89"/>
        <v>2.136562777003313E-12</v>
      </c>
      <c r="AL96" s="22">
        <f t="shared" si="58"/>
        <v>3.9806453659427267E-12</v>
      </c>
      <c r="AM96" s="62">
        <f t="shared" si="59"/>
        <v>275.32816567183994</v>
      </c>
      <c r="AN96" s="62">
        <f ca="1">AVERAGE(OFFSET($AM$3,0,0,'Données projet'!$E$10+1,1))-AVERAGE(OFFSET($H$3,0,0,'Données projet'!$E$10+1,1))</f>
        <v>304.35088214287919</v>
      </c>
      <c r="AO96" s="62">
        <f t="shared" si="90"/>
        <v>288.72611053217599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3.6357050703372803E-14</v>
      </c>
      <c r="BF96" s="14">
        <f t="shared" si="91"/>
        <v>6.1445232567661395E-13</v>
      </c>
      <c r="BG96" s="22">
        <f t="shared" si="61"/>
        <v>1.1334929971951436E-12</v>
      </c>
      <c r="BH96" s="62">
        <f t="shared" si="62"/>
        <v>275.3281656718371</v>
      </c>
      <c r="BI96" s="62">
        <f ca="1">AVERAGE(OFFSET($BH$3,0,0,'Données projet'!$E$11+1,1))-AVERAGE(OFFSET($H$3,0,0,'Données projet'!$E$11+1,1))</f>
        <v>285.09561428624352</v>
      </c>
      <c r="BJ96" s="62">
        <f t="shared" si="92"/>
        <v>261.05678516705564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-9.2222762759774927E-14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272.69564942740931</v>
      </c>
      <c r="CE96" s="62">
        <f t="shared" si="94"/>
        <v>316.57989180609252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2.2737367544323206E-13</v>
      </c>
      <c r="CU96" s="18">
        <f>CT96*VLOOKUP('Données projet'!$B$13,Paramètres!$A$1:$I$89,3,0)*VLOOKUP('Données projet'!$B$13,Paramètres!$A$1:$I$89,5,0)</f>
        <v>1.4897523215040565E-13</v>
      </c>
      <c r="CV96" s="14">
        <f t="shared" si="95"/>
        <v>2.136562777003313E-12</v>
      </c>
      <c r="CW96" s="22">
        <f t="shared" si="67"/>
        <v>3.9806453659427267E-12</v>
      </c>
      <c r="CX96" s="62">
        <f t="shared" si="68"/>
        <v>275.32816567183994</v>
      </c>
      <c r="CY96" s="62">
        <f ca="1">AVERAGE(OFFSET($CX$3,0,0,'Données projet'!$E$13+1,1))-AVERAGE(OFFSET($H$3,0,0,'Données projet'!$E$13+1,1))</f>
        <v>304.35088214287919</v>
      </c>
      <c r="CZ96" s="62">
        <f t="shared" si="96"/>
        <v>288.72611053217599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projet'!$B$14,Paramètres!$A$1:$I$89,3,0)*VLOOKUP('Données projet'!$B$14,Paramètres!$A$1:$I$89,5,0)</f>
        <v>6.5620042732916778E-14</v>
      </c>
      <c r="DQ96" s="14">
        <f t="shared" si="97"/>
        <v>1.0353460337118015E-12</v>
      </c>
      <c r="DR96" s="22">
        <f t="shared" si="70"/>
        <v>1.9175159164745509E-12</v>
      </c>
      <c r="DS96" s="62">
        <f t="shared" si="71"/>
        <v>275.32816567183789</v>
      </c>
      <c r="DT96" s="62">
        <f ca="1">AVERAGE(OFFSET($DS$3,0,0,'Données projet'!$E$14+1,1))-AVERAGE(OFFSET($H$3,0,0,'Données projet'!$E$14+1,1))</f>
        <v>172.86120068224633</v>
      </c>
      <c r="DU96" s="62">
        <f t="shared" si="98"/>
        <v>269.4995727085078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3.8</v>
      </c>
      <c r="EJ96" s="13">
        <f>IF('Données projet'!$A$192&gt;35,EJ95+EI96-ER95,IF(A96&lt;'Données projet'!$A$192,$EG$205^A96,IF(A96='Données projet'!$A$192,'Données projet'!$B$192,EJ95+EI96-ER95)))</f>
        <v>218.40000000000003</v>
      </c>
      <c r="EK96" s="18">
        <f>EJ96*VLOOKUP('Données projet'!$B$15,Paramètres!$A$1:$I$89,3,0)*VLOOKUP('Données projet'!$B$15,Paramètres!$A$1:$I$89,5,0)</f>
        <v>183.98016000000004</v>
      </c>
      <c r="EL96" s="14">
        <f t="shared" si="99"/>
        <v>46.206568123393758</v>
      </c>
      <c r="EM96" s="22">
        <f t="shared" si="73"/>
        <v>400.90855148157749</v>
      </c>
      <c r="EN96" s="62">
        <f t="shared" si="74"/>
        <v>676.23671715341345</v>
      </c>
      <c r="EO96" s="62">
        <f ca="1">AVERAGE(OFFSET($EN$3,0,0,'Données projet'!$E$15+1,1))-AVERAGE(OFFSET($H$3,0,0,'Données projet'!$E$15+1,1))</f>
        <v>346.97972840139914</v>
      </c>
      <c r="EP96" s="62">
        <f t="shared" si="100"/>
        <v>158.41433650660613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-1.1368683772161603E-13</v>
      </c>
      <c r="FF96" s="18">
        <f>FE96*VLOOKUP('Données projet'!$B$16,Paramètres!$A$1:$I$89,3,0)*VLOOKUP('Données projet'!$B$16,Paramètres!$A$1:$I$89,5,0)</f>
        <v>-7.4487616075202823E-14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235.88453308732235</v>
      </c>
      <c r="FK96" s="62">
        <f t="shared" si="102"/>
        <v>220.72810812053521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230.48063999999999</v>
      </c>
      <c r="P97" s="14">
        <f t="shared" si="87"/>
        <v>56.386594506599792</v>
      </c>
      <c r="Q97" s="22">
        <f t="shared" si="54"/>
        <v>499.62710009899462</v>
      </c>
      <c r="R97" s="62">
        <f t="shared" si="55"/>
        <v>775.26761517623311</v>
      </c>
      <c r="S97" s="62">
        <f ca="1">AVERAGE(OFFSET($R$3,0,0,'Données projet'!$E$9+1,1))-AVERAGE(OFFSET($H$3,0,0,'Données projet'!$E$9+1,1))</f>
        <v>442.98179778678298</v>
      </c>
      <c r="T97" s="62">
        <f t="shared" si="88"/>
        <v>251.96153561746942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1.4897523215040565E-13</v>
      </c>
      <c r="AK97" s="14">
        <f t="shared" si="89"/>
        <v>2.136562777003313E-12</v>
      </c>
      <c r="AL97" s="22">
        <f t="shared" si="58"/>
        <v>3.9806453659427267E-12</v>
      </c>
      <c r="AM97" s="62">
        <f t="shared" si="59"/>
        <v>275.64051507724247</v>
      </c>
      <c r="AN97" s="62">
        <f ca="1">AVERAGE(OFFSET($AM$3,0,0,'Données projet'!$E$10+1,1))-AVERAGE(OFFSET($H$3,0,0,'Données projet'!$E$10+1,1))</f>
        <v>304.35088214287919</v>
      </c>
      <c r="AO97" s="62">
        <f t="shared" si="90"/>
        <v>288.72611053217599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3.6357050703372803E-14</v>
      </c>
      <c r="BF97" s="14">
        <f t="shared" si="91"/>
        <v>6.1445232567661395E-13</v>
      </c>
      <c r="BG97" s="22">
        <f t="shared" si="61"/>
        <v>1.1334929971951436E-12</v>
      </c>
      <c r="BH97" s="62">
        <f t="shared" si="62"/>
        <v>275.64051507723963</v>
      </c>
      <c r="BI97" s="62">
        <f ca="1">AVERAGE(OFFSET($BH$3,0,0,'Données projet'!$E$11+1,1))-AVERAGE(OFFSET($H$3,0,0,'Données projet'!$E$11+1,1))</f>
        <v>285.09561428624352</v>
      </c>
      <c r="BJ97" s="62">
        <f t="shared" si="92"/>
        <v>261.05678516705564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-9.2222762759774927E-14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272.69564942740931</v>
      </c>
      <c r="CE97" s="62">
        <f t="shared" si="94"/>
        <v>316.57989180609252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2.2737367544323206E-13</v>
      </c>
      <c r="CU97" s="18">
        <f>CT97*VLOOKUP('Données projet'!$B$13,Paramètres!$A$1:$I$89,3,0)*VLOOKUP('Données projet'!$B$13,Paramètres!$A$1:$I$89,5,0)</f>
        <v>1.4897523215040565E-13</v>
      </c>
      <c r="CV97" s="14">
        <f t="shared" si="95"/>
        <v>2.136562777003313E-12</v>
      </c>
      <c r="CW97" s="22">
        <f t="shared" si="67"/>
        <v>3.9806453659427267E-12</v>
      </c>
      <c r="CX97" s="62">
        <f t="shared" si="68"/>
        <v>275.64051507724247</v>
      </c>
      <c r="CY97" s="62">
        <f ca="1">AVERAGE(OFFSET($CX$3,0,0,'Données projet'!$E$13+1,1))-AVERAGE(OFFSET($H$3,0,0,'Données projet'!$E$13+1,1))</f>
        <v>304.35088214287919</v>
      </c>
      <c r="CZ97" s="62">
        <f t="shared" si="96"/>
        <v>288.72611053217599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projet'!$B$14,Paramètres!$A$1:$I$89,3,0)*VLOOKUP('Données projet'!$B$14,Paramètres!$A$1:$I$89,5,0)</f>
        <v>6.5620042732916778E-14</v>
      </c>
      <c r="DQ97" s="14">
        <f t="shared" si="97"/>
        <v>1.0353460337118015E-12</v>
      </c>
      <c r="DR97" s="22">
        <f t="shared" si="70"/>
        <v>1.9175159164745509E-12</v>
      </c>
      <c r="DS97" s="62">
        <f t="shared" si="71"/>
        <v>275.64051507724042</v>
      </c>
      <c r="DT97" s="62">
        <f ca="1">AVERAGE(OFFSET($DS$3,0,0,'Données projet'!$E$14+1,1))-AVERAGE(OFFSET($H$3,0,0,'Données projet'!$E$14+1,1))</f>
        <v>172.86120068224633</v>
      </c>
      <c r="DU97" s="62">
        <f t="shared" si="98"/>
        <v>269.4995727085078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3.8</v>
      </c>
      <c r="EJ97" s="13">
        <f>IF('Données projet'!$A$192&gt;35,EJ96+EI97-ER96,IF(A97&lt;'Données projet'!$A$192,$EG$205^A97,IF(A97='Données projet'!$A$192,'Données projet'!$B$192,EJ96+EI97-ER96)))</f>
        <v>222.20000000000005</v>
      </c>
      <c r="EK97" s="18">
        <f>EJ97*VLOOKUP('Données projet'!$B$15,Paramètres!$A$1:$I$89,3,0)*VLOOKUP('Données projet'!$B$15,Paramètres!$A$1:$I$89,5,0)</f>
        <v>187.18128000000004</v>
      </c>
      <c r="EL97" s="14">
        <f t="shared" si="99"/>
        <v>46.916232821756722</v>
      </c>
      <c r="EM97" s="22">
        <f t="shared" si="73"/>
        <v>407.71983483122631</v>
      </c>
      <c r="EN97" s="62">
        <f t="shared" si="74"/>
        <v>683.36034990846474</v>
      </c>
      <c r="EO97" s="62">
        <f ca="1">AVERAGE(OFFSET($EN$3,0,0,'Données projet'!$E$15+1,1))-AVERAGE(OFFSET($H$3,0,0,'Données projet'!$E$15+1,1))</f>
        <v>346.97972840139914</v>
      </c>
      <c r="EP97" s="62">
        <f t="shared" si="100"/>
        <v>158.41433650660613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-1.1368683772161603E-13</v>
      </c>
      <c r="FF97" s="18">
        <f>FE97*VLOOKUP('Données projet'!$B$16,Paramètres!$A$1:$I$89,3,0)*VLOOKUP('Données projet'!$B$16,Paramètres!$A$1:$I$89,5,0)</f>
        <v>-7.4487616075202823E-14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235.88453308732235</v>
      </c>
      <c r="FK97" s="62">
        <f t="shared" si="102"/>
        <v>220.72810812053521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234.60839999999999</v>
      </c>
      <c r="P98" s="14">
        <f t="shared" si="87"/>
        <v>57.277971950226913</v>
      </c>
      <c r="Q98" s="22">
        <f t="shared" si="54"/>
        <v>508.36876447997855</v>
      </c>
      <c r="R98" s="62">
        <f t="shared" si="55"/>
        <v>784.31621039874449</v>
      </c>
      <c r="S98" s="62">
        <f ca="1">AVERAGE(OFFSET($R$3,0,0,'Données projet'!$E$9+1,1))-AVERAGE(OFFSET($H$3,0,0,'Données projet'!$E$9+1,1))</f>
        <v>442.98179778678298</v>
      </c>
      <c r="T98" s="62">
        <f t="shared" si="88"/>
        <v>251.96153561746942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1.4897523215040565E-13</v>
      </c>
      <c r="AK98" s="14">
        <f t="shared" si="89"/>
        <v>2.136562777003313E-12</v>
      </c>
      <c r="AL98" s="22">
        <f t="shared" si="58"/>
        <v>3.9806453659427267E-12</v>
      </c>
      <c r="AM98" s="62">
        <f t="shared" si="59"/>
        <v>275.94744591876992</v>
      </c>
      <c r="AN98" s="62">
        <f ca="1">AVERAGE(OFFSET($AM$3,0,0,'Données projet'!$E$10+1,1))-AVERAGE(OFFSET($H$3,0,0,'Données projet'!$E$10+1,1))</f>
        <v>304.35088214287919</v>
      </c>
      <c r="AO98" s="62">
        <f t="shared" si="90"/>
        <v>288.72611053217599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3.6357050703372803E-14</v>
      </c>
      <c r="BF98" s="14">
        <f t="shared" si="91"/>
        <v>6.1445232567661395E-13</v>
      </c>
      <c r="BG98" s="22">
        <f t="shared" si="61"/>
        <v>1.1334929971951436E-12</v>
      </c>
      <c r="BH98" s="62">
        <f t="shared" si="62"/>
        <v>275.94744591876707</v>
      </c>
      <c r="BI98" s="62">
        <f ca="1">AVERAGE(OFFSET($BH$3,0,0,'Données projet'!$E$11+1,1))-AVERAGE(OFFSET($H$3,0,0,'Données projet'!$E$11+1,1))</f>
        <v>285.09561428624352</v>
      </c>
      <c r="BJ98" s="62">
        <f t="shared" si="92"/>
        <v>261.05678516705564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-9.2222762759774927E-14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272.69564942740931</v>
      </c>
      <c r="CE98" s="62">
        <f t="shared" si="94"/>
        <v>316.57989180609252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2.2737367544323206E-13</v>
      </c>
      <c r="CU98" s="18">
        <f>CT98*VLOOKUP('Données projet'!$B$13,Paramètres!$A$1:$I$89,3,0)*VLOOKUP('Données projet'!$B$13,Paramètres!$A$1:$I$89,5,0)</f>
        <v>1.4897523215040565E-13</v>
      </c>
      <c r="CV98" s="14">
        <f t="shared" si="95"/>
        <v>2.136562777003313E-12</v>
      </c>
      <c r="CW98" s="22">
        <f t="shared" si="67"/>
        <v>3.9806453659427267E-12</v>
      </c>
      <c r="CX98" s="62">
        <f t="shared" si="68"/>
        <v>275.94744591876992</v>
      </c>
      <c r="CY98" s="62">
        <f ca="1">AVERAGE(OFFSET($CX$3,0,0,'Données projet'!$E$13+1,1))-AVERAGE(OFFSET($H$3,0,0,'Données projet'!$E$13+1,1))</f>
        <v>304.35088214287919</v>
      </c>
      <c r="CZ98" s="62">
        <f t="shared" si="96"/>
        <v>288.72611053217599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projet'!$B$14,Paramètres!$A$1:$I$89,3,0)*VLOOKUP('Données projet'!$B$14,Paramètres!$A$1:$I$89,5,0)</f>
        <v>6.5620042732916778E-14</v>
      </c>
      <c r="DQ98" s="14">
        <f t="shared" si="97"/>
        <v>1.0353460337118015E-12</v>
      </c>
      <c r="DR98" s="22">
        <f t="shared" si="70"/>
        <v>1.9175159164745509E-12</v>
      </c>
      <c r="DS98" s="62">
        <f t="shared" si="71"/>
        <v>275.94744591876787</v>
      </c>
      <c r="DT98" s="62">
        <f ca="1">AVERAGE(OFFSET($DS$3,0,0,'Données projet'!$E$14+1,1))-AVERAGE(OFFSET($H$3,0,0,'Données projet'!$E$14+1,1))</f>
        <v>172.86120068224633</v>
      </c>
      <c r="DU98" s="62">
        <f t="shared" si="98"/>
        <v>269.4995727085078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226</v>
      </c>
      <c r="EH98" s="13">
        <f>VLOOKUP(A98,'Données projet'!$A$191:$I$211,9,0)</f>
        <v>3.8</v>
      </c>
      <c r="EI98" s="13">
        <f t="array" ref="EI98">INDEX(EH:EH,MIN(IF(ISNUMBER(EH98:EH294),ROW(EH98:EH294),"")))</f>
        <v>3.8</v>
      </c>
      <c r="EJ98" s="13">
        <f>IF('Données projet'!$A$192&gt;35,EJ97+EI98-ER97,IF(A98&lt;'Données projet'!$A$192,$EG$205^A98,IF(A98='Données projet'!$A$192,'Données projet'!$B$192,EJ97+EI98-ER97)))</f>
        <v>226.00000000000006</v>
      </c>
      <c r="EK98" s="18">
        <f>EJ98*VLOOKUP('Données projet'!$B$15,Paramètres!$A$1:$I$89,3,0)*VLOOKUP('Données projet'!$B$15,Paramètres!$A$1:$I$89,5,0)</f>
        <v>190.38240000000005</v>
      </c>
      <c r="EL98" s="14">
        <f t="shared" si="99"/>
        <v>47.624486166257839</v>
      </c>
      <c r="EM98" s="22">
        <f t="shared" si="73"/>
        <v>414.52866007289913</v>
      </c>
      <c r="EN98" s="62">
        <f t="shared" si="74"/>
        <v>690.47610599166501</v>
      </c>
      <c r="EO98" s="62">
        <f ca="1">AVERAGE(OFFSET($EN$3,0,0,'Données projet'!$E$15+1,1))-AVERAGE(OFFSET($H$3,0,0,'Données projet'!$E$15+1,1))</f>
        <v>346.97972840139914</v>
      </c>
      <c r="EP98" s="62">
        <f t="shared" si="100"/>
        <v>158.41433650660613</v>
      </c>
      <c r="EQ98" s="16">
        <f>IF(ISNA(VLOOKUP(A98,'Données projet'!$A$191:$I$211,3,0)),0,VLOOKUP(A98,'Données projet'!$A$191:$I$211,3,0))</f>
        <v>7</v>
      </c>
      <c r="ER98" s="16">
        <f>IF(ISNA(VLOOKUP(A98,'Données projet'!$A$191:$I$211,4,0)),0,VLOOKUP(A98,'Données projet'!$A$191:$I$211,4,0))</f>
        <v>28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-1.1368683772161603E-13</v>
      </c>
      <c r="FF98" s="18">
        <f>FE98*VLOOKUP('Données projet'!$B$16,Paramètres!$A$1:$I$89,3,0)*VLOOKUP('Données projet'!$B$16,Paramètres!$A$1:$I$89,5,0)</f>
        <v>-7.4487616075202823E-14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235.88453308732235</v>
      </c>
      <c r="FK98" s="62">
        <f t="shared" si="102"/>
        <v>220.72810812053521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238.73615999999996</v>
      </c>
      <c r="P99" s="14">
        <f t="shared" si="87"/>
        <v>58.167525647006343</v>
      </c>
      <c r="Q99" s="22">
        <f t="shared" ref="Q99:Q130" si="107">(O99+P99)*0.475*44/12</f>
        <v>517.10725250186931</v>
      </c>
      <c r="R99" s="62">
        <f t="shared" si="55"/>
        <v>793.35630469825674</v>
      </c>
      <c r="S99" s="62">
        <f ca="1">AVERAGE(OFFSET($R$3,0,0,'Données projet'!$E$9+1,1))-AVERAGE(OFFSET($H$3,0,0,'Données projet'!$E$9+1,1))</f>
        <v>442.98179778678298</v>
      </c>
      <c r="T99" s="62">
        <f t="shared" si="88"/>
        <v>251.96153561746942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1.4897523215040565E-13</v>
      </c>
      <c r="AK99" s="14">
        <f t="shared" si="89"/>
        <v>2.136562777003313E-12</v>
      </c>
      <c r="AL99" s="22">
        <f t="shared" si="58"/>
        <v>3.9806453659427267E-12</v>
      </c>
      <c r="AM99" s="62">
        <f t="shared" si="59"/>
        <v>276.2490521963914</v>
      </c>
      <c r="AN99" s="62">
        <f ca="1">AVERAGE(OFFSET($AM$3,0,0,'Données projet'!$E$10+1,1))-AVERAGE(OFFSET($H$3,0,0,'Données projet'!$E$10+1,1))</f>
        <v>304.35088214287919</v>
      </c>
      <c r="AO99" s="62">
        <f t="shared" si="90"/>
        <v>288.72611053217599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3.6357050703372803E-14</v>
      </c>
      <c r="BF99" s="14">
        <f t="shared" si="91"/>
        <v>6.1445232567661395E-13</v>
      </c>
      <c r="BG99" s="22">
        <f t="shared" si="61"/>
        <v>1.1334929971951436E-12</v>
      </c>
      <c r="BH99" s="62">
        <f t="shared" si="62"/>
        <v>276.24905219638856</v>
      </c>
      <c r="BI99" s="62">
        <f ca="1">AVERAGE(OFFSET($BH$3,0,0,'Données projet'!$E$11+1,1))-AVERAGE(OFFSET($H$3,0,0,'Données projet'!$E$11+1,1))</f>
        <v>285.09561428624352</v>
      </c>
      <c r="BJ99" s="62">
        <f t="shared" si="92"/>
        <v>261.05678516705564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-9.2222762759774927E-14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272.69564942740931</v>
      </c>
      <c r="CE99" s="62">
        <f t="shared" si="94"/>
        <v>316.57989180609252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2.2737367544323206E-13</v>
      </c>
      <c r="CU99" s="18">
        <f>CT99*VLOOKUP('Données projet'!$B$13,Paramètres!$A$1:$I$89,3,0)*VLOOKUP('Données projet'!$B$13,Paramètres!$A$1:$I$89,5,0)</f>
        <v>1.4897523215040565E-13</v>
      </c>
      <c r="CV99" s="14">
        <f t="shared" si="95"/>
        <v>2.136562777003313E-12</v>
      </c>
      <c r="CW99" s="22">
        <f t="shared" si="67"/>
        <v>3.9806453659427267E-12</v>
      </c>
      <c r="CX99" s="62">
        <f t="shared" si="68"/>
        <v>276.2490521963914</v>
      </c>
      <c r="CY99" s="62">
        <f ca="1">AVERAGE(OFFSET($CX$3,0,0,'Données projet'!$E$13+1,1))-AVERAGE(OFFSET($H$3,0,0,'Données projet'!$E$13+1,1))</f>
        <v>304.35088214287919</v>
      </c>
      <c r="CZ99" s="62">
        <f t="shared" si="96"/>
        <v>288.72611053217599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projet'!$B$14,Paramètres!$A$1:$I$89,3,0)*VLOOKUP('Données projet'!$B$14,Paramètres!$A$1:$I$89,5,0)</f>
        <v>6.5620042732916778E-14</v>
      </c>
      <c r="DQ99" s="14">
        <f t="shared" si="97"/>
        <v>1.0353460337118015E-12</v>
      </c>
      <c r="DR99" s="22">
        <f t="shared" si="70"/>
        <v>1.9175159164745509E-12</v>
      </c>
      <c r="DS99" s="62">
        <f t="shared" si="71"/>
        <v>276.24905219638936</v>
      </c>
      <c r="DT99" s="62">
        <f ca="1">AVERAGE(OFFSET($DS$3,0,0,'Données projet'!$E$14+1,1))-AVERAGE(OFFSET($H$3,0,0,'Données projet'!$E$14+1,1))</f>
        <v>172.86120068224633</v>
      </c>
      <c r="DU99" s="62">
        <f t="shared" si="98"/>
        <v>269.4995727085078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3.4</v>
      </c>
      <c r="EJ99" s="13">
        <f>IF('Données projet'!$A$192&gt;35,EJ98+EI99-ER98,IF(A99&lt;'Données projet'!$A$192,$EG$205^A99,IF(A99='Données projet'!$A$192,'Données projet'!$B$192,EJ98+EI99-ER98)))</f>
        <v>201.40000000000006</v>
      </c>
      <c r="EK99" s="18">
        <f>EJ99*VLOOKUP('Données projet'!$B$15,Paramètres!$A$1:$I$89,3,0)*VLOOKUP('Données projet'!$B$15,Paramètres!$A$1:$I$89,5,0)</f>
        <v>169.65936000000008</v>
      </c>
      <c r="EL99" s="14">
        <f t="shared" si="99"/>
        <v>43.013722653172742</v>
      </c>
      <c r="EM99" s="22">
        <f t="shared" si="73"/>
        <v>370.40561895427601</v>
      </c>
      <c r="EN99" s="62">
        <f t="shared" si="74"/>
        <v>646.65467115066349</v>
      </c>
      <c r="EO99" s="62">
        <f ca="1">AVERAGE(OFFSET($EN$3,0,0,'Données projet'!$E$15+1,1))-AVERAGE(OFFSET($H$3,0,0,'Données projet'!$E$15+1,1))</f>
        <v>346.97972840139914</v>
      </c>
      <c r="EP99" s="62">
        <f t="shared" si="100"/>
        <v>158.41433650660613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-1.1368683772161603E-13</v>
      </c>
      <c r="FF99" s="18">
        <f>FE99*VLOOKUP('Données projet'!$B$16,Paramètres!$A$1:$I$89,3,0)*VLOOKUP('Données projet'!$B$16,Paramètres!$A$1:$I$89,5,0)</f>
        <v>-7.4487616075202823E-14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235.88453308732235</v>
      </c>
      <c r="FK99" s="62">
        <f t="shared" si="102"/>
        <v>220.72810812053521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242.86391999999995</v>
      </c>
      <c r="P100" s="14">
        <f t="shared" si="87"/>
        <v>59.055290768146357</v>
      </c>
      <c r="Q100" s="22">
        <f t="shared" si="107"/>
        <v>525.84262542118813</v>
      </c>
      <c r="R100" s="62">
        <f t="shared" si="55"/>
        <v>802.38805170057094</v>
      </c>
      <c r="S100" s="62">
        <f ca="1">AVERAGE(OFFSET($R$3,0,0,'Données projet'!$E$9+1,1))-AVERAGE(OFFSET($H$3,0,0,'Données projet'!$E$9+1,1))</f>
        <v>442.98179778678298</v>
      </c>
      <c r="T100" s="62">
        <f t="shared" si="88"/>
        <v>251.96153561746942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1.4897523215040565E-13</v>
      </c>
      <c r="AK100" s="14">
        <f t="shared" si="89"/>
        <v>2.136562777003313E-12</v>
      </c>
      <c r="AL100" s="22">
        <f t="shared" si="58"/>
        <v>3.9806453659427267E-12</v>
      </c>
      <c r="AM100" s="62">
        <f t="shared" si="59"/>
        <v>276.54542627938679</v>
      </c>
      <c r="AN100" s="62">
        <f ca="1">AVERAGE(OFFSET($AM$3,0,0,'Données projet'!$E$10+1,1))-AVERAGE(OFFSET($H$3,0,0,'Données projet'!$E$10+1,1))</f>
        <v>304.35088214287919</v>
      </c>
      <c r="AO100" s="62">
        <f t="shared" si="90"/>
        <v>288.72611053217599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3.6357050703372803E-14</v>
      </c>
      <c r="BF100" s="14">
        <f t="shared" si="91"/>
        <v>6.1445232567661395E-13</v>
      </c>
      <c r="BG100" s="22">
        <f t="shared" si="61"/>
        <v>1.1334929971951436E-12</v>
      </c>
      <c r="BH100" s="62">
        <f t="shared" si="62"/>
        <v>276.54542627938395</v>
      </c>
      <c r="BI100" s="62">
        <f ca="1">AVERAGE(OFFSET($BH$3,0,0,'Données projet'!$E$11+1,1))-AVERAGE(OFFSET($H$3,0,0,'Données projet'!$E$11+1,1))</f>
        <v>285.09561428624352</v>
      </c>
      <c r="BJ100" s="62">
        <f t="shared" si="92"/>
        <v>261.05678516705564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-9.2222762759774927E-14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272.69564942740931</v>
      </c>
      <c r="CE100" s="62">
        <f t="shared" si="94"/>
        <v>316.57989180609252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2.2737367544323206E-13</v>
      </c>
      <c r="CU100" s="18">
        <f>CT100*VLOOKUP('Données projet'!$B$13,Paramètres!$A$1:$I$89,3,0)*VLOOKUP('Données projet'!$B$13,Paramètres!$A$1:$I$89,5,0)</f>
        <v>1.4897523215040565E-13</v>
      </c>
      <c r="CV100" s="14">
        <f t="shared" si="95"/>
        <v>2.136562777003313E-12</v>
      </c>
      <c r="CW100" s="22">
        <f t="shared" si="67"/>
        <v>3.9806453659427267E-12</v>
      </c>
      <c r="CX100" s="62">
        <f t="shared" si="68"/>
        <v>276.54542627938679</v>
      </c>
      <c r="CY100" s="62">
        <f ca="1">AVERAGE(OFFSET($CX$3,0,0,'Données projet'!$E$13+1,1))-AVERAGE(OFFSET($H$3,0,0,'Données projet'!$E$13+1,1))</f>
        <v>304.35088214287919</v>
      </c>
      <c r="CZ100" s="62">
        <f t="shared" si="96"/>
        <v>288.72611053217599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projet'!$B$14,Paramètres!$A$1:$I$89,3,0)*VLOOKUP('Données projet'!$B$14,Paramètres!$A$1:$I$89,5,0)</f>
        <v>6.5620042732916778E-14</v>
      </c>
      <c r="DQ100" s="14">
        <f t="shared" si="97"/>
        <v>1.0353460337118015E-12</v>
      </c>
      <c r="DR100" s="22">
        <f t="shared" si="70"/>
        <v>1.9175159164745509E-12</v>
      </c>
      <c r="DS100" s="62">
        <f t="shared" si="71"/>
        <v>276.54542627938474</v>
      </c>
      <c r="DT100" s="62">
        <f ca="1">AVERAGE(OFFSET($DS$3,0,0,'Données projet'!$E$14+1,1))-AVERAGE(OFFSET($H$3,0,0,'Données projet'!$E$14+1,1))</f>
        <v>172.86120068224633</v>
      </c>
      <c r="DU100" s="62">
        <f t="shared" si="98"/>
        <v>269.4995727085078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3.4</v>
      </c>
      <c r="EJ100" s="13">
        <f>IF('Données projet'!$A$192&gt;35,EJ99+EI100-ER99,IF(A100&lt;'Données projet'!$A$192,$EG$205^A100,IF(A100='Données projet'!$A$192,'Données projet'!$B$192,EJ99+EI100-ER99)))</f>
        <v>204.80000000000007</v>
      </c>
      <c r="EK100" s="18">
        <f>EJ100*VLOOKUP('Données projet'!$B$15,Paramètres!$A$1:$I$89,3,0)*VLOOKUP('Données projet'!$B$15,Paramètres!$A$1:$I$89,5,0)</f>
        <v>172.52352000000008</v>
      </c>
      <c r="EL100" s="14">
        <f t="shared" si="99"/>
        <v>43.654722512670503</v>
      </c>
      <c r="EM100" s="22">
        <f t="shared" si="73"/>
        <v>376.51043904290128</v>
      </c>
      <c r="EN100" s="62">
        <f t="shared" si="74"/>
        <v>653.05586532228403</v>
      </c>
      <c r="EO100" s="62">
        <f ca="1">AVERAGE(OFFSET($EN$3,0,0,'Données projet'!$E$15+1,1))-AVERAGE(OFFSET($H$3,0,0,'Données projet'!$E$15+1,1))</f>
        <v>346.97972840139914</v>
      </c>
      <c r="EP100" s="62">
        <f t="shared" si="100"/>
        <v>158.41433650660613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-1.1368683772161603E-13</v>
      </c>
      <c r="FF100" s="18">
        <f>FE100*VLOOKUP('Données projet'!$B$16,Paramètres!$A$1:$I$89,3,0)*VLOOKUP('Données projet'!$B$16,Paramètres!$A$1:$I$89,5,0)</f>
        <v>-7.4487616075202823E-14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235.88453308732235</v>
      </c>
      <c r="FK100" s="62">
        <f t="shared" si="102"/>
        <v>220.72810812053521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246.99167999999992</v>
      </c>
      <c r="P101" s="14">
        <f t="shared" si="87"/>
        <v>59.941301220789747</v>
      </c>
      <c r="Q101" s="22">
        <f t="shared" si="107"/>
        <v>534.57494229287533</v>
      </c>
      <c r="R101" s="62">
        <f t="shared" si="55"/>
        <v>811.41160122750671</v>
      </c>
      <c r="S101" s="62">
        <f ca="1">AVERAGE(OFFSET($R$3,0,0,'Données projet'!$E$9+1,1))-AVERAGE(OFFSET($H$3,0,0,'Données projet'!$E$9+1,1))</f>
        <v>442.98179778678298</v>
      </c>
      <c r="T101" s="62">
        <f t="shared" si="88"/>
        <v>251.96153561746942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1.4897523215040565E-13</v>
      </c>
      <c r="AK101" s="14">
        <f t="shared" si="89"/>
        <v>2.136562777003313E-12</v>
      </c>
      <c r="AL101" s="22">
        <f t="shared" si="58"/>
        <v>3.9806453659427267E-12</v>
      </c>
      <c r="AM101" s="62">
        <f t="shared" si="59"/>
        <v>276.83665893463535</v>
      </c>
      <c r="AN101" s="62">
        <f ca="1">AVERAGE(OFFSET($AM$3,0,0,'Données projet'!$E$10+1,1))-AVERAGE(OFFSET($H$3,0,0,'Données projet'!$E$10+1,1))</f>
        <v>304.35088214287919</v>
      </c>
      <c r="AO101" s="62">
        <f t="shared" si="90"/>
        <v>288.72611053217599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3.6357050703372803E-14</v>
      </c>
      <c r="BF101" s="14">
        <f t="shared" si="91"/>
        <v>6.1445232567661395E-13</v>
      </c>
      <c r="BG101" s="22">
        <f t="shared" si="61"/>
        <v>1.1334929971951436E-12</v>
      </c>
      <c r="BH101" s="62">
        <f t="shared" si="62"/>
        <v>276.83665893463251</v>
      </c>
      <c r="BI101" s="62">
        <f ca="1">AVERAGE(OFFSET($BH$3,0,0,'Données projet'!$E$11+1,1))-AVERAGE(OFFSET($H$3,0,0,'Données projet'!$E$11+1,1))</f>
        <v>285.09561428624352</v>
      </c>
      <c r="BJ101" s="62">
        <f t="shared" si="92"/>
        <v>261.05678516705564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-9.2222762759774927E-14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272.69564942740931</v>
      </c>
      <c r="CE101" s="62">
        <f t="shared" si="94"/>
        <v>316.57989180609252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2.2737367544323206E-13</v>
      </c>
      <c r="CU101" s="18">
        <f>CT101*VLOOKUP('Données projet'!$B$13,Paramètres!$A$1:$I$89,3,0)*VLOOKUP('Données projet'!$B$13,Paramètres!$A$1:$I$89,5,0)</f>
        <v>1.4897523215040565E-13</v>
      </c>
      <c r="CV101" s="14">
        <f t="shared" si="95"/>
        <v>2.136562777003313E-12</v>
      </c>
      <c r="CW101" s="22">
        <f t="shared" si="67"/>
        <v>3.9806453659427267E-12</v>
      </c>
      <c r="CX101" s="62">
        <f t="shared" si="68"/>
        <v>276.83665893463535</v>
      </c>
      <c r="CY101" s="62">
        <f ca="1">AVERAGE(OFFSET($CX$3,0,0,'Données projet'!$E$13+1,1))-AVERAGE(OFFSET($H$3,0,0,'Données projet'!$E$13+1,1))</f>
        <v>304.35088214287919</v>
      </c>
      <c r="CZ101" s="62">
        <f t="shared" si="96"/>
        <v>288.72611053217599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projet'!$B$14,Paramètres!$A$1:$I$89,3,0)*VLOOKUP('Données projet'!$B$14,Paramètres!$A$1:$I$89,5,0)</f>
        <v>6.5620042732916778E-14</v>
      </c>
      <c r="DQ101" s="14">
        <f t="shared" si="97"/>
        <v>1.0353460337118015E-12</v>
      </c>
      <c r="DR101" s="22">
        <f t="shared" si="70"/>
        <v>1.9175159164745509E-12</v>
      </c>
      <c r="DS101" s="62">
        <f t="shared" si="71"/>
        <v>276.83665893463331</v>
      </c>
      <c r="DT101" s="62">
        <f ca="1">AVERAGE(OFFSET($DS$3,0,0,'Données projet'!$E$14+1,1))-AVERAGE(OFFSET($H$3,0,0,'Données projet'!$E$14+1,1))</f>
        <v>172.86120068224633</v>
      </c>
      <c r="DU101" s="62">
        <f t="shared" si="98"/>
        <v>269.4995727085078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3.4</v>
      </c>
      <c r="EJ101" s="13">
        <f>IF('Données projet'!$A$192&gt;35,EJ100+EI101-ER100,IF(A101&lt;'Données projet'!$A$192,$EG$205^A101,IF(A101='Données projet'!$A$192,'Données projet'!$B$192,EJ100+EI101-ER100)))</f>
        <v>208.20000000000007</v>
      </c>
      <c r="EK101" s="18">
        <f>EJ101*VLOOKUP('Données projet'!$B$15,Paramètres!$A$1:$I$89,3,0)*VLOOKUP('Données projet'!$B$15,Paramètres!$A$1:$I$89,5,0)</f>
        <v>175.3876800000001</v>
      </c>
      <c r="EL101" s="14">
        <f t="shared" si="99"/>
        <v>44.294484825974145</v>
      </c>
      <c r="EM101" s="22">
        <f t="shared" si="73"/>
        <v>382.61310373857185</v>
      </c>
      <c r="EN101" s="62">
        <f t="shared" si="74"/>
        <v>659.44976267320317</v>
      </c>
      <c r="EO101" s="62">
        <f ca="1">AVERAGE(OFFSET($EN$3,0,0,'Données projet'!$E$15+1,1))-AVERAGE(OFFSET($H$3,0,0,'Données projet'!$E$15+1,1))</f>
        <v>346.97972840139914</v>
      </c>
      <c r="EP101" s="62">
        <f t="shared" si="100"/>
        <v>158.41433650660613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-1.1368683772161603E-13</v>
      </c>
      <c r="FF101" s="18">
        <f>FE101*VLOOKUP('Données projet'!$B$16,Paramètres!$A$1:$I$89,3,0)*VLOOKUP('Données projet'!$B$16,Paramètres!$A$1:$I$89,5,0)</f>
        <v>-7.4487616075202823E-14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235.88453308732235</v>
      </c>
      <c r="FK101" s="62">
        <f t="shared" si="102"/>
        <v>220.72810812053521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251.11943999999991</v>
      </c>
      <c r="P102" s="14">
        <f t="shared" si="87"/>
        <v>60.825589713796923</v>
      </c>
      <c r="Q102" s="22">
        <f t="shared" si="107"/>
        <v>543.30426008486279</v>
      </c>
      <c r="R102" s="62">
        <f t="shared" si="55"/>
        <v>820.42709943927298</v>
      </c>
      <c r="S102" s="62">
        <f ca="1">AVERAGE(OFFSET($R$3,0,0,'Données projet'!$E$9+1,1))-AVERAGE(OFFSET($H$3,0,0,'Données projet'!$E$9+1,1))</f>
        <v>442.98179778678298</v>
      </c>
      <c r="T102" s="62">
        <f t="shared" si="88"/>
        <v>251.96153561746942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1.4897523215040565E-13</v>
      </c>
      <c r="AK102" s="14">
        <f t="shared" si="89"/>
        <v>2.136562777003313E-12</v>
      </c>
      <c r="AL102" s="22">
        <f t="shared" si="58"/>
        <v>3.9806453659427267E-12</v>
      </c>
      <c r="AM102" s="62">
        <f t="shared" si="59"/>
        <v>277.12283935441411</v>
      </c>
      <c r="AN102" s="62">
        <f ca="1">AVERAGE(OFFSET($AM$3,0,0,'Données projet'!$E$10+1,1))-AVERAGE(OFFSET($H$3,0,0,'Données projet'!$E$10+1,1))</f>
        <v>304.35088214287919</v>
      </c>
      <c r="AO102" s="62">
        <f t="shared" si="90"/>
        <v>288.72611053217599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3.6357050703372803E-14</v>
      </c>
      <c r="BF102" s="14">
        <f t="shared" si="91"/>
        <v>6.1445232567661395E-13</v>
      </c>
      <c r="BG102" s="22">
        <f t="shared" si="61"/>
        <v>1.1334929971951436E-12</v>
      </c>
      <c r="BH102" s="62">
        <f t="shared" si="62"/>
        <v>277.12283935441127</v>
      </c>
      <c r="BI102" s="62">
        <f ca="1">AVERAGE(OFFSET($BH$3,0,0,'Données projet'!$E$11+1,1))-AVERAGE(OFFSET($H$3,0,0,'Données projet'!$E$11+1,1))</f>
        <v>285.09561428624352</v>
      </c>
      <c r="BJ102" s="62">
        <f t="shared" si="92"/>
        <v>261.05678516705564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-9.2222762759774927E-14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272.69564942740931</v>
      </c>
      <c r="CE102" s="62">
        <f t="shared" si="94"/>
        <v>316.57989180609252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2.2737367544323206E-13</v>
      </c>
      <c r="CU102" s="18">
        <f>CT102*VLOOKUP('Données projet'!$B$13,Paramètres!$A$1:$I$89,3,0)*VLOOKUP('Données projet'!$B$13,Paramètres!$A$1:$I$89,5,0)</f>
        <v>1.4897523215040565E-13</v>
      </c>
      <c r="CV102" s="14">
        <f t="shared" si="95"/>
        <v>2.136562777003313E-12</v>
      </c>
      <c r="CW102" s="22">
        <f t="shared" si="67"/>
        <v>3.9806453659427267E-12</v>
      </c>
      <c r="CX102" s="62">
        <f t="shared" si="68"/>
        <v>277.12283935441411</v>
      </c>
      <c r="CY102" s="62">
        <f ca="1">AVERAGE(OFFSET($CX$3,0,0,'Données projet'!$E$13+1,1))-AVERAGE(OFFSET($H$3,0,0,'Données projet'!$E$13+1,1))</f>
        <v>304.35088214287919</v>
      </c>
      <c r="CZ102" s="62">
        <f t="shared" si="96"/>
        <v>288.72611053217599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projet'!$B$14,Paramètres!$A$1:$I$89,3,0)*VLOOKUP('Données projet'!$B$14,Paramètres!$A$1:$I$89,5,0)</f>
        <v>6.5620042732916778E-14</v>
      </c>
      <c r="DQ102" s="14">
        <f t="shared" si="97"/>
        <v>1.0353460337118015E-12</v>
      </c>
      <c r="DR102" s="22">
        <f t="shared" si="70"/>
        <v>1.9175159164745509E-12</v>
      </c>
      <c r="DS102" s="62">
        <f t="shared" si="71"/>
        <v>277.12283935441206</v>
      </c>
      <c r="DT102" s="62">
        <f ca="1">AVERAGE(OFFSET($DS$3,0,0,'Données projet'!$E$14+1,1))-AVERAGE(OFFSET($H$3,0,0,'Données projet'!$E$14+1,1))</f>
        <v>172.86120068224633</v>
      </c>
      <c r="DU102" s="62">
        <f t="shared" si="98"/>
        <v>269.4995727085078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3.4</v>
      </c>
      <c r="EJ102" s="13">
        <f>IF('Données projet'!$A$192&gt;35,EJ101+EI102-ER101,IF(A102&lt;'Données projet'!$A$192,$EG$205^A102,IF(A102='Données projet'!$A$192,'Données projet'!$B$192,EJ101+EI102-ER101)))</f>
        <v>211.60000000000008</v>
      </c>
      <c r="EK102" s="18">
        <f>EJ102*VLOOKUP('Données projet'!$B$15,Paramètres!$A$1:$I$89,3,0)*VLOOKUP('Données projet'!$B$15,Paramètres!$A$1:$I$89,5,0)</f>
        <v>178.2518400000001</v>
      </c>
      <c r="EL102" s="14">
        <f t="shared" si="99"/>
        <v>44.933032135767995</v>
      </c>
      <c r="EM102" s="22">
        <f t="shared" si="73"/>
        <v>388.71365230312944</v>
      </c>
      <c r="EN102" s="62">
        <f t="shared" si="74"/>
        <v>665.83649165753957</v>
      </c>
      <c r="EO102" s="62">
        <f ca="1">AVERAGE(OFFSET($EN$3,0,0,'Données projet'!$E$15+1,1))-AVERAGE(OFFSET($H$3,0,0,'Données projet'!$E$15+1,1))</f>
        <v>346.97972840139914</v>
      </c>
      <c r="EP102" s="62">
        <f t="shared" si="100"/>
        <v>158.41433650660613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-1.1368683772161603E-13</v>
      </c>
      <c r="FF102" s="18">
        <f>FE102*VLOOKUP('Données projet'!$B$16,Paramètres!$A$1:$I$89,3,0)*VLOOKUP('Données projet'!$B$16,Paramètres!$A$1:$I$89,5,0)</f>
        <v>-7.4487616075202823E-14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235.88453308732235</v>
      </c>
      <c r="FK102" s="62">
        <f t="shared" si="102"/>
        <v>220.72810812053521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255.24719999999988</v>
      </c>
      <c r="P103" s="14">
        <f t="shared" si="87"/>
        <v>61.708187819081218</v>
      </c>
      <c r="Q103" s="22">
        <f t="shared" si="107"/>
        <v>552.03063378489958</v>
      </c>
      <c r="R103" s="62">
        <f t="shared" si="55"/>
        <v>829.43468896860873</v>
      </c>
      <c r="S103" s="62">
        <f ca="1">AVERAGE(OFFSET($R$3,0,0,'Données projet'!$E$9+1,1))-AVERAGE(OFFSET($H$3,0,0,'Données projet'!$E$9+1,1))</f>
        <v>442.98179778678298</v>
      </c>
      <c r="T103" s="62">
        <f t="shared" si="88"/>
        <v>251.96153561746942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1.4897523215040565E-13</v>
      </c>
      <c r="AK103" s="14">
        <f t="shared" si="89"/>
        <v>2.136562777003313E-12</v>
      </c>
      <c r="AL103" s="22">
        <f t="shared" si="58"/>
        <v>3.9806453659427267E-12</v>
      </c>
      <c r="AM103" s="62">
        <f t="shared" si="59"/>
        <v>277.40405518371318</v>
      </c>
      <c r="AN103" s="62">
        <f ca="1">AVERAGE(OFFSET($AM$3,0,0,'Données projet'!$E$10+1,1))-AVERAGE(OFFSET($H$3,0,0,'Données projet'!$E$10+1,1))</f>
        <v>304.35088214287919</v>
      </c>
      <c r="AO103" s="62">
        <f t="shared" si="90"/>
        <v>288.72611053217599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3.6357050703372803E-14</v>
      </c>
      <c r="BF103" s="14">
        <f t="shared" si="91"/>
        <v>6.1445232567661395E-13</v>
      </c>
      <c r="BG103" s="22">
        <f t="shared" si="61"/>
        <v>1.1334929971951436E-12</v>
      </c>
      <c r="BH103" s="62">
        <f t="shared" si="62"/>
        <v>277.40405518371034</v>
      </c>
      <c r="BI103" s="62">
        <f ca="1">AVERAGE(OFFSET($BH$3,0,0,'Données projet'!$E$11+1,1))-AVERAGE(OFFSET($H$3,0,0,'Données projet'!$E$11+1,1))</f>
        <v>285.09561428624352</v>
      </c>
      <c r="BJ103" s="62">
        <f t="shared" si="92"/>
        <v>261.05678516705564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-9.2222762759774927E-14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272.69564942740931</v>
      </c>
      <c r="CE103" s="62">
        <f t="shared" si="94"/>
        <v>316.57989180609252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2.2737367544323206E-13</v>
      </c>
      <c r="CU103" s="18">
        <f>CT103*VLOOKUP('Données projet'!$B$13,Paramètres!$A$1:$I$89,3,0)*VLOOKUP('Données projet'!$B$13,Paramètres!$A$1:$I$89,5,0)</f>
        <v>1.4897523215040565E-13</v>
      </c>
      <c r="CV103" s="14">
        <f t="shared" si="95"/>
        <v>2.136562777003313E-12</v>
      </c>
      <c r="CW103" s="22">
        <f t="shared" si="67"/>
        <v>3.9806453659427267E-12</v>
      </c>
      <c r="CX103" s="62">
        <f t="shared" si="68"/>
        <v>277.40405518371318</v>
      </c>
      <c r="CY103" s="62">
        <f ca="1">AVERAGE(OFFSET($CX$3,0,0,'Données projet'!$E$13+1,1))-AVERAGE(OFFSET($H$3,0,0,'Données projet'!$E$13+1,1))</f>
        <v>304.35088214287919</v>
      </c>
      <c r="CZ103" s="62">
        <f t="shared" si="96"/>
        <v>288.72611053217599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projet'!$B$14,Paramètres!$A$1:$I$89,3,0)*VLOOKUP('Données projet'!$B$14,Paramètres!$A$1:$I$89,5,0)</f>
        <v>6.5620042732916778E-14</v>
      </c>
      <c r="DQ103" s="14">
        <f t="shared" si="97"/>
        <v>1.0353460337118015E-12</v>
      </c>
      <c r="DR103" s="22">
        <f t="shared" si="70"/>
        <v>1.9175159164745509E-12</v>
      </c>
      <c r="DS103" s="62">
        <f t="shared" si="71"/>
        <v>277.40405518371114</v>
      </c>
      <c r="DT103" s="62">
        <f ca="1">AVERAGE(OFFSET($DS$3,0,0,'Données projet'!$E$14+1,1))-AVERAGE(OFFSET($H$3,0,0,'Données projet'!$E$14+1,1))</f>
        <v>172.86120068224633</v>
      </c>
      <c r="DU103" s="62">
        <f t="shared" si="98"/>
        <v>269.4995727085078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3.4</v>
      </c>
      <c r="EJ103" s="13">
        <f>IF('Données projet'!$A$192&gt;35,EJ102+EI103-ER102,IF(A103&lt;'Données projet'!$A$192,$EG$205^A103,IF(A103='Données projet'!$A$192,'Données projet'!$B$192,EJ102+EI103-ER102)))</f>
        <v>215.00000000000009</v>
      </c>
      <c r="EK103" s="18">
        <f>EJ103*VLOOKUP('Données projet'!$B$15,Paramètres!$A$1:$I$89,3,0)*VLOOKUP('Données projet'!$B$15,Paramètres!$A$1:$I$89,5,0)</f>
        <v>181.1160000000001</v>
      </c>
      <c r="EL103" s="14">
        <f t="shared" si="99"/>
        <v>45.570386218758252</v>
      </c>
      <c r="EM103" s="22">
        <f t="shared" si="73"/>
        <v>394.81212266433744</v>
      </c>
      <c r="EN103" s="62">
        <f t="shared" si="74"/>
        <v>672.21617784804664</v>
      </c>
      <c r="EO103" s="62">
        <f ca="1">AVERAGE(OFFSET($EN$3,0,0,'Données projet'!$E$15+1,1))-AVERAGE(OFFSET($H$3,0,0,'Données projet'!$E$15+1,1))</f>
        <v>346.97972840139914</v>
      </c>
      <c r="EP103" s="62">
        <f t="shared" si="100"/>
        <v>158.41433650660613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-1.1368683772161603E-13</v>
      </c>
      <c r="FF103" s="18">
        <f>FE103*VLOOKUP('Données projet'!$B$16,Paramètres!$A$1:$I$89,3,0)*VLOOKUP('Données projet'!$B$16,Paramètres!$A$1:$I$89,5,0)</f>
        <v>-7.4487616075202823E-14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235.88453308732235</v>
      </c>
      <c r="FK103" s="62">
        <f t="shared" si="102"/>
        <v>220.72810812053521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223.57295999999988</v>
      </c>
      <c r="P104" s="14">
        <f t="shared" si="87"/>
        <v>54.890721304299568</v>
      </c>
      <c r="Q104" s="22">
        <f t="shared" si="107"/>
        <v>484.99091160498818</v>
      </c>
      <c r="R104" s="62">
        <f t="shared" si="55"/>
        <v>762.67130415206259</v>
      </c>
      <c r="S104" s="62">
        <f ca="1">AVERAGE(OFFSET($R$3,0,0,'Données projet'!$E$9+1,1))-AVERAGE(OFFSET($H$3,0,0,'Données projet'!$E$9+1,1))</f>
        <v>442.98179778678298</v>
      </c>
      <c r="T104" s="62">
        <f t="shared" si="88"/>
        <v>251.96153561746942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1.4897523215040565E-13</v>
      </c>
      <c r="AK104" s="14">
        <f t="shared" si="89"/>
        <v>2.136562777003313E-12</v>
      </c>
      <c r="AL104" s="22">
        <f t="shared" si="58"/>
        <v>3.9806453659427267E-12</v>
      </c>
      <c r="AM104" s="62">
        <f t="shared" si="59"/>
        <v>277.68039254707838</v>
      </c>
      <c r="AN104" s="62">
        <f ca="1">AVERAGE(OFFSET($AM$3,0,0,'Données projet'!$E$10+1,1))-AVERAGE(OFFSET($H$3,0,0,'Données projet'!$E$10+1,1))</f>
        <v>304.35088214287919</v>
      </c>
      <c r="AO104" s="62">
        <f t="shared" si="90"/>
        <v>288.72611053217599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3.6357050703372803E-14</v>
      </c>
      <c r="BF104" s="14">
        <f t="shared" si="91"/>
        <v>6.1445232567661395E-13</v>
      </c>
      <c r="BG104" s="22">
        <f t="shared" si="61"/>
        <v>1.1334929971951436E-12</v>
      </c>
      <c r="BH104" s="62">
        <f t="shared" si="62"/>
        <v>277.68039254707554</v>
      </c>
      <c r="BI104" s="62">
        <f ca="1">AVERAGE(OFFSET($BH$3,0,0,'Données projet'!$E$11+1,1))-AVERAGE(OFFSET($H$3,0,0,'Données projet'!$E$11+1,1))</f>
        <v>285.09561428624352</v>
      </c>
      <c r="BJ104" s="62">
        <f t="shared" si="92"/>
        <v>261.05678516705564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-9.2222762759774927E-14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272.69564942740931</v>
      </c>
      <c r="CE104" s="62">
        <f t="shared" si="94"/>
        <v>316.57989180609252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2.2737367544323206E-13</v>
      </c>
      <c r="CU104" s="18">
        <f>CT104*VLOOKUP('Données projet'!$B$13,Paramètres!$A$1:$I$89,3,0)*VLOOKUP('Données projet'!$B$13,Paramètres!$A$1:$I$89,5,0)</f>
        <v>1.4897523215040565E-13</v>
      </c>
      <c r="CV104" s="14">
        <f t="shared" si="95"/>
        <v>2.136562777003313E-12</v>
      </c>
      <c r="CW104" s="22">
        <f t="shared" si="67"/>
        <v>3.9806453659427267E-12</v>
      </c>
      <c r="CX104" s="62">
        <f t="shared" si="68"/>
        <v>277.68039254707838</v>
      </c>
      <c r="CY104" s="62">
        <f ca="1">AVERAGE(OFFSET($CX$3,0,0,'Données projet'!$E$13+1,1))-AVERAGE(OFFSET($H$3,0,0,'Données projet'!$E$13+1,1))</f>
        <v>304.35088214287919</v>
      </c>
      <c r="CZ104" s="62">
        <f t="shared" si="96"/>
        <v>288.72611053217599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projet'!$B$14,Paramètres!$A$1:$I$89,3,0)*VLOOKUP('Données projet'!$B$14,Paramètres!$A$1:$I$89,5,0)</f>
        <v>6.5620042732916778E-14</v>
      </c>
      <c r="DQ104" s="14">
        <f t="shared" si="97"/>
        <v>1.0353460337118015E-12</v>
      </c>
      <c r="DR104" s="22">
        <f t="shared" si="70"/>
        <v>1.9175159164745509E-12</v>
      </c>
      <c r="DS104" s="62">
        <f t="shared" si="71"/>
        <v>277.68039254707634</v>
      </c>
      <c r="DT104" s="62">
        <f ca="1">AVERAGE(OFFSET($DS$3,0,0,'Données projet'!$E$14+1,1))-AVERAGE(OFFSET($H$3,0,0,'Données projet'!$E$14+1,1))</f>
        <v>172.86120068224633</v>
      </c>
      <c r="DU104" s="62">
        <f t="shared" si="98"/>
        <v>269.4995727085078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3.4</v>
      </c>
      <c r="EJ104" s="13">
        <f>IF('Données projet'!$A$192&gt;35,EJ103+EI104-ER103,IF(A104&lt;'Données projet'!$A$192,$EG$205^A104,IF(A104='Données projet'!$A$192,'Données projet'!$B$192,EJ103+EI104-ER103)))</f>
        <v>218.40000000000009</v>
      </c>
      <c r="EK104" s="18">
        <f>EJ104*VLOOKUP('Données projet'!$B$15,Paramètres!$A$1:$I$89,3,0)*VLOOKUP('Données projet'!$B$15,Paramètres!$A$1:$I$89,5,0)</f>
        <v>183.9801600000001</v>
      </c>
      <c r="EL104" s="14">
        <f t="shared" si="99"/>
        <v>46.206568123393758</v>
      </c>
      <c r="EM104" s="22">
        <f t="shared" si="73"/>
        <v>400.90855148157766</v>
      </c>
      <c r="EN104" s="62">
        <f t="shared" si="74"/>
        <v>678.58894402865212</v>
      </c>
      <c r="EO104" s="62">
        <f ca="1">AVERAGE(OFFSET($EN$3,0,0,'Données projet'!$E$15+1,1))-AVERAGE(OFFSET($H$3,0,0,'Données projet'!$E$15+1,1))</f>
        <v>346.97972840139914</v>
      </c>
      <c r="EP104" s="62">
        <f t="shared" si="100"/>
        <v>158.41433650660613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-1.1368683772161603E-13</v>
      </c>
      <c r="FF104" s="18">
        <f>FE104*VLOOKUP('Données projet'!$B$16,Paramètres!$A$1:$I$89,3,0)*VLOOKUP('Données projet'!$B$16,Paramètres!$A$1:$I$89,5,0)</f>
        <v>-7.4487616075202823E-14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235.88453308732235</v>
      </c>
      <c r="FK104" s="62">
        <f t="shared" si="102"/>
        <v>220.72810812053521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227.27951999999985</v>
      </c>
      <c r="P105" s="14">
        <f t="shared" si="87"/>
        <v>55.694043418351256</v>
      </c>
      <c r="Q105" s="22">
        <f t="shared" si="107"/>
        <v>492.84562295362815</v>
      </c>
      <c r="R105" s="62">
        <f t="shared" si="55"/>
        <v>770.79755902861109</v>
      </c>
      <c r="S105" s="62">
        <f ca="1">AVERAGE(OFFSET($R$3,0,0,'Données projet'!$E$9+1,1))-AVERAGE(OFFSET($H$3,0,0,'Données projet'!$E$9+1,1))</f>
        <v>442.98179778678298</v>
      </c>
      <c r="T105" s="62">
        <f t="shared" si="88"/>
        <v>251.96153561746942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1.4897523215040565E-13</v>
      </c>
      <c r="AK105" s="14">
        <f t="shared" si="89"/>
        <v>2.136562777003313E-12</v>
      </c>
      <c r="AL105" s="22">
        <f t="shared" si="58"/>
        <v>3.9806453659427267E-12</v>
      </c>
      <c r="AM105" s="62">
        <f t="shared" si="59"/>
        <v>277.95193607498692</v>
      </c>
      <c r="AN105" s="62">
        <f ca="1">AVERAGE(OFFSET($AM$3,0,0,'Données projet'!$E$10+1,1))-AVERAGE(OFFSET($H$3,0,0,'Données projet'!$E$10+1,1))</f>
        <v>304.35088214287919</v>
      </c>
      <c r="AO105" s="62">
        <f t="shared" si="90"/>
        <v>288.72611053217599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3.6357050703372803E-14</v>
      </c>
      <c r="BF105" s="14">
        <f t="shared" si="91"/>
        <v>6.1445232567661395E-13</v>
      </c>
      <c r="BG105" s="22">
        <f t="shared" si="61"/>
        <v>1.1334929971951436E-12</v>
      </c>
      <c r="BH105" s="62">
        <f t="shared" si="62"/>
        <v>277.95193607498408</v>
      </c>
      <c r="BI105" s="62">
        <f ca="1">AVERAGE(OFFSET($BH$3,0,0,'Données projet'!$E$11+1,1))-AVERAGE(OFFSET($H$3,0,0,'Données projet'!$E$11+1,1))</f>
        <v>285.09561428624352</v>
      </c>
      <c r="BJ105" s="62">
        <f t="shared" si="92"/>
        <v>261.05678516705564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-9.2222762759774927E-14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272.69564942740931</v>
      </c>
      <c r="CE105" s="62">
        <f t="shared" si="94"/>
        <v>316.57989180609252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2.2737367544323206E-13</v>
      </c>
      <c r="CU105" s="18">
        <f>CT105*VLOOKUP('Données projet'!$B$13,Paramètres!$A$1:$I$89,3,0)*VLOOKUP('Données projet'!$B$13,Paramètres!$A$1:$I$89,5,0)</f>
        <v>1.4897523215040565E-13</v>
      </c>
      <c r="CV105" s="14">
        <f t="shared" si="95"/>
        <v>2.136562777003313E-12</v>
      </c>
      <c r="CW105" s="22">
        <f t="shared" si="67"/>
        <v>3.9806453659427267E-12</v>
      </c>
      <c r="CX105" s="62">
        <f t="shared" si="68"/>
        <v>277.95193607498692</v>
      </c>
      <c r="CY105" s="62">
        <f ca="1">AVERAGE(OFFSET($CX$3,0,0,'Données projet'!$E$13+1,1))-AVERAGE(OFFSET($H$3,0,0,'Données projet'!$E$13+1,1))</f>
        <v>304.35088214287919</v>
      </c>
      <c r="CZ105" s="62">
        <f t="shared" si="96"/>
        <v>288.72611053217599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projet'!$B$14,Paramètres!$A$1:$I$89,3,0)*VLOOKUP('Données projet'!$B$14,Paramètres!$A$1:$I$89,5,0)</f>
        <v>6.5620042732916778E-14</v>
      </c>
      <c r="DQ105" s="14">
        <f t="shared" si="97"/>
        <v>1.0353460337118015E-12</v>
      </c>
      <c r="DR105" s="22">
        <f t="shared" si="70"/>
        <v>1.9175159164745509E-12</v>
      </c>
      <c r="DS105" s="62">
        <f t="shared" si="71"/>
        <v>277.95193607498487</v>
      </c>
      <c r="DT105" s="62">
        <f ca="1">AVERAGE(OFFSET($DS$3,0,0,'Données projet'!$E$14+1,1))-AVERAGE(OFFSET($H$3,0,0,'Données projet'!$E$14+1,1))</f>
        <v>172.86120068224633</v>
      </c>
      <c r="DU105" s="62">
        <f t="shared" si="98"/>
        <v>269.4995727085078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3.4</v>
      </c>
      <c r="EJ105" s="13">
        <f>IF('Données projet'!$A$192&gt;35,EJ104+EI105-ER104,IF(A105&lt;'Données projet'!$A$192,$EG$205^A105,IF(A105='Données projet'!$A$192,'Données projet'!$B$192,EJ104+EI105-ER104)))</f>
        <v>221.8000000000001</v>
      </c>
      <c r="EK105" s="18">
        <f>EJ105*VLOOKUP('Données projet'!$B$15,Paramètres!$A$1:$I$89,3,0)*VLOOKUP('Données projet'!$B$15,Paramètres!$A$1:$I$89,5,0)</f>
        <v>186.8443200000001</v>
      </c>
      <c r="EL105" s="14">
        <f t="shared" si="99"/>
        <v>46.841598205171657</v>
      </c>
      <c r="EM105" s="22">
        <f t="shared" si="73"/>
        <v>407.00297420734074</v>
      </c>
      <c r="EN105" s="62">
        <f t="shared" si="74"/>
        <v>684.95491028232368</v>
      </c>
      <c r="EO105" s="62">
        <f ca="1">AVERAGE(OFFSET($EN$3,0,0,'Données projet'!$E$15+1,1))-AVERAGE(OFFSET($H$3,0,0,'Données projet'!$E$15+1,1))</f>
        <v>346.97972840139914</v>
      </c>
      <c r="EP105" s="62">
        <f t="shared" si="100"/>
        <v>158.41433650660613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-1.1368683772161603E-13</v>
      </c>
      <c r="FF105" s="18">
        <f>FE105*VLOOKUP('Données projet'!$B$16,Paramètres!$A$1:$I$89,3,0)*VLOOKUP('Données projet'!$B$16,Paramètres!$A$1:$I$89,5,0)</f>
        <v>-7.4487616075202823E-14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235.88453308732235</v>
      </c>
      <c r="FK105" s="62">
        <f t="shared" si="102"/>
        <v>220.72810812053521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230.98607999999982</v>
      </c>
      <c r="P106" s="14">
        <f t="shared" si="87"/>
        <v>56.495841965100745</v>
      </c>
      <c r="Q106" s="22">
        <f t="shared" si="107"/>
        <v>500.69768075588348</v>
      </c>
      <c r="R106" s="62">
        <f t="shared" si="55"/>
        <v>778.91644968564617</v>
      </c>
      <c r="S106" s="62">
        <f ca="1">AVERAGE(OFFSET($R$3,0,0,'Données projet'!$E$9+1,1))-AVERAGE(OFFSET($H$3,0,0,'Données projet'!$E$9+1,1))</f>
        <v>442.98179778678298</v>
      </c>
      <c r="T106" s="62">
        <f t="shared" si="88"/>
        <v>251.96153561746942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1.4897523215040565E-13</v>
      </c>
      <c r="AK106" s="14">
        <f t="shared" si="89"/>
        <v>2.136562777003313E-12</v>
      </c>
      <c r="AL106" s="22">
        <f t="shared" si="58"/>
        <v>3.9806453659427267E-12</v>
      </c>
      <c r="AM106" s="62">
        <f t="shared" si="59"/>
        <v>278.21876892976667</v>
      </c>
      <c r="AN106" s="62">
        <f ca="1">AVERAGE(OFFSET($AM$3,0,0,'Données projet'!$E$10+1,1))-AVERAGE(OFFSET($H$3,0,0,'Données projet'!$E$10+1,1))</f>
        <v>304.35088214287919</v>
      </c>
      <c r="AO106" s="62">
        <f t="shared" si="90"/>
        <v>288.72611053217599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3.6357050703372803E-14</v>
      </c>
      <c r="BF106" s="14">
        <f t="shared" si="91"/>
        <v>6.1445232567661395E-13</v>
      </c>
      <c r="BG106" s="22">
        <f t="shared" si="61"/>
        <v>1.1334929971951436E-12</v>
      </c>
      <c r="BH106" s="62">
        <f t="shared" si="62"/>
        <v>278.21876892976383</v>
      </c>
      <c r="BI106" s="62">
        <f ca="1">AVERAGE(OFFSET($BH$3,0,0,'Données projet'!$E$11+1,1))-AVERAGE(OFFSET($H$3,0,0,'Données projet'!$E$11+1,1))</f>
        <v>285.09561428624352</v>
      </c>
      <c r="BJ106" s="62">
        <f t="shared" si="92"/>
        <v>261.05678516705564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-9.2222762759774927E-14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272.69564942740931</v>
      </c>
      <c r="CE106" s="62">
        <f t="shared" si="94"/>
        <v>316.57989180609252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2.2737367544323206E-13</v>
      </c>
      <c r="CU106" s="18">
        <f>CT106*VLOOKUP('Données projet'!$B$13,Paramètres!$A$1:$I$89,3,0)*VLOOKUP('Données projet'!$B$13,Paramètres!$A$1:$I$89,5,0)</f>
        <v>1.4897523215040565E-13</v>
      </c>
      <c r="CV106" s="14">
        <f t="shared" si="95"/>
        <v>2.136562777003313E-12</v>
      </c>
      <c r="CW106" s="22">
        <f t="shared" si="67"/>
        <v>3.9806453659427267E-12</v>
      </c>
      <c r="CX106" s="62">
        <f t="shared" si="68"/>
        <v>278.21876892976667</v>
      </c>
      <c r="CY106" s="62">
        <f ca="1">AVERAGE(OFFSET($CX$3,0,0,'Données projet'!$E$13+1,1))-AVERAGE(OFFSET($H$3,0,0,'Données projet'!$E$13+1,1))</f>
        <v>304.35088214287919</v>
      </c>
      <c r="CZ106" s="62">
        <f t="shared" si="96"/>
        <v>288.72611053217599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projet'!$B$14,Paramètres!$A$1:$I$89,3,0)*VLOOKUP('Données projet'!$B$14,Paramètres!$A$1:$I$89,5,0)</f>
        <v>6.5620042732916778E-14</v>
      </c>
      <c r="DQ106" s="14">
        <f t="shared" si="97"/>
        <v>1.0353460337118015E-12</v>
      </c>
      <c r="DR106" s="22">
        <f t="shared" si="70"/>
        <v>1.9175159164745509E-12</v>
      </c>
      <c r="DS106" s="62">
        <f t="shared" si="71"/>
        <v>278.21876892976462</v>
      </c>
      <c r="DT106" s="62">
        <f ca="1">AVERAGE(OFFSET($DS$3,0,0,'Données projet'!$E$14+1,1))-AVERAGE(OFFSET($H$3,0,0,'Données projet'!$E$14+1,1))</f>
        <v>172.86120068224633</v>
      </c>
      <c r="DU106" s="62">
        <f t="shared" si="98"/>
        <v>269.4995727085078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3.4</v>
      </c>
      <c r="EJ106" s="13">
        <f>IF('Données projet'!$A$192&gt;35,EJ105+EI106-ER105,IF(A106&lt;'Données projet'!$A$192,$EG$205^A106,IF(A106='Données projet'!$A$192,'Données projet'!$B$192,EJ105+EI106-ER105)))</f>
        <v>225.2000000000001</v>
      </c>
      <c r="EK106" s="18">
        <f>EJ106*VLOOKUP('Données projet'!$B$15,Paramètres!$A$1:$I$89,3,0)*VLOOKUP('Données projet'!$B$15,Paramètres!$A$1:$I$89,5,0)</f>
        <v>189.70848000000009</v>
      </c>
      <c r="EL106" s="14">
        <f t="shared" si="99"/>
        <v>47.475496159716144</v>
      </c>
      <c r="EM106" s="22">
        <f t="shared" si="73"/>
        <v>413.09542514483906</v>
      </c>
      <c r="EN106" s="62">
        <f t="shared" si="74"/>
        <v>691.3141940746018</v>
      </c>
      <c r="EO106" s="62">
        <f ca="1">AVERAGE(OFFSET($EN$3,0,0,'Données projet'!$E$15+1,1))-AVERAGE(OFFSET($H$3,0,0,'Données projet'!$E$15+1,1))</f>
        <v>346.97972840139914</v>
      </c>
      <c r="EP106" s="62">
        <f t="shared" si="100"/>
        <v>158.41433650660613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-1.1368683772161603E-13</v>
      </c>
      <c r="FF106" s="18">
        <f>FE106*VLOOKUP('Données projet'!$B$16,Paramètres!$A$1:$I$89,3,0)*VLOOKUP('Données projet'!$B$16,Paramètres!$A$1:$I$89,5,0)</f>
        <v>-7.4487616075202823E-14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235.88453308732235</v>
      </c>
      <c r="FK106" s="62">
        <f t="shared" si="102"/>
        <v>220.72810812053521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234.69263999999981</v>
      </c>
      <c r="P107" s="14">
        <f t="shared" si="87"/>
        <v>57.29614421540046</v>
      </c>
      <c r="Q107" s="22">
        <f t="shared" si="107"/>
        <v>508.54713250848886</v>
      </c>
      <c r="R107" s="62">
        <f t="shared" si="55"/>
        <v>787.02810533954971</v>
      </c>
      <c r="S107" s="62">
        <f ca="1">AVERAGE(OFFSET($R$3,0,0,'Données projet'!$E$9+1,1))-AVERAGE(OFFSET($H$3,0,0,'Données projet'!$E$9+1,1))</f>
        <v>442.98179778678298</v>
      </c>
      <c r="T107" s="62">
        <f t="shared" si="88"/>
        <v>251.96153561746942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1.4897523215040565E-13</v>
      </c>
      <c r="AK107" s="14">
        <f t="shared" si="89"/>
        <v>2.136562777003313E-12</v>
      </c>
      <c r="AL107" s="22">
        <f t="shared" si="58"/>
        <v>3.9806453659427267E-12</v>
      </c>
      <c r="AM107" s="62">
        <f t="shared" si="59"/>
        <v>278.48097283106489</v>
      </c>
      <c r="AN107" s="62">
        <f ca="1">AVERAGE(OFFSET($AM$3,0,0,'Données projet'!$E$10+1,1))-AVERAGE(OFFSET($H$3,0,0,'Données projet'!$E$10+1,1))</f>
        <v>304.35088214287919</v>
      </c>
      <c r="AO107" s="62">
        <f t="shared" si="90"/>
        <v>288.72611053217599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3.6357050703372803E-14</v>
      </c>
      <c r="BF107" s="14">
        <f t="shared" si="91"/>
        <v>6.1445232567661395E-13</v>
      </c>
      <c r="BG107" s="22">
        <f t="shared" si="61"/>
        <v>1.1334929971951436E-12</v>
      </c>
      <c r="BH107" s="62">
        <f t="shared" si="62"/>
        <v>278.48097283106205</v>
      </c>
      <c r="BI107" s="62">
        <f ca="1">AVERAGE(OFFSET($BH$3,0,0,'Données projet'!$E$11+1,1))-AVERAGE(OFFSET($H$3,0,0,'Données projet'!$E$11+1,1))</f>
        <v>285.09561428624352</v>
      </c>
      <c r="BJ107" s="62">
        <f t="shared" si="92"/>
        <v>261.05678516705564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-9.2222762759774927E-14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272.69564942740931</v>
      </c>
      <c r="CE107" s="62">
        <f t="shared" si="94"/>
        <v>316.57989180609252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2.2737367544323206E-13</v>
      </c>
      <c r="CU107" s="18">
        <f>CT107*VLOOKUP('Données projet'!$B$13,Paramètres!$A$1:$I$89,3,0)*VLOOKUP('Données projet'!$B$13,Paramètres!$A$1:$I$89,5,0)</f>
        <v>1.4897523215040565E-13</v>
      </c>
      <c r="CV107" s="14">
        <f t="shared" si="95"/>
        <v>2.136562777003313E-12</v>
      </c>
      <c r="CW107" s="22">
        <f t="shared" si="67"/>
        <v>3.9806453659427267E-12</v>
      </c>
      <c r="CX107" s="62">
        <f t="shared" si="68"/>
        <v>278.48097283106489</v>
      </c>
      <c r="CY107" s="62">
        <f ca="1">AVERAGE(OFFSET($CX$3,0,0,'Données projet'!$E$13+1,1))-AVERAGE(OFFSET($H$3,0,0,'Données projet'!$E$13+1,1))</f>
        <v>304.35088214287919</v>
      </c>
      <c r="CZ107" s="62">
        <f t="shared" si="96"/>
        <v>288.72611053217599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projet'!$B$14,Paramètres!$A$1:$I$89,3,0)*VLOOKUP('Données projet'!$B$14,Paramètres!$A$1:$I$89,5,0)</f>
        <v>6.5620042732916778E-14</v>
      </c>
      <c r="DQ107" s="14">
        <f t="shared" si="97"/>
        <v>1.0353460337118015E-12</v>
      </c>
      <c r="DR107" s="22">
        <f t="shared" si="70"/>
        <v>1.9175159164745509E-12</v>
      </c>
      <c r="DS107" s="62">
        <f t="shared" si="71"/>
        <v>278.48097283106284</v>
      </c>
      <c r="DT107" s="62">
        <f ca="1">AVERAGE(OFFSET($DS$3,0,0,'Données projet'!$E$14+1,1))-AVERAGE(OFFSET($H$3,0,0,'Données projet'!$E$14+1,1))</f>
        <v>172.86120068224633</v>
      </c>
      <c r="DU107" s="62">
        <f t="shared" si="98"/>
        <v>269.4995727085078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3.4</v>
      </c>
      <c r="EJ107" s="13">
        <f>IF('Données projet'!$A$192&gt;35,EJ106+EI107-ER106,IF(A107&lt;'Données projet'!$A$192,$EG$205^A107,IF(A107='Données projet'!$A$192,'Données projet'!$B$192,EJ106+EI107-ER106)))</f>
        <v>228.60000000000011</v>
      </c>
      <c r="EK107" s="18">
        <f>EJ107*VLOOKUP('Données projet'!$B$15,Paramètres!$A$1:$I$89,3,0)*VLOOKUP('Données projet'!$B$15,Paramètres!$A$1:$I$89,5,0)</f>
        <v>192.57264000000009</v>
      </c>
      <c r="EL107" s="14">
        <f t="shared" si="99"/>
        <v>48.10828105380331</v>
      </c>
      <c r="EM107" s="22">
        <f t="shared" si="73"/>
        <v>419.18593750204087</v>
      </c>
      <c r="EN107" s="62">
        <f t="shared" si="74"/>
        <v>697.66691033310178</v>
      </c>
      <c r="EO107" s="62">
        <f ca="1">AVERAGE(OFFSET($EN$3,0,0,'Données projet'!$E$15+1,1))-AVERAGE(OFFSET($H$3,0,0,'Données projet'!$E$15+1,1))</f>
        <v>346.97972840139914</v>
      </c>
      <c r="EP107" s="62">
        <f t="shared" si="100"/>
        <v>158.41433650660613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-1.1368683772161603E-13</v>
      </c>
      <c r="FF107" s="18">
        <f>FE107*VLOOKUP('Données projet'!$B$16,Paramètres!$A$1:$I$89,3,0)*VLOOKUP('Données projet'!$B$16,Paramètres!$A$1:$I$89,5,0)</f>
        <v>-7.4487616075202823E-14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235.88453308732235</v>
      </c>
      <c r="FK107" s="62">
        <f t="shared" si="102"/>
        <v>220.72810812053521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238.39919999999978</v>
      </c>
      <c r="P108" s="14">
        <f t="shared" si="87"/>
        <v>58.094976529303359</v>
      </c>
      <c r="Q108" s="22">
        <f t="shared" si="107"/>
        <v>516.39402412186962</v>
      </c>
      <c r="R108" s="62">
        <f t="shared" si="55"/>
        <v>795.13265220274138</v>
      </c>
      <c r="S108" s="62">
        <f ca="1">AVERAGE(OFFSET($R$3,0,0,'Données projet'!$E$9+1,1))-AVERAGE(OFFSET($H$3,0,0,'Données projet'!$E$9+1,1))</f>
        <v>442.98179778678298</v>
      </c>
      <c r="T108" s="62">
        <f t="shared" si="88"/>
        <v>251.96153561746942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1.4897523215040565E-13</v>
      </c>
      <c r="AK108" s="14">
        <f t="shared" si="89"/>
        <v>2.136562777003313E-12</v>
      </c>
      <c r="AL108" s="22">
        <f t="shared" si="58"/>
        <v>3.9806453659427267E-12</v>
      </c>
      <c r="AM108" s="62">
        <f t="shared" si="59"/>
        <v>278.73862808087574</v>
      </c>
      <c r="AN108" s="62">
        <f ca="1">AVERAGE(OFFSET($AM$3,0,0,'Données projet'!$E$10+1,1))-AVERAGE(OFFSET($H$3,0,0,'Données projet'!$E$10+1,1))</f>
        <v>304.35088214287919</v>
      </c>
      <c r="AO108" s="62">
        <f t="shared" si="90"/>
        <v>288.72611053217599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3.6357050703372803E-14</v>
      </c>
      <c r="BF108" s="14">
        <f t="shared" si="91"/>
        <v>6.1445232567661395E-13</v>
      </c>
      <c r="BG108" s="22">
        <f t="shared" si="61"/>
        <v>1.1334929971951436E-12</v>
      </c>
      <c r="BH108" s="62">
        <f t="shared" si="62"/>
        <v>278.7386280808729</v>
      </c>
      <c r="BI108" s="62">
        <f ca="1">AVERAGE(OFFSET($BH$3,0,0,'Données projet'!$E$11+1,1))-AVERAGE(OFFSET($H$3,0,0,'Données projet'!$E$11+1,1))</f>
        <v>285.09561428624352</v>
      </c>
      <c r="BJ108" s="62">
        <f t="shared" si="92"/>
        <v>261.05678516705564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-9.2222762759774927E-14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272.69564942740931</v>
      </c>
      <c r="CE108" s="62">
        <f t="shared" si="94"/>
        <v>316.57989180609252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2.2737367544323206E-13</v>
      </c>
      <c r="CU108" s="18">
        <f>CT108*VLOOKUP('Données projet'!$B$13,Paramètres!$A$1:$I$89,3,0)*VLOOKUP('Données projet'!$B$13,Paramètres!$A$1:$I$89,5,0)</f>
        <v>1.4897523215040565E-13</v>
      </c>
      <c r="CV108" s="14">
        <f t="shared" si="95"/>
        <v>2.136562777003313E-12</v>
      </c>
      <c r="CW108" s="22">
        <f t="shared" si="67"/>
        <v>3.9806453659427267E-12</v>
      </c>
      <c r="CX108" s="62">
        <f t="shared" si="68"/>
        <v>278.73862808087574</v>
      </c>
      <c r="CY108" s="62">
        <f ca="1">AVERAGE(OFFSET($CX$3,0,0,'Données projet'!$E$13+1,1))-AVERAGE(OFFSET($H$3,0,0,'Données projet'!$E$13+1,1))</f>
        <v>304.35088214287919</v>
      </c>
      <c r="CZ108" s="62">
        <f t="shared" si="96"/>
        <v>288.72611053217599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projet'!$B$14,Paramètres!$A$1:$I$89,3,0)*VLOOKUP('Données projet'!$B$14,Paramètres!$A$1:$I$89,5,0)</f>
        <v>6.5620042732916778E-14</v>
      </c>
      <c r="DQ108" s="14">
        <f t="shared" si="97"/>
        <v>1.0353460337118015E-12</v>
      </c>
      <c r="DR108" s="22">
        <f t="shared" si="70"/>
        <v>1.9175159164745509E-12</v>
      </c>
      <c r="DS108" s="62">
        <f t="shared" si="71"/>
        <v>278.7386280808737</v>
      </c>
      <c r="DT108" s="62">
        <f ca="1">AVERAGE(OFFSET($DS$3,0,0,'Données projet'!$E$14+1,1))-AVERAGE(OFFSET($H$3,0,0,'Données projet'!$E$14+1,1))</f>
        <v>172.86120068224633</v>
      </c>
      <c r="DU108" s="62">
        <f t="shared" si="98"/>
        <v>269.4995727085078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232</v>
      </c>
      <c r="EH108" s="13">
        <f>VLOOKUP(A108,'Données projet'!$A$191:$I$211,9,0)</f>
        <v>3.4</v>
      </c>
      <c r="EI108" s="13">
        <f t="array" ref="EI108">INDEX(EH:EH,MIN(IF(ISNUMBER(EH108:EH304),ROW(EH108:EH304),"")))</f>
        <v>3.4</v>
      </c>
      <c r="EJ108" s="13">
        <f>IF('Données projet'!$A$192&gt;35,EJ107+EI108-ER107,IF(A108&lt;'Données projet'!$A$192,$EG$205^A108,IF(A108='Données projet'!$A$192,'Données projet'!$B$192,EJ107+EI108-ER107)))</f>
        <v>232.00000000000011</v>
      </c>
      <c r="EK108" s="18">
        <f>EJ108*VLOOKUP('Données projet'!$B$15,Paramètres!$A$1:$I$89,3,0)*VLOOKUP('Données projet'!$B$15,Paramètres!$A$1:$I$89,5,0)</f>
        <v>195.43680000000012</v>
      </c>
      <c r="EL108" s="14">
        <f t="shared" si="99"/>
        <v>48.739971354487892</v>
      </c>
      <c r="EM108" s="22">
        <f t="shared" si="73"/>
        <v>425.27454344239999</v>
      </c>
      <c r="EN108" s="62">
        <f t="shared" si="74"/>
        <v>704.01317152327169</v>
      </c>
      <c r="EO108" s="62">
        <f ca="1">AVERAGE(OFFSET($EN$3,0,0,'Données projet'!$E$15+1,1))-AVERAGE(OFFSET($H$3,0,0,'Données projet'!$E$15+1,1))</f>
        <v>346.97972840139914</v>
      </c>
      <c r="EP108" s="62">
        <f t="shared" si="100"/>
        <v>158.41433650660613</v>
      </c>
      <c r="EQ108" s="16">
        <f>IF(ISNA(VLOOKUP(A108,'Données projet'!$A$191:$I$211,3,0)),0,VLOOKUP(A108,'Données projet'!$A$191:$I$211,3,0))</f>
        <v>8</v>
      </c>
      <c r="ER108" s="16">
        <f>IF(ISNA(VLOOKUP(A108,'Données projet'!$A$191:$I$211,4,0)),0,VLOOKUP(A108,'Données projet'!$A$191:$I$211,4,0))</f>
        <v>28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-1.1368683772161603E-13</v>
      </c>
      <c r="FF108" s="18">
        <f>FE108*VLOOKUP('Données projet'!$B$16,Paramètres!$A$1:$I$89,3,0)*VLOOKUP('Données projet'!$B$16,Paramètres!$A$1:$I$89,5,0)</f>
        <v>-7.4487616075202823E-14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235.88453308732235</v>
      </c>
      <c r="FK108" s="62">
        <f t="shared" si="102"/>
        <v>220.72810812053521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242.10575999999978</v>
      </c>
      <c r="P109" s="14">
        <f t="shared" si="87"/>
        <v>58.89236440016068</v>
      </c>
      <c r="Q109" s="22">
        <f t="shared" si="107"/>
        <v>524.2383999969461</v>
      </c>
      <c r="R109" s="62">
        <f t="shared" si="55"/>
        <v>803.23021358507526</v>
      </c>
      <c r="S109" s="62">
        <f ca="1">AVERAGE(OFFSET($R$3,0,0,'Données projet'!$E$9+1,1))-AVERAGE(OFFSET($H$3,0,0,'Données projet'!$E$9+1,1))</f>
        <v>442.98179778678298</v>
      </c>
      <c r="T109" s="62">
        <f t="shared" si="88"/>
        <v>251.96153561746942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1.4897523215040565E-13</v>
      </c>
      <c r="AK109" s="14">
        <f t="shared" si="89"/>
        <v>2.136562777003313E-12</v>
      </c>
      <c r="AL109" s="22">
        <f t="shared" si="58"/>
        <v>3.9806453659427267E-12</v>
      </c>
      <c r="AM109" s="62">
        <f t="shared" si="59"/>
        <v>278.99181358813308</v>
      </c>
      <c r="AN109" s="62">
        <f ca="1">AVERAGE(OFFSET($AM$3,0,0,'Données projet'!$E$10+1,1))-AVERAGE(OFFSET($H$3,0,0,'Données projet'!$E$10+1,1))</f>
        <v>304.35088214287919</v>
      </c>
      <c r="AO109" s="62">
        <f t="shared" si="90"/>
        <v>288.72611053217599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3.6357050703372803E-14</v>
      </c>
      <c r="BF109" s="14">
        <f t="shared" si="91"/>
        <v>6.1445232567661395E-13</v>
      </c>
      <c r="BG109" s="22">
        <f t="shared" si="61"/>
        <v>1.1334929971951436E-12</v>
      </c>
      <c r="BH109" s="62">
        <f t="shared" si="62"/>
        <v>278.99181358813024</v>
      </c>
      <c r="BI109" s="62">
        <f ca="1">AVERAGE(OFFSET($BH$3,0,0,'Données projet'!$E$11+1,1))-AVERAGE(OFFSET($H$3,0,0,'Données projet'!$E$11+1,1))</f>
        <v>285.09561428624352</v>
      </c>
      <c r="BJ109" s="62">
        <f t="shared" si="92"/>
        <v>261.05678516705564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-9.2222762759774927E-14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272.69564942740931</v>
      </c>
      <c r="CE109" s="62">
        <f t="shared" si="94"/>
        <v>316.57989180609252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2.2737367544323206E-13</v>
      </c>
      <c r="CU109" s="18">
        <f>CT109*VLOOKUP('Données projet'!$B$13,Paramètres!$A$1:$I$89,3,0)*VLOOKUP('Données projet'!$B$13,Paramètres!$A$1:$I$89,5,0)</f>
        <v>1.4897523215040565E-13</v>
      </c>
      <c r="CV109" s="14">
        <f t="shared" si="95"/>
        <v>2.136562777003313E-12</v>
      </c>
      <c r="CW109" s="22">
        <f t="shared" si="67"/>
        <v>3.9806453659427267E-12</v>
      </c>
      <c r="CX109" s="62">
        <f t="shared" si="68"/>
        <v>278.99181358813308</v>
      </c>
      <c r="CY109" s="62">
        <f ca="1">AVERAGE(OFFSET($CX$3,0,0,'Données projet'!$E$13+1,1))-AVERAGE(OFFSET($H$3,0,0,'Données projet'!$E$13+1,1))</f>
        <v>304.35088214287919</v>
      </c>
      <c r="CZ109" s="62">
        <f t="shared" si="96"/>
        <v>288.72611053217599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projet'!$B$14,Paramètres!$A$1:$I$89,3,0)*VLOOKUP('Données projet'!$B$14,Paramètres!$A$1:$I$89,5,0)</f>
        <v>6.5620042732916778E-14</v>
      </c>
      <c r="DQ109" s="14">
        <f t="shared" si="97"/>
        <v>1.0353460337118015E-12</v>
      </c>
      <c r="DR109" s="22">
        <f t="shared" si="70"/>
        <v>1.9175159164745509E-12</v>
      </c>
      <c r="DS109" s="62">
        <f t="shared" si="71"/>
        <v>278.99181358813104</v>
      </c>
      <c r="DT109" s="62">
        <f ca="1">AVERAGE(OFFSET($DS$3,0,0,'Données projet'!$E$14+1,1))-AVERAGE(OFFSET($H$3,0,0,'Données projet'!$E$14+1,1))</f>
        <v>172.86120068224633</v>
      </c>
      <c r="DU109" s="62">
        <f t="shared" si="98"/>
        <v>269.4995727085078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</v>
      </c>
      <c r="EJ109" s="13">
        <f>IF('Données projet'!$A$192&gt;35,EJ108+EI109-ER108,IF(A109&lt;'Données projet'!$A$192,$EG$205^A109,IF(A109='Données projet'!$A$192,'Données projet'!$B$192,EJ108+EI109-ER108)))</f>
        <v>207.00000000000011</v>
      </c>
      <c r="EK109" s="18">
        <f>EJ109*VLOOKUP('Données projet'!$B$15,Paramètres!$A$1:$I$89,3,0)*VLOOKUP('Données projet'!$B$15,Paramètres!$A$1:$I$89,5,0)</f>
        <v>174.37680000000012</v>
      </c>
      <c r="EL109" s="14">
        <f t="shared" si="99"/>
        <v>44.068826244106432</v>
      </c>
      <c r="EM109" s="22">
        <f t="shared" si="73"/>
        <v>380.4594657084856</v>
      </c>
      <c r="EN109" s="62">
        <f t="shared" si="74"/>
        <v>659.45127929661476</v>
      </c>
      <c r="EO109" s="62">
        <f ca="1">AVERAGE(OFFSET($EN$3,0,0,'Données projet'!$E$15+1,1))-AVERAGE(OFFSET($H$3,0,0,'Données projet'!$E$15+1,1))</f>
        <v>346.97972840139914</v>
      </c>
      <c r="EP109" s="62">
        <f t="shared" si="100"/>
        <v>158.41433650660613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-1.1368683772161603E-13</v>
      </c>
      <c r="FF109" s="18">
        <f>FE109*VLOOKUP('Données projet'!$B$16,Paramètres!$A$1:$I$89,3,0)*VLOOKUP('Données projet'!$B$16,Paramètres!$A$1:$I$89,5,0)</f>
        <v>-7.4487616075202823E-14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235.88453308732235</v>
      </c>
      <c r="FK109" s="62">
        <f t="shared" si="102"/>
        <v>220.72810812053521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245.81231999999974</v>
      </c>
      <c r="P110" s="14">
        <f t="shared" si="87"/>
        <v>59.68833249594293</v>
      </c>
      <c r="Q110" s="22">
        <f t="shared" si="107"/>
        <v>532.08030309710023</v>
      </c>
      <c r="R110" s="62">
        <f t="shared" si="55"/>
        <v>811.32090998997387</v>
      </c>
      <c r="S110" s="62">
        <f ca="1">AVERAGE(OFFSET($R$3,0,0,'Données projet'!$E$9+1,1))-AVERAGE(OFFSET($H$3,0,0,'Données projet'!$E$9+1,1))</f>
        <v>442.98179778678298</v>
      </c>
      <c r="T110" s="62">
        <f t="shared" si="88"/>
        <v>251.96153561746942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1.4897523215040565E-13</v>
      </c>
      <c r="AK110" s="14">
        <f t="shared" si="89"/>
        <v>2.136562777003313E-12</v>
      </c>
      <c r="AL110" s="22">
        <f t="shared" si="58"/>
        <v>3.9806453659427267E-12</v>
      </c>
      <c r="AM110" s="62">
        <f t="shared" si="59"/>
        <v>279.24060689287762</v>
      </c>
      <c r="AN110" s="62">
        <f ca="1">AVERAGE(OFFSET($AM$3,0,0,'Données projet'!$E$10+1,1))-AVERAGE(OFFSET($H$3,0,0,'Données projet'!$E$10+1,1))</f>
        <v>304.35088214287919</v>
      </c>
      <c r="AO110" s="62">
        <f t="shared" si="90"/>
        <v>288.72611053217599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3.6357050703372803E-14</v>
      </c>
      <c r="BF110" s="14">
        <f t="shared" si="91"/>
        <v>6.1445232567661395E-13</v>
      </c>
      <c r="BG110" s="22">
        <f t="shared" si="61"/>
        <v>1.1334929971951436E-12</v>
      </c>
      <c r="BH110" s="62">
        <f t="shared" si="62"/>
        <v>279.24060689287478</v>
      </c>
      <c r="BI110" s="62">
        <f ca="1">AVERAGE(OFFSET($BH$3,0,0,'Données projet'!$E$11+1,1))-AVERAGE(OFFSET($H$3,0,0,'Données projet'!$E$11+1,1))</f>
        <v>285.09561428624352</v>
      </c>
      <c r="BJ110" s="62">
        <f t="shared" si="92"/>
        <v>261.05678516705564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-9.2222762759774927E-14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272.69564942740931</v>
      </c>
      <c r="CE110" s="62">
        <f t="shared" si="94"/>
        <v>316.57989180609252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2.2737367544323206E-13</v>
      </c>
      <c r="CU110" s="18">
        <f>CT110*VLOOKUP('Données projet'!$B$13,Paramètres!$A$1:$I$89,3,0)*VLOOKUP('Données projet'!$B$13,Paramètres!$A$1:$I$89,5,0)</f>
        <v>1.4897523215040565E-13</v>
      </c>
      <c r="CV110" s="14">
        <f t="shared" si="95"/>
        <v>2.136562777003313E-12</v>
      </c>
      <c r="CW110" s="22">
        <f t="shared" si="67"/>
        <v>3.9806453659427267E-12</v>
      </c>
      <c r="CX110" s="62">
        <f t="shared" si="68"/>
        <v>279.24060689287762</v>
      </c>
      <c r="CY110" s="62">
        <f ca="1">AVERAGE(OFFSET($CX$3,0,0,'Données projet'!$E$13+1,1))-AVERAGE(OFFSET($H$3,0,0,'Données projet'!$E$13+1,1))</f>
        <v>304.35088214287919</v>
      </c>
      <c r="CZ110" s="62">
        <f t="shared" si="96"/>
        <v>288.72611053217599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projet'!$B$14,Paramètres!$A$1:$I$89,3,0)*VLOOKUP('Données projet'!$B$14,Paramètres!$A$1:$I$89,5,0)</f>
        <v>6.5620042732916778E-14</v>
      </c>
      <c r="DQ110" s="14">
        <f t="shared" si="97"/>
        <v>1.0353460337118015E-12</v>
      </c>
      <c r="DR110" s="22">
        <f t="shared" si="70"/>
        <v>1.9175159164745509E-12</v>
      </c>
      <c r="DS110" s="62">
        <f t="shared" si="71"/>
        <v>279.24060689287558</v>
      </c>
      <c r="DT110" s="62">
        <f ca="1">AVERAGE(OFFSET($DS$3,0,0,'Données projet'!$E$14+1,1))-AVERAGE(OFFSET($H$3,0,0,'Données projet'!$E$14+1,1))</f>
        <v>172.86120068224633</v>
      </c>
      <c r="DU110" s="62">
        <f t="shared" si="98"/>
        <v>269.4995727085078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</v>
      </c>
      <c r="EJ110" s="13">
        <f>IF('Données projet'!$A$192&gt;35,EJ109+EI110-ER109,IF(A110&lt;'Données projet'!$A$192,$EG$205^A110,IF(A110='Données projet'!$A$192,'Données projet'!$B$192,EJ109+EI110-ER109)))</f>
        <v>210.00000000000011</v>
      </c>
      <c r="EK110" s="18">
        <f>EJ110*VLOOKUP('Données projet'!$B$15,Paramètres!$A$1:$I$89,3,0)*VLOOKUP('Données projet'!$B$15,Paramètres!$A$1:$I$89,5,0)</f>
        <v>176.90400000000011</v>
      </c>
      <c r="EL110" s="14">
        <f t="shared" si="99"/>
        <v>44.6326892336632</v>
      </c>
      <c r="EM110" s="22">
        <f t="shared" si="73"/>
        <v>385.84306708196362</v>
      </c>
      <c r="EN110" s="62">
        <f t="shared" si="74"/>
        <v>665.08367397483721</v>
      </c>
      <c r="EO110" s="62">
        <f ca="1">AVERAGE(OFFSET($EN$3,0,0,'Données projet'!$E$15+1,1))-AVERAGE(OFFSET($H$3,0,0,'Données projet'!$E$15+1,1))</f>
        <v>346.97972840139914</v>
      </c>
      <c r="EP110" s="62">
        <f t="shared" si="100"/>
        <v>158.41433650660613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-1.1368683772161603E-13</v>
      </c>
      <c r="FF110" s="18">
        <f>FE110*VLOOKUP('Données projet'!$B$16,Paramètres!$A$1:$I$89,3,0)*VLOOKUP('Données projet'!$B$16,Paramètres!$A$1:$I$89,5,0)</f>
        <v>-7.4487616075202823E-14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235.88453308732235</v>
      </c>
      <c r="FK110" s="62">
        <f t="shared" si="102"/>
        <v>220.72810812053521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249.51887999999971</v>
      </c>
      <c r="P111" s="14">
        <f t="shared" si="87"/>
        <v>60.482904697997853</v>
      </c>
      <c r="Q111" s="22">
        <f t="shared" si="107"/>
        <v>539.91977501567897</v>
      </c>
      <c r="R111" s="62">
        <f t="shared" si="55"/>
        <v>819.40485920567835</v>
      </c>
      <c r="S111" s="62">
        <f ca="1">AVERAGE(OFFSET($R$3,0,0,'Données projet'!$E$9+1,1))-AVERAGE(OFFSET($H$3,0,0,'Données projet'!$E$9+1,1))</f>
        <v>442.98179778678298</v>
      </c>
      <c r="T111" s="62">
        <f t="shared" si="88"/>
        <v>251.96153561746942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1.4897523215040565E-13</v>
      </c>
      <c r="AK111" s="14">
        <f t="shared" si="89"/>
        <v>2.136562777003313E-12</v>
      </c>
      <c r="AL111" s="22">
        <f t="shared" si="58"/>
        <v>3.9806453659427267E-12</v>
      </c>
      <c r="AM111" s="62">
        <f t="shared" si="59"/>
        <v>279.48508419000331</v>
      </c>
      <c r="AN111" s="62">
        <f ca="1">AVERAGE(OFFSET($AM$3,0,0,'Données projet'!$E$10+1,1))-AVERAGE(OFFSET($H$3,0,0,'Données projet'!$E$10+1,1))</f>
        <v>304.35088214287919</v>
      </c>
      <c r="AO111" s="62">
        <f t="shared" si="90"/>
        <v>288.72611053217599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3.6357050703372803E-14</v>
      </c>
      <c r="BF111" s="14">
        <f t="shared" si="91"/>
        <v>6.1445232567661395E-13</v>
      </c>
      <c r="BG111" s="22">
        <f t="shared" si="61"/>
        <v>1.1334929971951436E-12</v>
      </c>
      <c r="BH111" s="62">
        <f t="shared" si="62"/>
        <v>279.48508419000046</v>
      </c>
      <c r="BI111" s="62">
        <f ca="1">AVERAGE(OFFSET($BH$3,0,0,'Données projet'!$E$11+1,1))-AVERAGE(OFFSET($H$3,0,0,'Données projet'!$E$11+1,1))</f>
        <v>285.09561428624352</v>
      </c>
      <c r="BJ111" s="62">
        <f t="shared" si="92"/>
        <v>261.05678516705564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-9.2222762759774927E-14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272.69564942740931</v>
      </c>
      <c r="CE111" s="62">
        <f t="shared" si="94"/>
        <v>316.57989180609252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2.2737367544323206E-13</v>
      </c>
      <c r="CU111" s="18">
        <f>CT111*VLOOKUP('Données projet'!$B$13,Paramètres!$A$1:$I$89,3,0)*VLOOKUP('Données projet'!$B$13,Paramètres!$A$1:$I$89,5,0)</f>
        <v>1.4897523215040565E-13</v>
      </c>
      <c r="CV111" s="14">
        <f t="shared" si="95"/>
        <v>2.136562777003313E-12</v>
      </c>
      <c r="CW111" s="22">
        <f t="shared" si="67"/>
        <v>3.9806453659427267E-12</v>
      </c>
      <c r="CX111" s="62">
        <f t="shared" si="68"/>
        <v>279.48508419000331</v>
      </c>
      <c r="CY111" s="62">
        <f ca="1">AVERAGE(OFFSET($CX$3,0,0,'Données projet'!$E$13+1,1))-AVERAGE(OFFSET($H$3,0,0,'Données projet'!$E$13+1,1))</f>
        <v>304.35088214287919</v>
      </c>
      <c r="CZ111" s="62">
        <f t="shared" si="96"/>
        <v>288.72611053217599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projet'!$B$14,Paramètres!$A$1:$I$89,3,0)*VLOOKUP('Données projet'!$B$14,Paramètres!$A$1:$I$89,5,0)</f>
        <v>6.5620042732916778E-14</v>
      </c>
      <c r="DQ111" s="14">
        <f t="shared" si="97"/>
        <v>1.0353460337118015E-12</v>
      </c>
      <c r="DR111" s="22">
        <f t="shared" si="70"/>
        <v>1.9175159164745509E-12</v>
      </c>
      <c r="DS111" s="62">
        <f t="shared" si="71"/>
        <v>279.48508419000126</v>
      </c>
      <c r="DT111" s="62">
        <f ca="1">AVERAGE(OFFSET($DS$3,0,0,'Données projet'!$E$14+1,1))-AVERAGE(OFFSET($H$3,0,0,'Données projet'!$E$14+1,1))</f>
        <v>172.86120068224633</v>
      </c>
      <c r="DU111" s="62">
        <f t="shared" si="98"/>
        <v>269.4995727085078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</v>
      </c>
      <c r="EJ111" s="13">
        <f>IF('Données projet'!$A$192&gt;35,EJ110+EI111-ER110,IF(A111&lt;'Données projet'!$A$192,$EG$205^A111,IF(A111='Données projet'!$A$192,'Données projet'!$B$192,EJ110+EI111-ER110)))</f>
        <v>213.00000000000011</v>
      </c>
      <c r="EK111" s="18">
        <f>EJ111*VLOOKUP('Données projet'!$B$15,Paramètres!$A$1:$I$89,3,0)*VLOOKUP('Données projet'!$B$15,Paramètres!$A$1:$I$89,5,0)</f>
        <v>179.4312000000001</v>
      </c>
      <c r="EL111" s="14">
        <f t="shared" si="99"/>
        <v>45.195615345060403</v>
      </c>
      <c r="EM111" s="22">
        <f t="shared" si="73"/>
        <v>391.22503672598032</v>
      </c>
      <c r="EN111" s="62">
        <f t="shared" si="74"/>
        <v>670.71012091597959</v>
      </c>
      <c r="EO111" s="62">
        <f ca="1">AVERAGE(OFFSET($EN$3,0,0,'Données projet'!$E$15+1,1))-AVERAGE(OFFSET($H$3,0,0,'Données projet'!$E$15+1,1))</f>
        <v>346.97972840139914</v>
      </c>
      <c r="EP111" s="62">
        <f t="shared" si="100"/>
        <v>158.41433650660613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-1.1368683772161603E-13</v>
      </c>
      <c r="FF111" s="18">
        <f>FE111*VLOOKUP('Données projet'!$B$16,Paramètres!$A$1:$I$89,3,0)*VLOOKUP('Données projet'!$B$16,Paramètres!$A$1:$I$89,5,0)</f>
        <v>-7.4487616075202823E-14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235.88453308732235</v>
      </c>
      <c r="FK111" s="62">
        <f t="shared" si="102"/>
        <v>220.72810812053521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253.22543999999971</v>
      </c>
      <c r="P112" s="14">
        <f t="shared" si="87"/>
        <v>61.276104137439418</v>
      </c>
      <c r="Q112" s="22">
        <f t="shared" si="107"/>
        <v>547.75685603937313</v>
      </c>
      <c r="R112" s="62">
        <f t="shared" si="55"/>
        <v>827.48217639196241</v>
      </c>
      <c r="S112" s="62">
        <f ca="1">AVERAGE(OFFSET($R$3,0,0,'Données projet'!$E$9+1,1))-AVERAGE(OFFSET($H$3,0,0,'Données projet'!$E$9+1,1))</f>
        <v>442.98179778678298</v>
      </c>
      <c r="T112" s="62">
        <f t="shared" si="88"/>
        <v>251.96153561746942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1.4897523215040565E-13</v>
      </c>
      <c r="AK112" s="14">
        <f t="shared" si="89"/>
        <v>2.136562777003313E-12</v>
      </c>
      <c r="AL112" s="22">
        <f t="shared" si="58"/>
        <v>3.9806453659427267E-12</v>
      </c>
      <c r="AM112" s="62">
        <f t="shared" si="59"/>
        <v>279.72532035259326</v>
      </c>
      <c r="AN112" s="62">
        <f ca="1">AVERAGE(OFFSET($AM$3,0,0,'Données projet'!$E$10+1,1))-AVERAGE(OFFSET($H$3,0,0,'Données projet'!$E$10+1,1))</f>
        <v>304.35088214287919</v>
      </c>
      <c r="AO112" s="62">
        <f t="shared" si="90"/>
        <v>288.72611053217599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3.6357050703372803E-14</v>
      </c>
      <c r="BF112" s="14">
        <f t="shared" si="91"/>
        <v>6.1445232567661395E-13</v>
      </c>
      <c r="BG112" s="22">
        <f t="shared" si="61"/>
        <v>1.1334929971951436E-12</v>
      </c>
      <c r="BH112" s="62">
        <f t="shared" si="62"/>
        <v>279.72532035259042</v>
      </c>
      <c r="BI112" s="62">
        <f ca="1">AVERAGE(OFFSET($BH$3,0,0,'Données projet'!$E$11+1,1))-AVERAGE(OFFSET($H$3,0,0,'Données projet'!$E$11+1,1))</f>
        <v>285.09561428624352</v>
      </c>
      <c r="BJ112" s="62">
        <f t="shared" si="92"/>
        <v>261.05678516705564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-9.2222762759774927E-14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272.69564942740931</v>
      </c>
      <c r="CE112" s="62">
        <f t="shared" si="94"/>
        <v>316.57989180609252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2.2737367544323206E-13</v>
      </c>
      <c r="CU112" s="18">
        <f>CT112*VLOOKUP('Données projet'!$B$13,Paramètres!$A$1:$I$89,3,0)*VLOOKUP('Données projet'!$B$13,Paramètres!$A$1:$I$89,5,0)</f>
        <v>1.4897523215040565E-13</v>
      </c>
      <c r="CV112" s="14">
        <f t="shared" si="95"/>
        <v>2.136562777003313E-12</v>
      </c>
      <c r="CW112" s="22">
        <f t="shared" si="67"/>
        <v>3.9806453659427267E-12</v>
      </c>
      <c r="CX112" s="62">
        <f t="shared" si="68"/>
        <v>279.72532035259326</v>
      </c>
      <c r="CY112" s="62">
        <f ca="1">AVERAGE(OFFSET($CX$3,0,0,'Données projet'!$E$13+1,1))-AVERAGE(OFFSET($H$3,0,0,'Données projet'!$E$13+1,1))</f>
        <v>304.35088214287919</v>
      </c>
      <c r="CZ112" s="62">
        <f t="shared" si="96"/>
        <v>288.72611053217599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projet'!$B$14,Paramètres!$A$1:$I$89,3,0)*VLOOKUP('Données projet'!$B$14,Paramètres!$A$1:$I$89,5,0)</f>
        <v>6.5620042732916778E-14</v>
      </c>
      <c r="DQ112" s="14">
        <f t="shared" si="97"/>
        <v>1.0353460337118015E-12</v>
      </c>
      <c r="DR112" s="22">
        <f t="shared" si="70"/>
        <v>1.9175159164745509E-12</v>
      </c>
      <c r="DS112" s="62">
        <f t="shared" si="71"/>
        <v>279.72532035259121</v>
      </c>
      <c r="DT112" s="62">
        <f ca="1">AVERAGE(OFFSET($DS$3,0,0,'Données projet'!$E$14+1,1))-AVERAGE(OFFSET($H$3,0,0,'Données projet'!$E$14+1,1))</f>
        <v>172.86120068224633</v>
      </c>
      <c r="DU112" s="62">
        <f t="shared" si="98"/>
        <v>269.4995727085078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</v>
      </c>
      <c r="EJ112" s="13">
        <f>IF('Données projet'!$A$192&gt;35,EJ111+EI112-ER111,IF(A112&lt;'Données projet'!$A$192,$EG$205^A112,IF(A112='Données projet'!$A$192,'Données projet'!$B$192,EJ111+EI112-ER111)))</f>
        <v>216.00000000000011</v>
      </c>
      <c r="EK112" s="18">
        <f>EJ112*VLOOKUP('Données projet'!$B$15,Paramètres!$A$1:$I$89,3,0)*VLOOKUP('Données projet'!$B$15,Paramètres!$A$1:$I$89,5,0)</f>
        <v>181.95840000000013</v>
      </c>
      <c r="EL112" s="14">
        <f t="shared" si="99"/>
        <v>45.757619298628008</v>
      </c>
      <c r="EM112" s="22">
        <f t="shared" si="73"/>
        <v>396.60540027844399</v>
      </c>
      <c r="EN112" s="62">
        <f t="shared" si="74"/>
        <v>676.33072063103327</v>
      </c>
      <c r="EO112" s="62">
        <f ca="1">AVERAGE(OFFSET($EN$3,0,0,'Données projet'!$E$15+1,1))-AVERAGE(OFFSET($H$3,0,0,'Données projet'!$E$15+1,1))</f>
        <v>346.97972840139914</v>
      </c>
      <c r="EP112" s="62">
        <f t="shared" si="100"/>
        <v>158.41433650660613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-1.1368683772161603E-13</v>
      </c>
      <c r="FF112" s="18">
        <f>FE112*VLOOKUP('Données projet'!$B$16,Paramètres!$A$1:$I$89,3,0)*VLOOKUP('Données projet'!$B$16,Paramètres!$A$1:$I$89,5,0)</f>
        <v>-7.4487616075202823E-14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235.88453308732235</v>
      </c>
      <c r="FK112" s="62">
        <f t="shared" si="102"/>
        <v>220.72810812053521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256.93199999999968</v>
      </c>
      <c r="P113" s="14">
        <f t="shared" si="87"/>
        <v>62.0679532293465</v>
      </c>
      <c r="Q113" s="22">
        <f t="shared" si="107"/>
        <v>555.59158520777794</v>
      </c>
      <c r="R113" s="62">
        <f t="shared" si="55"/>
        <v>835.55297416262374</v>
      </c>
      <c r="S113" s="62">
        <f ca="1">AVERAGE(OFFSET($R$3,0,0,'Données projet'!$E$9+1,1))-AVERAGE(OFFSET($H$3,0,0,'Données projet'!$E$9+1,1))</f>
        <v>442.98179778678298</v>
      </c>
      <c r="T113" s="62">
        <f t="shared" si="88"/>
        <v>251.96153561746942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1.4897523215040565E-13</v>
      </c>
      <c r="AK113" s="14">
        <f t="shared" si="89"/>
        <v>2.136562777003313E-12</v>
      </c>
      <c r="AL113" s="22">
        <f t="shared" si="58"/>
        <v>3.9806453659427267E-12</v>
      </c>
      <c r="AM113" s="62">
        <f t="shared" si="59"/>
        <v>279.96138895484984</v>
      </c>
      <c r="AN113" s="62">
        <f ca="1">AVERAGE(OFFSET($AM$3,0,0,'Données projet'!$E$10+1,1))-AVERAGE(OFFSET($H$3,0,0,'Données projet'!$E$10+1,1))</f>
        <v>304.35088214287919</v>
      </c>
      <c r="AO113" s="62">
        <f t="shared" si="90"/>
        <v>288.72611053217599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3.6357050703372803E-14</v>
      </c>
      <c r="BF113" s="14">
        <f t="shared" si="91"/>
        <v>6.1445232567661395E-13</v>
      </c>
      <c r="BG113" s="22">
        <f t="shared" si="61"/>
        <v>1.1334929971951436E-12</v>
      </c>
      <c r="BH113" s="62">
        <f t="shared" si="62"/>
        <v>279.961388954847</v>
      </c>
      <c r="BI113" s="62">
        <f ca="1">AVERAGE(OFFSET($BH$3,0,0,'Données projet'!$E$11+1,1))-AVERAGE(OFFSET($H$3,0,0,'Données projet'!$E$11+1,1))</f>
        <v>285.09561428624352</v>
      </c>
      <c r="BJ113" s="62">
        <f t="shared" si="92"/>
        <v>261.05678516705564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-9.2222762759774927E-14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272.69564942740931</v>
      </c>
      <c r="CE113" s="62">
        <f t="shared" si="94"/>
        <v>316.57989180609252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2.2737367544323206E-13</v>
      </c>
      <c r="CU113" s="18">
        <f>CT113*VLOOKUP('Données projet'!$B$13,Paramètres!$A$1:$I$89,3,0)*VLOOKUP('Données projet'!$B$13,Paramètres!$A$1:$I$89,5,0)</f>
        <v>1.4897523215040565E-13</v>
      </c>
      <c r="CV113" s="14">
        <f t="shared" si="95"/>
        <v>2.136562777003313E-12</v>
      </c>
      <c r="CW113" s="22">
        <f t="shared" si="67"/>
        <v>3.9806453659427267E-12</v>
      </c>
      <c r="CX113" s="62">
        <f t="shared" si="68"/>
        <v>279.96138895484984</v>
      </c>
      <c r="CY113" s="62">
        <f ca="1">AVERAGE(OFFSET($CX$3,0,0,'Données projet'!$E$13+1,1))-AVERAGE(OFFSET($H$3,0,0,'Données projet'!$E$13+1,1))</f>
        <v>304.35088214287919</v>
      </c>
      <c r="CZ113" s="62">
        <f t="shared" si="96"/>
        <v>288.72611053217599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projet'!$B$14,Paramètres!$A$1:$I$89,3,0)*VLOOKUP('Données projet'!$B$14,Paramètres!$A$1:$I$89,5,0)</f>
        <v>6.5620042732916778E-14</v>
      </c>
      <c r="DQ113" s="14">
        <f t="shared" si="97"/>
        <v>1.0353460337118015E-12</v>
      </c>
      <c r="DR113" s="22">
        <f t="shared" si="70"/>
        <v>1.9175159164745509E-12</v>
      </c>
      <c r="DS113" s="62">
        <f t="shared" si="71"/>
        <v>279.96138895484779</v>
      </c>
      <c r="DT113" s="62">
        <f ca="1">AVERAGE(OFFSET($DS$3,0,0,'Données projet'!$E$14+1,1))-AVERAGE(OFFSET($H$3,0,0,'Données projet'!$E$14+1,1))</f>
        <v>172.86120068224633</v>
      </c>
      <c r="DU113" s="62">
        <f t="shared" si="98"/>
        <v>269.4995727085078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3</v>
      </c>
      <c r="EJ113" s="13">
        <f>IF('Données projet'!$A$192&gt;35,EJ112+EI113-ER112,IF(A113&lt;'Données projet'!$A$192,$EG$205^A113,IF(A113='Données projet'!$A$192,'Données projet'!$B$192,EJ112+EI113-ER112)))</f>
        <v>219.00000000000011</v>
      </c>
      <c r="EK113" s="18">
        <f>EJ113*VLOOKUP('Données projet'!$B$15,Paramètres!$A$1:$I$89,3,0)*VLOOKUP('Données projet'!$B$15,Paramètres!$A$1:$I$89,5,0)</f>
        <v>184.48560000000012</v>
      </c>
      <c r="EL113" s="14">
        <f t="shared" si="99"/>
        <v>46.318715382308234</v>
      </c>
      <c r="EM113" s="22">
        <f t="shared" si="73"/>
        <v>401.98418262418699</v>
      </c>
      <c r="EN113" s="62">
        <f t="shared" si="74"/>
        <v>681.94557157903284</v>
      </c>
      <c r="EO113" s="62">
        <f ca="1">AVERAGE(OFFSET($EN$3,0,0,'Données projet'!$E$15+1,1))-AVERAGE(OFFSET($H$3,0,0,'Données projet'!$E$15+1,1))</f>
        <v>346.97972840139914</v>
      </c>
      <c r="EP113" s="62">
        <f t="shared" si="100"/>
        <v>158.41433650660613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-1.1368683772161603E-13</v>
      </c>
      <c r="FF113" s="18">
        <f>FE113*VLOOKUP('Données projet'!$B$16,Paramètres!$A$1:$I$89,3,0)*VLOOKUP('Données projet'!$B$16,Paramètres!$A$1:$I$89,5,0)</f>
        <v>-7.4487616075202823E-14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235.88453308732235</v>
      </c>
      <c r="FK113" s="62">
        <f t="shared" si="102"/>
        <v>220.72810812053521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227.19527999999966</v>
      </c>
      <c r="P114" s="14">
        <f t="shared" si="87"/>
        <v>55.675803122401177</v>
      </c>
      <c r="Q114" s="22">
        <f t="shared" si="107"/>
        <v>492.66713643818139</v>
      </c>
      <c r="R114" s="62">
        <f t="shared" si="55"/>
        <v>772.8604987328049</v>
      </c>
      <c r="S114" s="62">
        <f ca="1">AVERAGE(OFFSET($R$3,0,0,'Données projet'!$E$9+1,1))-AVERAGE(OFFSET($H$3,0,0,'Données projet'!$E$9+1,1))</f>
        <v>442.98179778678298</v>
      </c>
      <c r="T114" s="62">
        <f t="shared" si="88"/>
        <v>251.96153561746942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1.4897523215040565E-13</v>
      </c>
      <c r="AK114" s="14">
        <f t="shared" si="89"/>
        <v>2.136562777003313E-12</v>
      </c>
      <c r="AL114" s="22">
        <f t="shared" si="58"/>
        <v>3.9806453659427267E-12</v>
      </c>
      <c r="AM114" s="62">
        <f t="shared" si="59"/>
        <v>280.19336229462755</v>
      </c>
      <c r="AN114" s="62">
        <f ca="1">AVERAGE(OFFSET($AM$3,0,0,'Données projet'!$E$10+1,1))-AVERAGE(OFFSET($H$3,0,0,'Données projet'!$E$10+1,1))</f>
        <v>304.35088214287919</v>
      </c>
      <c r="AO114" s="62">
        <f t="shared" si="90"/>
        <v>288.72611053217599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3.6357050703372803E-14</v>
      </c>
      <c r="BF114" s="14">
        <f t="shared" si="91"/>
        <v>6.1445232567661395E-13</v>
      </c>
      <c r="BG114" s="22">
        <f t="shared" si="61"/>
        <v>1.1334929971951436E-12</v>
      </c>
      <c r="BH114" s="62">
        <f t="shared" si="62"/>
        <v>280.19336229462471</v>
      </c>
      <c r="BI114" s="62">
        <f ca="1">AVERAGE(OFFSET($BH$3,0,0,'Données projet'!$E$11+1,1))-AVERAGE(OFFSET($H$3,0,0,'Données projet'!$E$11+1,1))</f>
        <v>285.09561428624352</v>
      </c>
      <c r="BJ114" s="62">
        <f t="shared" si="92"/>
        <v>261.05678516705564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-9.2222762759774927E-14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272.69564942740931</v>
      </c>
      <c r="CE114" s="62">
        <f t="shared" si="94"/>
        <v>316.57989180609252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2.2737367544323206E-13</v>
      </c>
      <c r="CU114" s="18">
        <f>CT114*VLOOKUP('Données projet'!$B$13,Paramètres!$A$1:$I$89,3,0)*VLOOKUP('Données projet'!$B$13,Paramètres!$A$1:$I$89,5,0)</f>
        <v>1.4897523215040565E-13</v>
      </c>
      <c r="CV114" s="14">
        <f t="shared" si="95"/>
        <v>2.136562777003313E-12</v>
      </c>
      <c r="CW114" s="22">
        <f t="shared" si="67"/>
        <v>3.9806453659427267E-12</v>
      </c>
      <c r="CX114" s="62">
        <f t="shared" si="68"/>
        <v>280.19336229462755</v>
      </c>
      <c r="CY114" s="62">
        <f ca="1">AVERAGE(OFFSET($CX$3,0,0,'Données projet'!$E$13+1,1))-AVERAGE(OFFSET($H$3,0,0,'Données projet'!$E$13+1,1))</f>
        <v>304.35088214287919</v>
      </c>
      <c r="CZ114" s="62">
        <f t="shared" si="96"/>
        <v>288.72611053217599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6.5620042732916778E-14</v>
      </c>
      <c r="DQ114" s="14">
        <f t="shared" si="97"/>
        <v>1.0353460337118015E-12</v>
      </c>
      <c r="DR114" s="22">
        <f t="shared" si="70"/>
        <v>1.9175159164745509E-12</v>
      </c>
      <c r="DS114" s="62">
        <f t="shared" si="71"/>
        <v>280.1933622946255</v>
      </c>
      <c r="DT114" s="62">
        <f ca="1">AVERAGE(OFFSET($DS$3,0,0,'Données projet'!$E$14+1,1))-AVERAGE(OFFSET($H$3,0,0,'Données projet'!$E$14+1,1))</f>
        <v>172.86120068224633</v>
      </c>
      <c r="DU114" s="62">
        <f t="shared" si="98"/>
        <v>269.4995727085078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</v>
      </c>
      <c r="EJ114" s="13">
        <f>IF('Données projet'!$A$192&gt;35,EJ113+EI114-ER113,IF(A114&lt;'Données projet'!$A$192,$EG$205^A114,IF(A114='Données projet'!$A$192,'Données projet'!$B$192,EJ113+EI114-ER113)))</f>
        <v>222.00000000000011</v>
      </c>
      <c r="EK114" s="18">
        <f>EJ114*VLOOKUP('Données projet'!$B$15,Paramètres!$A$1:$I$89,3,0)*VLOOKUP('Données projet'!$B$15,Paramètres!$A$1:$I$89,5,0)</f>
        <v>187.01280000000011</v>
      </c>
      <c r="EL114" s="14">
        <f t="shared" si="99"/>
        <v>46.878917470101747</v>
      </c>
      <c r="EM114" s="22">
        <f t="shared" si="73"/>
        <v>407.36140792709404</v>
      </c>
      <c r="EN114" s="62">
        <f t="shared" si="74"/>
        <v>687.5547702217176</v>
      </c>
      <c r="EO114" s="62">
        <f ca="1">AVERAGE(OFFSET($EN$3,0,0,'Données projet'!$E$15+1,1))-AVERAGE(OFFSET($H$3,0,0,'Données projet'!$E$15+1,1))</f>
        <v>346.97972840139914</v>
      </c>
      <c r="EP114" s="62">
        <f t="shared" si="100"/>
        <v>158.41433650660613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-1.1368683772161603E-13</v>
      </c>
      <c r="FF114" s="18">
        <f>FE114*VLOOKUP('Données projet'!$B$16,Paramètres!$A$1:$I$89,3,0)*VLOOKUP('Données projet'!$B$16,Paramètres!$A$1:$I$89,5,0)</f>
        <v>-7.4487616075202823E-14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235.88453308732235</v>
      </c>
      <c r="FK114" s="62">
        <f t="shared" si="102"/>
        <v>220.72810812053521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230.31215999999969</v>
      </c>
      <c r="P115" s="14">
        <f t="shared" si="87"/>
        <v>56.350172492598332</v>
      </c>
      <c r="Q115" s="22">
        <f t="shared" si="107"/>
        <v>499.27022909127487</v>
      </c>
      <c r="R115" s="62">
        <f t="shared" si="55"/>
        <v>779.69154050684574</v>
      </c>
      <c r="S115" s="62">
        <f ca="1">AVERAGE(OFFSET($R$3,0,0,'Données projet'!$E$9+1,1))-AVERAGE(OFFSET($H$3,0,0,'Données projet'!$E$9+1,1))</f>
        <v>442.98179778678298</v>
      </c>
      <c r="T115" s="62">
        <f t="shared" si="88"/>
        <v>251.96153561746942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1.4897523215040565E-13</v>
      </c>
      <c r="AK115" s="14">
        <f t="shared" si="89"/>
        <v>2.136562777003313E-12</v>
      </c>
      <c r="AL115" s="22">
        <f t="shared" si="58"/>
        <v>3.9806453659427267E-12</v>
      </c>
      <c r="AM115" s="62">
        <f t="shared" si="59"/>
        <v>280.42131141557485</v>
      </c>
      <c r="AN115" s="62">
        <f ca="1">AVERAGE(OFFSET($AM$3,0,0,'Données projet'!$E$10+1,1))-AVERAGE(OFFSET($H$3,0,0,'Données projet'!$E$10+1,1))</f>
        <v>304.35088214287919</v>
      </c>
      <c r="AO115" s="62">
        <f t="shared" si="90"/>
        <v>288.72611053217599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3.6357050703372803E-14</v>
      </c>
      <c r="BF115" s="14">
        <f t="shared" si="91"/>
        <v>6.1445232567661395E-13</v>
      </c>
      <c r="BG115" s="22">
        <f t="shared" si="61"/>
        <v>1.1334929971951436E-12</v>
      </c>
      <c r="BH115" s="62">
        <f t="shared" si="62"/>
        <v>280.42131141557201</v>
      </c>
      <c r="BI115" s="62">
        <f ca="1">AVERAGE(OFFSET($BH$3,0,0,'Données projet'!$E$11+1,1))-AVERAGE(OFFSET($H$3,0,0,'Données projet'!$E$11+1,1))</f>
        <v>285.09561428624352</v>
      </c>
      <c r="BJ115" s="62">
        <f t="shared" si="92"/>
        <v>261.05678516705564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-9.2222762759774927E-14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272.69564942740931</v>
      </c>
      <c r="CE115" s="62">
        <f t="shared" si="94"/>
        <v>316.57989180609252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2.2737367544323206E-13</v>
      </c>
      <c r="CU115" s="18">
        <f>CT115*VLOOKUP('Données projet'!$B$13,Paramètres!$A$1:$I$89,3,0)*VLOOKUP('Données projet'!$B$13,Paramètres!$A$1:$I$89,5,0)</f>
        <v>1.4897523215040565E-13</v>
      </c>
      <c r="CV115" s="14">
        <f t="shared" si="95"/>
        <v>2.136562777003313E-12</v>
      </c>
      <c r="CW115" s="22">
        <f t="shared" si="67"/>
        <v>3.9806453659427267E-12</v>
      </c>
      <c r="CX115" s="62">
        <f t="shared" si="68"/>
        <v>280.42131141557485</v>
      </c>
      <c r="CY115" s="62">
        <f ca="1">AVERAGE(OFFSET($CX$3,0,0,'Données projet'!$E$13+1,1))-AVERAGE(OFFSET($H$3,0,0,'Données projet'!$E$13+1,1))</f>
        <v>304.35088214287919</v>
      </c>
      <c r="CZ115" s="62">
        <f t="shared" si="96"/>
        <v>288.72611053217599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6.5620042732916778E-14</v>
      </c>
      <c r="DQ115" s="14">
        <f t="shared" si="97"/>
        <v>1.0353460337118015E-12</v>
      </c>
      <c r="DR115" s="22">
        <f t="shared" si="70"/>
        <v>1.9175159164745509E-12</v>
      </c>
      <c r="DS115" s="62">
        <f t="shared" si="71"/>
        <v>280.4213114155728</v>
      </c>
      <c r="DT115" s="62">
        <f ca="1">AVERAGE(OFFSET($DS$3,0,0,'Données projet'!$E$14+1,1))-AVERAGE(OFFSET($H$3,0,0,'Données projet'!$E$14+1,1))</f>
        <v>172.86120068224633</v>
      </c>
      <c r="DU115" s="62">
        <f t="shared" si="98"/>
        <v>269.4995727085078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</v>
      </c>
      <c r="EJ115" s="13">
        <f>IF('Données projet'!$A$192&gt;35,EJ114+EI115-ER114,IF(A115&lt;'Données projet'!$A$192,$EG$205^A115,IF(A115='Données projet'!$A$192,'Données projet'!$B$192,EJ114+EI115-ER114)))</f>
        <v>225.00000000000011</v>
      </c>
      <c r="EK115" s="18">
        <f>EJ115*VLOOKUP('Données projet'!$B$15,Paramètres!$A$1:$I$89,3,0)*VLOOKUP('Données projet'!$B$15,Paramètres!$A$1:$I$89,5,0)</f>
        <v>189.54000000000011</v>
      </c>
      <c r="EL115" s="14">
        <f t="shared" si="99"/>
        <v>47.438239039488813</v>
      </c>
      <c r="EM115" s="22">
        <f t="shared" si="73"/>
        <v>412.73709966044316</v>
      </c>
      <c r="EN115" s="62">
        <f t="shared" si="74"/>
        <v>693.15841107601409</v>
      </c>
      <c r="EO115" s="62">
        <f ca="1">AVERAGE(OFFSET($EN$3,0,0,'Données projet'!$E$15+1,1))-AVERAGE(OFFSET($H$3,0,0,'Données projet'!$E$15+1,1))</f>
        <v>346.97972840139914</v>
      </c>
      <c r="EP115" s="62">
        <f t="shared" si="100"/>
        <v>158.41433650660613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-1.1368683772161603E-13</v>
      </c>
      <c r="FF115" s="18">
        <f>FE115*VLOOKUP('Données projet'!$B$16,Paramètres!$A$1:$I$89,3,0)*VLOOKUP('Données projet'!$B$16,Paramètres!$A$1:$I$89,5,0)</f>
        <v>-7.4487616075202823E-14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235.88453308732235</v>
      </c>
      <c r="FK115" s="62">
        <f t="shared" si="102"/>
        <v>220.72810812053521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233.42903999999967</v>
      </c>
      <c r="P116" s="14">
        <f t="shared" si="87"/>
        <v>57.023480348060083</v>
      </c>
      <c r="Q116" s="22">
        <f t="shared" si="107"/>
        <v>505.87147293953734</v>
      </c>
      <c r="R116" s="62">
        <f t="shared" si="55"/>
        <v>786.51677906842497</v>
      </c>
      <c r="S116" s="62">
        <f ca="1">AVERAGE(OFFSET($R$3,0,0,'Données projet'!$E$9+1,1))-AVERAGE(OFFSET($H$3,0,0,'Données projet'!$E$9+1,1))</f>
        <v>442.98179778678298</v>
      </c>
      <c r="T116" s="62">
        <f t="shared" si="88"/>
        <v>251.96153561746942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1.4897523215040565E-13</v>
      </c>
      <c r="AK116" s="14">
        <f t="shared" si="89"/>
        <v>2.136562777003313E-12</v>
      </c>
      <c r="AL116" s="22">
        <f t="shared" si="58"/>
        <v>3.9806453659427267E-12</v>
      </c>
      <c r="AM116" s="62">
        <f t="shared" si="59"/>
        <v>280.6453061288916</v>
      </c>
      <c r="AN116" s="62">
        <f ca="1">AVERAGE(OFFSET($AM$3,0,0,'Données projet'!$E$10+1,1))-AVERAGE(OFFSET($H$3,0,0,'Données projet'!$E$10+1,1))</f>
        <v>304.35088214287919</v>
      </c>
      <c r="AO116" s="62">
        <f t="shared" si="90"/>
        <v>288.72611053217599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3.6357050703372803E-14</v>
      </c>
      <c r="BF116" s="14">
        <f t="shared" si="91"/>
        <v>6.1445232567661395E-13</v>
      </c>
      <c r="BG116" s="22">
        <f t="shared" si="61"/>
        <v>1.1334929971951436E-12</v>
      </c>
      <c r="BH116" s="62">
        <f t="shared" si="62"/>
        <v>280.64530612888876</v>
      </c>
      <c r="BI116" s="62">
        <f ca="1">AVERAGE(OFFSET($BH$3,0,0,'Données projet'!$E$11+1,1))-AVERAGE(OFFSET($H$3,0,0,'Données projet'!$E$11+1,1))</f>
        <v>285.09561428624352</v>
      </c>
      <c r="BJ116" s="62">
        <f t="shared" si="92"/>
        <v>261.05678516705564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-9.2222762759774927E-14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272.69564942740931</v>
      </c>
      <c r="CE116" s="62">
        <f t="shared" si="94"/>
        <v>316.57989180609252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2.2737367544323206E-13</v>
      </c>
      <c r="CU116" s="18">
        <f>CT116*VLOOKUP('Données projet'!$B$13,Paramètres!$A$1:$I$89,3,0)*VLOOKUP('Données projet'!$B$13,Paramètres!$A$1:$I$89,5,0)</f>
        <v>1.4897523215040565E-13</v>
      </c>
      <c r="CV116" s="14">
        <f t="shared" si="95"/>
        <v>2.136562777003313E-12</v>
      </c>
      <c r="CW116" s="22">
        <f t="shared" si="67"/>
        <v>3.9806453659427267E-12</v>
      </c>
      <c r="CX116" s="62">
        <f t="shared" si="68"/>
        <v>280.6453061288916</v>
      </c>
      <c r="CY116" s="62">
        <f ca="1">AVERAGE(OFFSET($CX$3,0,0,'Données projet'!$E$13+1,1))-AVERAGE(OFFSET($H$3,0,0,'Données projet'!$E$13+1,1))</f>
        <v>304.35088214287919</v>
      </c>
      <c r="CZ116" s="62">
        <f t="shared" si="96"/>
        <v>288.72611053217599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6.5620042732916778E-14</v>
      </c>
      <c r="DQ116" s="14">
        <f t="shared" si="97"/>
        <v>1.0353460337118015E-12</v>
      </c>
      <c r="DR116" s="22">
        <f t="shared" si="70"/>
        <v>1.9175159164745509E-12</v>
      </c>
      <c r="DS116" s="62">
        <f t="shared" si="71"/>
        <v>280.64530612888956</v>
      </c>
      <c r="DT116" s="62">
        <f ca="1">AVERAGE(OFFSET($DS$3,0,0,'Données projet'!$E$14+1,1))-AVERAGE(OFFSET($H$3,0,0,'Données projet'!$E$14+1,1))</f>
        <v>172.86120068224633</v>
      </c>
      <c r="DU116" s="62">
        <f t="shared" si="98"/>
        <v>269.4995727085078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</v>
      </c>
      <c r="EJ116" s="13">
        <f>IF('Données projet'!$A$192&gt;35,EJ115+EI116-ER115,IF(A116&lt;'Données projet'!$A$192,$EG$205^A116,IF(A116='Données projet'!$A$192,'Données projet'!$B$192,EJ115+EI116-ER115)))</f>
        <v>228.00000000000011</v>
      </c>
      <c r="EK116" s="18">
        <f>EJ116*VLOOKUP('Données projet'!$B$15,Paramètres!$A$1:$I$89,3,0)*VLOOKUP('Données projet'!$B$15,Paramètres!$A$1:$I$89,5,0)</f>
        <v>192.06720000000013</v>
      </c>
      <c r="EL116" s="14">
        <f t="shared" si="99"/>
        <v>47.996693187894678</v>
      </c>
      <c r="EM116" s="22">
        <f t="shared" si="73"/>
        <v>418.1112806355834</v>
      </c>
      <c r="EN116" s="62">
        <f t="shared" si="74"/>
        <v>698.75658676447097</v>
      </c>
      <c r="EO116" s="62">
        <f ca="1">AVERAGE(OFFSET($EN$3,0,0,'Données projet'!$E$15+1,1))-AVERAGE(OFFSET($H$3,0,0,'Données projet'!$E$15+1,1))</f>
        <v>346.97972840139914</v>
      </c>
      <c r="EP116" s="62">
        <f t="shared" si="100"/>
        <v>158.41433650660613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-1.1368683772161603E-13</v>
      </c>
      <c r="FF116" s="18">
        <f>FE116*VLOOKUP('Données projet'!$B$16,Paramètres!$A$1:$I$89,3,0)*VLOOKUP('Données projet'!$B$16,Paramètres!$A$1:$I$89,5,0)</f>
        <v>-7.4487616075202823E-14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235.88453308732235</v>
      </c>
      <c r="FK116" s="62">
        <f t="shared" si="102"/>
        <v>220.72810812053521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236.54591999999965</v>
      </c>
      <c r="P117" s="14">
        <f t="shared" si="87"/>
        <v>57.695742501250976</v>
      </c>
      <c r="Q117" s="22">
        <f t="shared" si="107"/>
        <v>512.47089552301156</v>
      </c>
      <c r="R117" s="62">
        <f t="shared" si="55"/>
        <v>793.33631055771707</v>
      </c>
      <c r="S117" s="62">
        <f ca="1">AVERAGE(OFFSET($R$3,0,0,'Données projet'!$E$9+1,1))-AVERAGE(OFFSET($H$3,0,0,'Données projet'!$E$9+1,1))</f>
        <v>442.98179778678298</v>
      </c>
      <c r="T117" s="62">
        <f t="shared" si="88"/>
        <v>251.96153561746942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1.4897523215040565E-13</v>
      </c>
      <c r="AK117" s="14">
        <f t="shared" si="89"/>
        <v>2.136562777003313E-12</v>
      </c>
      <c r="AL117" s="22">
        <f t="shared" si="58"/>
        <v>3.9806453659427267E-12</v>
      </c>
      <c r="AM117" s="62">
        <f t="shared" si="59"/>
        <v>280.86541503470943</v>
      </c>
      <c r="AN117" s="62">
        <f ca="1">AVERAGE(OFFSET($AM$3,0,0,'Données projet'!$E$10+1,1))-AVERAGE(OFFSET($H$3,0,0,'Données projet'!$E$10+1,1))</f>
        <v>304.35088214287919</v>
      </c>
      <c r="AO117" s="62">
        <f t="shared" si="90"/>
        <v>288.72611053217599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3.6357050703372803E-14</v>
      </c>
      <c r="BF117" s="14">
        <f t="shared" si="91"/>
        <v>6.1445232567661395E-13</v>
      </c>
      <c r="BG117" s="22">
        <f t="shared" si="61"/>
        <v>1.1334929971951436E-12</v>
      </c>
      <c r="BH117" s="62">
        <f t="shared" si="62"/>
        <v>280.86541503470659</v>
      </c>
      <c r="BI117" s="62">
        <f ca="1">AVERAGE(OFFSET($BH$3,0,0,'Données projet'!$E$11+1,1))-AVERAGE(OFFSET($H$3,0,0,'Données projet'!$E$11+1,1))</f>
        <v>285.09561428624352</v>
      </c>
      <c r="BJ117" s="62">
        <f t="shared" si="92"/>
        <v>261.05678516705564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-9.2222762759774927E-14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272.69564942740931</v>
      </c>
      <c r="CE117" s="62">
        <f t="shared" si="94"/>
        <v>316.57989180609252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2.2737367544323206E-13</v>
      </c>
      <c r="CU117" s="18">
        <f>CT117*VLOOKUP('Données projet'!$B$13,Paramètres!$A$1:$I$89,3,0)*VLOOKUP('Données projet'!$B$13,Paramètres!$A$1:$I$89,5,0)</f>
        <v>1.4897523215040565E-13</v>
      </c>
      <c r="CV117" s="14">
        <f t="shared" si="95"/>
        <v>2.136562777003313E-12</v>
      </c>
      <c r="CW117" s="22">
        <f t="shared" si="67"/>
        <v>3.9806453659427267E-12</v>
      </c>
      <c r="CX117" s="62">
        <f t="shared" si="68"/>
        <v>280.86541503470943</v>
      </c>
      <c r="CY117" s="62">
        <f ca="1">AVERAGE(OFFSET($CX$3,0,0,'Données projet'!$E$13+1,1))-AVERAGE(OFFSET($H$3,0,0,'Données projet'!$E$13+1,1))</f>
        <v>304.35088214287919</v>
      </c>
      <c r="CZ117" s="62">
        <f t="shared" si="96"/>
        <v>288.72611053217599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6.5620042732916778E-14</v>
      </c>
      <c r="DQ117" s="14">
        <f t="shared" si="97"/>
        <v>1.0353460337118015E-12</v>
      </c>
      <c r="DR117" s="22">
        <f t="shared" si="70"/>
        <v>1.9175159164745509E-12</v>
      </c>
      <c r="DS117" s="62">
        <f t="shared" si="71"/>
        <v>280.86541503470738</v>
      </c>
      <c r="DT117" s="62">
        <f ca="1">AVERAGE(OFFSET($DS$3,0,0,'Données projet'!$E$14+1,1))-AVERAGE(OFFSET($H$3,0,0,'Données projet'!$E$14+1,1))</f>
        <v>172.86120068224633</v>
      </c>
      <c r="DU117" s="62">
        <f t="shared" si="98"/>
        <v>269.4995727085078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</v>
      </c>
      <c r="EJ117" s="13">
        <f>IF('Données projet'!$A$192&gt;35,EJ116+EI117-ER116,IF(A117&lt;'Données projet'!$A$192,$EG$205^A117,IF(A117='Données projet'!$A$192,'Données projet'!$B$192,EJ116+EI117-ER116)))</f>
        <v>231.00000000000011</v>
      </c>
      <c r="EK117" s="18">
        <f>EJ117*VLOOKUP('Données projet'!$B$15,Paramètres!$A$1:$I$89,3,0)*VLOOKUP('Données projet'!$B$15,Paramètres!$A$1:$I$89,5,0)</f>
        <v>194.59440000000012</v>
      </c>
      <c r="EL117" s="14">
        <f t="shared" si="99"/>
        <v>48.554292648263498</v>
      </c>
      <c r="EM117" s="22">
        <f t="shared" si="73"/>
        <v>423.48397302905914</v>
      </c>
      <c r="EN117" s="62">
        <f t="shared" si="74"/>
        <v>704.34938806376454</v>
      </c>
      <c r="EO117" s="62">
        <f ca="1">AVERAGE(OFFSET($EN$3,0,0,'Données projet'!$E$15+1,1))-AVERAGE(OFFSET($H$3,0,0,'Données projet'!$E$15+1,1))</f>
        <v>346.97972840139914</v>
      </c>
      <c r="EP117" s="62">
        <f t="shared" si="100"/>
        <v>158.41433650660613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-1.1368683772161603E-13</v>
      </c>
      <c r="FF117" s="18">
        <f>FE117*VLOOKUP('Données projet'!$B$16,Paramètres!$A$1:$I$89,3,0)*VLOOKUP('Données projet'!$B$16,Paramètres!$A$1:$I$89,5,0)</f>
        <v>-7.4487616075202823E-14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235.88453308732235</v>
      </c>
      <c r="FK117" s="62">
        <f t="shared" si="102"/>
        <v>220.72810812053521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239.66279999999963</v>
      </c>
      <c r="P118" s="14">
        <f t="shared" si="87"/>
        <v>58.366974323972691</v>
      </c>
      <c r="Q118" s="22">
        <f t="shared" si="107"/>
        <v>519.06852361425183</v>
      </c>
      <c r="R118" s="62">
        <f t="shared" si="55"/>
        <v>800.15022915734903</v>
      </c>
      <c r="S118" s="62">
        <f ca="1">AVERAGE(OFFSET($R$3,0,0,'Données projet'!$E$9+1,1))-AVERAGE(OFFSET($H$3,0,0,'Données projet'!$E$9+1,1))</f>
        <v>442.98179778678298</v>
      </c>
      <c r="T118" s="62">
        <f t="shared" si="88"/>
        <v>251.96153561746942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1.4897523215040565E-13</v>
      </c>
      <c r="AK118" s="14">
        <f t="shared" si="89"/>
        <v>2.136562777003313E-12</v>
      </c>
      <c r="AL118" s="22">
        <f t="shared" si="58"/>
        <v>3.9806453659427267E-12</v>
      </c>
      <c r="AM118" s="62">
        <f t="shared" si="59"/>
        <v>281.08170554310124</v>
      </c>
      <c r="AN118" s="62">
        <f ca="1">AVERAGE(OFFSET($AM$3,0,0,'Données projet'!$E$10+1,1))-AVERAGE(OFFSET($H$3,0,0,'Données projet'!$E$10+1,1))</f>
        <v>304.35088214287919</v>
      </c>
      <c r="AO118" s="62">
        <f t="shared" si="90"/>
        <v>288.72611053217599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3.6357050703372803E-14</v>
      </c>
      <c r="BF118" s="14">
        <f t="shared" si="91"/>
        <v>6.1445232567661395E-13</v>
      </c>
      <c r="BG118" s="22">
        <f t="shared" si="61"/>
        <v>1.1334929971951436E-12</v>
      </c>
      <c r="BH118" s="62">
        <f t="shared" si="62"/>
        <v>281.08170554309839</v>
      </c>
      <c r="BI118" s="62">
        <f ca="1">AVERAGE(OFFSET($BH$3,0,0,'Données projet'!$E$11+1,1))-AVERAGE(OFFSET($H$3,0,0,'Données projet'!$E$11+1,1))</f>
        <v>285.09561428624352</v>
      </c>
      <c r="BJ118" s="62">
        <f t="shared" si="92"/>
        <v>261.05678516705564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-9.2222762759774927E-14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272.69564942740931</v>
      </c>
      <c r="CE118" s="62">
        <f t="shared" si="94"/>
        <v>316.57989180609252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2.2737367544323206E-13</v>
      </c>
      <c r="CU118" s="18">
        <f>CT118*VLOOKUP('Données projet'!$B$13,Paramètres!$A$1:$I$89,3,0)*VLOOKUP('Données projet'!$B$13,Paramètres!$A$1:$I$89,5,0)</f>
        <v>1.4897523215040565E-13</v>
      </c>
      <c r="CV118" s="14">
        <f t="shared" si="95"/>
        <v>2.136562777003313E-12</v>
      </c>
      <c r="CW118" s="22">
        <f t="shared" si="67"/>
        <v>3.9806453659427267E-12</v>
      </c>
      <c r="CX118" s="62">
        <f t="shared" si="68"/>
        <v>281.08170554310124</v>
      </c>
      <c r="CY118" s="62">
        <f ca="1">AVERAGE(OFFSET($CX$3,0,0,'Données projet'!$E$13+1,1))-AVERAGE(OFFSET($H$3,0,0,'Données projet'!$E$13+1,1))</f>
        <v>304.35088214287919</v>
      </c>
      <c r="CZ118" s="62">
        <f t="shared" si="96"/>
        <v>288.72611053217599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6.5620042732916778E-14</v>
      </c>
      <c r="DQ118" s="14">
        <f t="shared" si="97"/>
        <v>1.0353460337118015E-12</v>
      </c>
      <c r="DR118" s="22">
        <f t="shared" si="70"/>
        <v>1.9175159164745509E-12</v>
      </c>
      <c r="DS118" s="62">
        <f t="shared" si="71"/>
        <v>281.08170554309919</v>
      </c>
      <c r="DT118" s="62">
        <f ca="1">AVERAGE(OFFSET($DS$3,0,0,'Données projet'!$E$14+1,1))-AVERAGE(OFFSET($H$3,0,0,'Données projet'!$E$14+1,1))</f>
        <v>172.86120068224633</v>
      </c>
      <c r="DU118" s="62">
        <f t="shared" si="98"/>
        <v>269.4995727085078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234</v>
      </c>
      <c r="EH118" s="13">
        <f>VLOOKUP(A118,'Données projet'!$A$191:$I$211,9,0)</f>
        <v>3</v>
      </c>
      <c r="EI118" s="13">
        <f t="array" ref="EI118">INDEX(EH:EH,MIN(IF(ISNUMBER(EH118:EH314),ROW(EH118:EH314),"")))</f>
        <v>3</v>
      </c>
      <c r="EJ118" s="13">
        <f>IF('Données projet'!$A$192&gt;35,EJ117+EI118-ER117,IF(A118&lt;'Données projet'!$A$192,$EG$205^A118,IF(A118='Données projet'!$A$192,'Données projet'!$B$192,EJ117+EI118-ER117)))</f>
        <v>234.00000000000011</v>
      </c>
      <c r="EK118" s="18">
        <f>EJ118*VLOOKUP('Données projet'!$B$15,Paramètres!$A$1:$I$89,3,0)*VLOOKUP('Données projet'!$B$15,Paramètres!$A$1:$I$89,5,0)</f>
        <v>197.12160000000011</v>
      </c>
      <c r="EL118" s="14">
        <f t="shared" si="99"/>
        <v>49.111049803800448</v>
      </c>
      <c r="EM118" s="22">
        <f t="shared" si="73"/>
        <v>428.85519840828596</v>
      </c>
      <c r="EN118" s="62">
        <f t="shared" si="74"/>
        <v>709.93690395138321</v>
      </c>
      <c r="EO118" s="62">
        <f ca="1">AVERAGE(OFFSET($EN$3,0,0,'Données projet'!$E$15+1,1))-AVERAGE(OFFSET($H$3,0,0,'Données projet'!$E$15+1,1))</f>
        <v>346.97972840139914</v>
      </c>
      <c r="EP118" s="62">
        <f t="shared" si="100"/>
        <v>158.41433650660613</v>
      </c>
      <c r="EQ118" s="16">
        <f>IF(ISNA(VLOOKUP(A118,'Données projet'!$A$191:$I$211,3,0)),0,VLOOKUP(A118,'Données projet'!$A$191:$I$211,3,0))</f>
        <v>9</v>
      </c>
      <c r="ER118" s="16">
        <f>IF(ISNA(VLOOKUP(A118,'Données projet'!$A$191:$I$211,4,0)),0,VLOOKUP(A118,'Données projet'!$A$191:$I$211,4,0))</f>
        <v>26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-1.1368683772161603E-13</v>
      </c>
      <c r="FF118" s="18">
        <f>FE118*VLOOKUP('Données projet'!$B$16,Paramètres!$A$1:$I$89,3,0)*VLOOKUP('Données projet'!$B$16,Paramètres!$A$1:$I$89,5,0)</f>
        <v>-7.4487616075202823E-14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235.88453308732235</v>
      </c>
      <c r="FK118" s="62">
        <f t="shared" si="102"/>
        <v>220.72810812053521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242.77967999999964</v>
      </c>
      <c r="P119" s="14">
        <f t="shared" si="87"/>
        <v>59.037190765212706</v>
      </c>
      <c r="Q119" s="22">
        <f t="shared" si="107"/>
        <v>525.66438324941146</v>
      </c>
      <c r="R119" s="62">
        <f t="shared" si="55"/>
        <v>806.95862714413295</v>
      </c>
      <c r="S119" s="62">
        <f ca="1">AVERAGE(OFFSET($R$3,0,0,'Données projet'!$E$9+1,1))-AVERAGE(OFFSET($H$3,0,0,'Données projet'!$E$9+1,1))</f>
        <v>442.98179778678298</v>
      </c>
      <c r="T119" s="62">
        <f t="shared" si="88"/>
        <v>251.96153561746942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1.4897523215040565E-13</v>
      </c>
      <c r="AK119" s="14">
        <f t="shared" si="89"/>
        <v>2.136562777003313E-12</v>
      </c>
      <c r="AL119" s="22">
        <f t="shared" si="58"/>
        <v>3.9806453659427267E-12</v>
      </c>
      <c r="AM119" s="62">
        <f t="shared" si="59"/>
        <v>281.29424389472547</v>
      </c>
      <c r="AN119" s="62">
        <f ca="1">AVERAGE(OFFSET($AM$3,0,0,'Données projet'!$E$10+1,1))-AVERAGE(OFFSET($H$3,0,0,'Données projet'!$E$10+1,1))</f>
        <v>304.35088214287919</v>
      </c>
      <c r="AO119" s="62">
        <f t="shared" si="90"/>
        <v>288.72611053217599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3.6357050703372803E-14</v>
      </c>
      <c r="BF119" s="14">
        <f t="shared" si="91"/>
        <v>6.1445232567661395E-13</v>
      </c>
      <c r="BG119" s="22">
        <f t="shared" si="61"/>
        <v>1.1334929971951436E-12</v>
      </c>
      <c r="BH119" s="62">
        <f t="shared" si="62"/>
        <v>281.29424389472263</v>
      </c>
      <c r="BI119" s="62">
        <f ca="1">AVERAGE(OFFSET($BH$3,0,0,'Données projet'!$E$11+1,1))-AVERAGE(OFFSET($H$3,0,0,'Données projet'!$E$11+1,1))</f>
        <v>285.09561428624352</v>
      </c>
      <c r="BJ119" s="62">
        <f t="shared" si="92"/>
        <v>261.05678516705564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-9.2222762759774927E-14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272.69564942740931</v>
      </c>
      <c r="CE119" s="62">
        <f t="shared" si="94"/>
        <v>316.57989180609252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2.2737367544323206E-13</v>
      </c>
      <c r="CU119" s="18">
        <f>CT119*VLOOKUP('Données projet'!$B$13,Paramètres!$A$1:$I$89,3,0)*VLOOKUP('Données projet'!$B$13,Paramètres!$A$1:$I$89,5,0)</f>
        <v>1.4897523215040565E-13</v>
      </c>
      <c r="CV119" s="14">
        <f t="shared" si="95"/>
        <v>2.136562777003313E-12</v>
      </c>
      <c r="CW119" s="22">
        <f t="shared" si="67"/>
        <v>3.9806453659427267E-12</v>
      </c>
      <c r="CX119" s="62">
        <f t="shared" si="68"/>
        <v>281.29424389472547</v>
      </c>
      <c r="CY119" s="62">
        <f ca="1">AVERAGE(OFFSET($CX$3,0,0,'Données projet'!$E$13+1,1))-AVERAGE(OFFSET($H$3,0,0,'Données projet'!$E$13+1,1))</f>
        <v>304.35088214287919</v>
      </c>
      <c r="CZ119" s="62">
        <f t="shared" si="96"/>
        <v>288.72611053217599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6.5620042732916778E-14</v>
      </c>
      <c r="DQ119" s="14">
        <f t="shared" si="97"/>
        <v>1.0353460337118015E-12</v>
      </c>
      <c r="DR119" s="22">
        <f t="shared" si="70"/>
        <v>1.9175159164745509E-12</v>
      </c>
      <c r="DS119" s="62">
        <f t="shared" si="71"/>
        <v>281.29424389472342</v>
      </c>
      <c r="DT119" s="62">
        <f ca="1">AVERAGE(OFFSET($DS$3,0,0,'Données projet'!$E$14+1,1))-AVERAGE(OFFSET($H$3,0,0,'Données projet'!$E$14+1,1))</f>
        <v>172.86120068224633</v>
      </c>
      <c r="DU119" s="62">
        <f t="shared" si="98"/>
        <v>269.4995727085078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2.4</v>
      </c>
      <c r="EJ119" s="13">
        <f>IF('Données projet'!$A$192&gt;35,EJ118+EI119-ER118,IF(A119&lt;'Données projet'!$A$192,$EG$205^A119,IF(A119='Données projet'!$A$192,'Données projet'!$B$192,EJ118+EI119-ER118)))</f>
        <v>210.40000000000012</v>
      </c>
      <c r="EK119" s="18">
        <f>EJ119*VLOOKUP('Données projet'!$B$15,Paramètres!$A$1:$I$89,3,0)*VLOOKUP('Données projet'!$B$15,Paramètres!$A$1:$I$89,5,0)</f>
        <v>177.24096000000011</v>
      </c>
      <c r="EL119" s="14">
        <f t="shared" si="99"/>
        <v>44.707799853435141</v>
      </c>
      <c r="EM119" s="22">
        <f t="shared" si="73"/>
        <v>386.56075674473306</v>
      </c>
      <c r="EN119" s="62">
        <f t="shared" si="74"/>
        <v>667.8550006394546</v>
      </c>
      <c r="EO119" s="62">
        <f ca="1">AVERAGE(OFFSET($EN$3,0,0,'Données projet'!$E$15+1,1))-AVERAGE(OFFSET($H$3,0,0,'Données projet'!$E$15+1,1))</f>
        <v>346.97972840139914</v>
      </c>
      <c r="EP119" s="62">
        <f t="shared" si="100"/>
        <v>158.41433650660613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-1.1368683772161603E-13</v>
      </c>
      <c r="FF119" s="18">
        <f>FE119*VLOOKUP('Données projet'!$B$16,Paramètres!$A$1:$I$89,3,0)*VLOOKUP('Données projet'!$B$16,Paramètres!$A$1:$I$89,5,0)</f>
        <v>-7.4487616075202823E-14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235.88453308732235</v>
      </c>
      <c r="FK119" s="62">
        <f t="shared" si="102"/>
        <v>220.72810812053521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245.89655999999962</v>
      </c>
      <c r="P120" s="14">
        <f t="shared" si="87"/>
        <v>59.706406368049571</v>
      </c>
      <c r="Q120" s="22">
        <f t="shared" si="107"/>
        <v>532.25849975768563</v>
      </c>
      <c r="R120" s="62">
        <f t="shared" si="55"/>
        <v>813.76159493879527</v>
      </c>
      <c r="S120" s="62">
        <f ca="1">AVERAGE(OFFSET($R$3,0,0,'Données projet'!$E$9+1,1))-AVERAGE(OFFSET($H$3,0,0,'Données projet'!$E$9+1,1))</f>
        <v>442.98179778678298</v>
      </c>
      <c r="T120" s="62">
        <f t="shared" si="88"/>
        <v>251.96153561746942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1.4897523215040565E-13</v>
      </c>
      <c r="AK120" s="14">
        <f t="shared" si="89"/>
        <v>2.136562777003313E-12</v>
      </c>
      <c r="AL120" s="22">
        <f t="shared" si="58"/>
        <v>3.9806453659427267E-12</v>
      </c>
      <c r="AM120" s="62">
        <f t="shared" si="59"/>
        <v>281.50309518111362</v>
      </c>
      <c r="AN120" s="62">
        <f ca="1">AVERAGE(OFFSET($AM$3,0,0,'Données projet'!$E$10+1,1))-AVERAGE(OFFSET($H$3,0,0,'Données projet'!$E$10+1,1))</f>
        <v>304.35088214287919</v>
      </c>
      <c r="AO120" s="62">
        <f t="shared" si="90"/>
        <v>288.72611053217599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3.6357050703372803E-14</v>
      </c>
      <c r="BF120" s="14">
        <f t="shared" si="91"/>
        <v>6.1445232567661395E-13</v>
      </c>
      <c r="BG120" s="22">
        <f t="shared" si="61"/>
        <v>1.1334929971951436E-12</v>
      </c>
      <c r="BH120" s="62">
        <f t="shared" si="62"/>
        <v>281.50309518111078</v>
      </c>
      <c r="BI120" s="62">
        <f ca="1">AVERAGE(OFFSET($BH$3,0,0,'Données projet'!$E$11+1,1))-AVERAGE(OFFSET($H$3,0,0,'Données projet'!$E$11+1,1))</f>
        <v>285.09561428624352</v>
      </c>
      <c r="BJ120" s="62">
        <f t="shared" si="92"/>
        <v>261.05678516705564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-9.2222762759774927E-14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272.69564942740931</v>
      </c>
      <c r="CE120" s="62">
        <f t="shared" si="94"/>
        <v>316.57989180609252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2.2737367544323206E-13</v>
      </c>
      <c r="CU120" s="18">
        <f>CT120*VLOOKUP('Données projet'!$B$13,Paramètres!$A$1:$I$89,3,0)*VLOOKUP('Données projet'!$B$13,Paramètres!$A$1:$I$89,5,0)</f>
        <v>1.4897523215040565E-13</v>
      </c>
      <c r="CV120" s="14">
        <f t="shared" si="95"/>
        <v>2.136562777003313E-12</v>
      </c>
      <c r="CW120" s="22">
        <f t="shared" si="67"/>
        <v>3.9806453659427267E-12</v>
      </c>
      <c r="CX120" s="62">
        <f t="shared" si="68"/>
        <v>281.50309518111362</v>
      </c>
      <c r="CY120" s="62">
        <f ca="1">AVERAGE(OFFSET($CX$3,0,0,'Données projet'!$E$13+1,1))-AVERAGE(OFFSET($H$3,0,0,'Données projet'!$E$13+1,1))</f>
        <v>304.35088214287919</v>
      </c>
      <c r="CZ120" s="62">
        <f t="shared" si="96"/>
        <v>288.72611053217599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6.5620042732916778E-14</v>
      </c>
      <c r="DQ120" s="14">
        <f t="shared" si="97"/>
        <v>1.0353460337118015E-12</v>
      </c>
      <c r="DR120" s="22">
        <f t="shared" si="70"/>
        <v>1.9175159164745509E-12</v>
      </c>
      <c r="DS120" s="62">
        <f t="shared" si="71"/>
        <v>281.50309518111158</v>
      </c>
      <c r="DT120" s="62">
        <f ca="1">AVERAGE(OFFSET($DS$3,0,0,'Données projet'!$E$14+1,1))-AVERAGE(OFFSET($H$3,0,0,'Données projet'!$E$14+1,1))</f>
        <v>172.86120068224633</v>
      </c>
      <c r="DU120" s="62">
        <f t="shared" si="98"/>
        <v>269.4995727085078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2.4</v>
      </c>
      <c r="EJ120" s="13">
        <f>IF('Données projet'!$A$192&gt;35,EJ119+EI120-ER119,IF(A120&lt;'Données projet'!$A$192,$EG$205^A120,IF(A120='Données projet'!$A$192,'Données projet'!$B$192,EJ119+EI120-ER119)))</f>
        <v>212.80000000000013</v>
      </c>
      <c r="EK120" s="18">
        <f>EJ120*VLOOKUP('Données projet'!$B$15,Paramètres!$A$1:$I$89,3,0)*VLOOKUP('Données projet'!$B$15,Paramètres!$A$1:$I$89,5,0)</f>
        <v>179.26272000000012</v>
      </c>
      <c r="EL120" s="14">
        <f t="shared" si="99"/>
        <v>45.158115787467153</v>
      </c>
      <c r="EM120" s="22">
        <f t="shared" si="73"/>
        <v>390.86628899650549</v>
      </c>
      <c r="EN120" s="62">
        <f t="shared" si="74"/>
        <v>672.36938417761507</v>
      </c>
      <c r="EO120" s="62">
        <f ca="1">AVERAGE(OFFSET($EN$3,0,0,'Données projet'!$E$15+1,1))-AVERAGE(OFFSET($H$3,0,0,'Données projet'!$E$15+1,1))</f>
        <v>346.97972840139914</v>
      </c>
      <c r="EP120" s="62">
        <f t="shared" si="100"/>
        <v>158.41433650660613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-1.1368683772161603E-13</v>
      </c>
      <c r="FF120" s="18">
        <f>FE120*VLOOKUP('Données projet'!$B$16,Paramètres!$A$1:$I$89,3,0)*VLOOKUP('Données projet'!$B$16,Paramètres!$A$1:$I$89,5,0)</f>
        <v>-7.4487616075202823E-14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235.88453308732235</v>
      </c>
      <c r="FK120" s="62">
        <f t="shared" si="102"/>
        <v>220.72810812053521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249.0134399999996</v>
      </c>
      <c r="P121" s="14">
        <f t="shared" si="87"/>
        <v>60.374635285677471</v>
      </c>
      <c r="Q121" s="22">
        <f t="shared" si="107"/>
        <v>538.85089778922088</v>
      </c>
      <c r="R121" s="62">
        <f t="shared" si="55"/>
        <v>820.55922115382123</v>
      </c>
      <c r="S121" s="62">
        <f ca="1">AVERAGE(OFFSET($R$3,0,0,'Données projet'!$E$9+1,1))-AVERAGE(OFFSET($H$3,0,0,'Données projet'!$E$9+1,1))</f>
        <v>442.98179778678298</v>
      </c>
      <c r="T121" s="62">
        <f t="shared" si="88"/>
        <v>251.96153561746942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1.4897523215040565E-13</v>
      </c>
      <c r="AK121" s="14">
        <f t="shared" si="89"/>
        <v>2.136562777003313E-12</v>
      </c>
      <c r="AL121" s="22">
        <f t="shared" si="58"/>
        <v>3.9806453659427267E-12</v>
      </c>
      <c r="AM121" s="62">
        <f t="shared" si="59"/>
        <v>281.70832336460438</v>
      </c>
      <c r="AN121" s="62">
        <f ca="1">AVERAGE(OFFSET($AM$3,0,0,'Données projet'!$E$10+1,1))-AVERAGE(OFFSET($H$3,0,0,'Données projet'!$E$10+1,1))</f>
        <v>304.35088214287919</v>
      </c>
      <c r="AO121" s="62">
        <f t="shared" si="90"/>
        <v>288.72611053217599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3.6357050703372803E-14</v>
      </c>
      <c r="BF121" s="14">
        <f t="shared" si="91"/>
        <v>6.1445232567661395E-13</v>
      </c>
      <c r="BG121" s="22">
        <f t="shared" si="61"/>
        <v>1.1334929971951436E-12</v>
      </c>
      <c r="BH121" s="62">
        <f t="shared" si="62"/>
        <v>281.70832336460154</v>
      </c>
      <c r="BI121" s="62">
        <f ca="1">AVERAGE(OFFSET($BH$3,0,0,'Données projet'!$E$11+1,1))-AVERAGE(OFFSET($H$3,0,0,'Données projet'!$E$11+1,1))</f>
        <v>285.09561428624352</v>
      </c>
      <c r="BJ121" s="62">
        <f t="shared" si="92"/>
        <v>261.05678516705564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-9.2222762759774927E-14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272.69564942740931</v>
      </c>
      <c r="CE121" s="62">
        <f t="shared" si="94"/>
        <v>316.57989180609252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2.2737367544323206E-13</v>
      </c>
      <c r="CU121" s="18">
        <f>CT121*VLOOKUP('Données projet'!$B$13,Paramètres!$A$1:$I$89,3,0)*VLOOKUP('Données projet'!$B$13,Paramètres!$A$1:$I$89,5,0)</f>
        <v>1.4897523215040565E-13</v>
      </c>
      <c r="CV121" s="14">
        <f t="shared" si="95"/>
        <v>2.136562777003313E-12</v>
      </c>
      <c r="CW121" s="22">
        <f t="shared" si="67"/>
        <v>3.9806453659427267E-12</v>
      </c>
      <c r="CX121" s="62">
        <f t="shared" si="68"/>
        <v>281.70832336460438</v>
      </c>
      <c r="CY121" s="62">
        <f ca="1">AVERAGE(OFFSET($CX$3,0,0,'Données projet'!$E$13+1,1))-AVERAGE(OFFSET($H$3,0,0,'Données projet'!$E$13+1,1))</f>
        <v>304.35088214287919</v>
      </c>
      <c r="CZ121" s="62">
        <f t="shared" si="96"/>
        <v>288.72611053217599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6.5620042732916778E-14</v>
      </c>
      <c r="DQ121" s="14">
        <f t="shared" si="97"/>
        <v>1.0353460337118015E-12</v>
      </c>
      <c r="DR121" s="22">
        <f t="shared" si="70"/>
        <v>1.9175159164745509E-12</v>
      </c>
      <c r="DS121" s="62">
        <f t="shared" si="71"/>
        <v>281.70832336460234</v>
      </c>
      <c r="DT121" s="62">
        <f ca="1">AVERAGE(OFFSET($DS$3,0,0,'Données projet'!$E$14+1,1))-AVERAGE(OFFSET($H$3,0,0,'Données projet'!$E$14+1,1))</f>
        <v>172.86120068224633</v>
      </c>
      <c r="DU121" s="62">
        <f t="shared" si="98"/>
        <v>269.4995727085078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2.4</v>
      </c>
      <c r="EJ121" s="13">
        <f>IF('Données projet'!$A$192&gt;35,EJ120+EI121-ER120,IF(A121&lt;'Données projet'!$A$192,$EG$205^A121,IF(A121='Données projet'!$A$192,'Données projet'!$B$192,EJ120+EI121-ER120)))</f>
        <v>215.20000000000013</v>
      </c>
      <c r="EK121" s="18">
        <f>EJ121*VLOOKUP('Données projet'!$B$15,Paramètres!$A$1:$I$89,3,0)*VLOOKUP('Données projet'!$B$15,Paramètres!$A$1:$I$89,5,0)</f>
        <v>181.28448000000014</v>
      </c>
      <c r="EL121" s="14">
        <f t="shared" si="99"/>
        <v>45.607840929488482</v>
      </c>
      <c r="EM121" s="22">
        <f t="shared" si="73"/>
        <v>395.17079228552598</v>
      </c>
      <c r="EN121" s="62">
        <f t="shared" si="74"/>
        <v>676.87911565012632</v>
      </c>
      <c r="EO121" s="62">
        <f ca="1">AVERAGE(OFFSET($EN$3,0,0,'Données projet'!$E$15+1,1))-AVERAGE(OFFSET($H$3,0,0,'Données projet'!$E$15+1,1))</f>
        <v>346.97972840139914</v>
      </c>
      <c r="EP121" s="62">
        <f t="shared" si="100"/>
        <v>158.41433650660613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-1.1368683772161603E-13</v>
      </c>
      <c r="FF121" s="18">
        <f>FE121*VLOOKUP('Données projet'!$B$16,Paramètres!$A$1:$I$89,3,0)*VLOOKUP('Données projet'!$B$16,Paramètres!$A$1:$I$89,5,0)</f>
        <v>-7.4487616075202823E-14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235.88453308732235</v>
      </c>
      <c r="FK121" s="62">
        <f t="shared" si="102"/>
        <v>220.72810812053521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252.13031999999959</v>
      </c>
      <c r="P122" s="14">
        <f t="shared" si="87"/>
        <v>61.041891296605009</v>
      </c>
      <c r="Q122" s="22">
        <f t="shared" si="107"/>
        <v>545.44160134158631</v>
      </c>
      <c r="R122" s="62">
        <f t="shared" si="55"/>
        <v>827.3515926395155</v>
      </c>
      <c r="S122" s="62">
        <f ca="1">AVERAGE(OFFSET($R$3,0,0,'Données projet'!$E$9+1,1))-AVERAGE(OFFSET($H$3,0,0,'Données projet'!$E$9+1,1))</f>
        <v>442.98179778678298</v>
      </c>
      <c r="T122" s="62">
        <f t="shared" si="88"/>
        <v>251.96153561746942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1.4897523215040565E-13</v>
      </c>
      <c r="AK122" s="14">
        <f t="shared" si="89"/>
        <v>2.136562777003313E-12</v>
      </c>
      <c r="AL122" s="22">
        <f t="shared" si="58"/>
        <v>3.9806453659427267E-12</v>
      </c>
      <c r="AM122" s="62">
        <f t="shared" si="59"/>
        <v>281.90999129793312</v>
      </c>
      <c r="AN122" s="62">
        <f ca="1">AVERAGE(OFFSET($AM$3,0,0,'Données projet'!$E$10+1,1))-AVERAGE(OFFSET($H$3,0,0,'Données projet'!$E$10+1,1))</f>
        <v>304.35088214287919</v>
      </c>
      <c r="AO122" s="62">
        <f t="shared" si="90"/>
        <v>288.72611053217599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3.6357050703372803E-14</v>
      </c>
      <c r="BF122" s="14">
        <f t="shared" si="91"/>
        <v>6.1445232567661395E-13</v>
      </c>
      <c r="BG122" s="22">
        <f t="shared" si="61"/>
        <v>1.1334929971951436E-12</v>
      </c>
      <c r="BH122" s="62">
        <f t="shared" si="62"/>
        <v>281.90999129793028</v>
      </c>
      <c r="BI122" s="62">
        <f ca="1">AVERAGE(OFFSET($BH$3,0,0,'Données projet'!$E$11+1,1))-AVERAGE(OFFSET($H$3,0,0,'Données projet'!$E$11+1,1))</f>
        <v>285.09561428624352</v>
      </c>
      <c r="BJ122" s="62">
        <f t="shared" si="92"/>
        <v>261.05678516705564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-9.2222762759774927E-14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272.69564942740931</v>
      </c>
      <c r="CE122" s="62">
        <f t="shared" si="94"/>
        <v>316.57989180609252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2.2737367544323206E-13</v>
      </c>
      <c r="CU122" s="18">
        <f>CT122*VLOOKUP('Données projet'!$B$13,Paramètres!$A$1:$I$89,3,0)*VLOOKUP('Données projet'!$B$13,Paramètres!$A$1:$I$89,5,0)</f>
        <v>1.4897523215040565E-13</v>
      </c>
      <c r="CV122" s="14">
        <f t="shared" si="95"/>
        <v>2.136562777003313E-12</v>
      </c>
      <c r="CW122" s="22">
        <f t="shared" si="67"/>
        <v>3.9806453659427267E-12</v>
      </c>
      <c r="CX122" s="62">
        <f t="shared" si="68"/>
        <v>281.90999129793312</v>
      </c>
      <c r="CY122" s="62">
        <f ca="1">AVERAGE(OFFSET($CX$3,0,0,'Données projet'!$E$13+1,1))-AVERAGE(OFFSET($H$3,0,0,'Données projet'!$E$13+1,1))</f>
        <v>304.35088214287919</v>
      </c>
      <c r="CZ122" s="62">
        <f t="shared" si="96"/>
        <v>288.72611053217599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6.5620042732916778E-14</v>
      </c>
      <c r="DQ122" s="14">
        <f t="shared" si="97"/>
        <v>1.0353460337118015E-12</v>
      </c>
      <c r="DR122" s="22">
        <f t="shared" si="70"/>
        <v>1.9175159164745509E-12</v>
      </c>
      <c r="DS122" s="62">
        <f t="shared" si="71"/>
        <v>281.90999129793107</v>
      </c>
      <c r="DT122" s="62">
        <f ca="1">AVERAGE(OFFSET($DS$3,0,0,'Données projet'!$E$14+1,1))-AVERAGE(OFFSET($H$3,0,0,'Données projet'!$E$14+1,1))</f>
        <v>172.86120068224633</v>
      </c>
      <c r="DU122" s="62">
        <f t="shared" si="98"/>
        <v>269.4995727085078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2.4</v>
      </c>
      <c r="EJ122" s="13">
        <f>IF('Données projet'!$A$192&gt;35,EJ121+EI122-ER121,IF(A122&lt;'Données projet'!$A$192,$EG$205^A122,IF(A122='Données projet'!$A$192,'Données projet'!$B$192,EJ121+EI122-ER121)))</f>
        <v>217.60000000000014</v>
      </c>
      <c r="EK122" s="18">
        <f>EJ122*VLOOKUP('Données projet'!$B$15,Paramètres!$A$1:$I$89,3,0)*VLOOKUP('Données projet'!$B$15,Paramètres!$A$1:$I$89,5,0)</f>
        <v>183.30624000000012</v>
      </c>
      <c r="EL122" s="14">
        <f t="shared" si="99"/>
        <v>46.056982630723091</v>
      </c>
      <c r="EM122" s="22">
        <f t="shared" si="73"/>
        <v>399.47427941517623</v>
      </c>
      <c r="EN122" s="62">
        <f t="shared" si="74"/>
        <v>681.38427071310537</v>
      </c>
      <c r="EO122" s="62">
        <f ca="1">AVERAGE(OFFSET($EN$3,0,0,'Données projet'!$E$15+1,1))-AVERAGE(OFFSET($H$3,0,0,'Données projet'!$E$15+1,1))</f>
        <v>346.97972840139914</v>
      </c>
      <c r="EP122" s="62">
        <f t="shared" si="100"/>
        <v>158.41433650660613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-1.1368683772161603E-13</v>
      </c>
      <c r="FF122" s="18">
        <f>FE122*VLOOKUP('Données projet'!$B$16,Paramètres!$A$1:$I$89,3,0)*VLOOKUP('Données projet'!$B$16,Paramètres!$A$1:$I$89,5,0)</f>
        <v>-7.4487616075202823E-14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235.88453308732235</v>
      </c>
      <c r="FK122" s="62">
        <f t="shared" si="102"/>
        <v>220.72810812053521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255.24719999999957</v>
      </c>
      <c r="P123" s="14">
        <f t="shared" si="87"/>
        <v>61.708187819081161</v>
      </c>
      <c r="Q123" s="22">
        <f t="shared" si="107"/>
        <v>552.0306337848989</v>
      </c>
      <c r="R123" s="62">
        <f t="shared" si="55"/>
        <v>834.13879452837546</v>
      </c>
      <c r="S123" s="62">
        <f ca="1">AVERAGE(OFFSET($R$3,0,0,'Données projet'!$E$9+1,1))-AVERAGE(OFFSET($H$3,0,0,'Données projet'!$E$9+1,1))</f>
        <v>442.98179778678298</v>
      </c>
      <c r="T123" s="62">
        <f t="shared" si="88"/>
        <v>251.96153561746942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1.4897523215040565E-13</v>
      </c>
      <c r="AK123" s="14">
        <f t="shared" si="89"/>
        <v>2.136562777003313E-12</v>
      </c>
      <c r="AL123" s="22">
        <f t="shared" si="58"/>
        <v>3.9806453659427267E-12</v>
      </c>
      <c r="AM123" s="62">
        <f t="shared" si="59"/>
        <v>282.1081607434806</v>
      </c>
      <c r="AN123" s="62">
        <f ca="1">AVERAGE(OFFSET($AM$3,0,0,'Données projet'!$E$10+1,1))-AVERAGE(OFFSET($H$3,0,0,'Données projet'!$E$10+1,1))</f>
        <v>304.35088214287919</v>
      </c>
      <c r="AO123" s="62">
        <f t="shared" si="90"/>
        <v>288.72611053217599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3.6357050703372803E-14</v>
      </c>
      <c r="BF123" s="14">
        <f t="shared" si="91"/>
        <v>6.1445232567661395E-13</v>
      </c>
      <c r="BG123" s="22">
        <f t="shared" si="61"/>
        <v>1.1334929971951436E-12</v>
      </c>
      <c r="BH123" s="62">
        <f t="shared" si="62"/>
        <v>282.10816074347775</v>
      </c>
      <c r="BI123" s="62">
        <f ca="1">AVERAGE(OFFSET($BH$3,0,0,'Données projet'!$E$11+1,1))-AVERAGE(OFFSET($H$3,0,0,'Données projet'!$E$11+1,1))</f>
        <v>285.09561428624352</v>
      </c>
      <c r="BJ123" s="62">
        <f t="shared" si="92"/>
        <v>261.05678516705564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-9.2222762759774927E-14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272.69564942740931</v>
      </c>
      <c r="CE123" s="62">
        <f t="shared" si="94"/>
        <v>316.57989180609252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2.2737367544323206E-13</v>
      </c>
      <c r="CU123" s="18">
        <f>CT123*VLOOKUP('Données projet'!$B$13,Paramètres!$A$1:$I$89,3,0)*VLOOKUP('Données projet'!$B$13,Paramètres!$A$1:$I$89,5,0)</f>
        <v>1.4897523215040565E-13</v>
      </c>
      <c r="CV123" s="14">
        <f t="shared" si="95"/>
        <v>2.136562777003313E-12</v>
      </c>
      <c r="CW123" s="22">
        <f t="shared" si="67"/>
        <v>3.9806453659427267E-12</v>
      </c>
      <c r="CX123" s="62">
        <f t="shared" si="68"/>
        <v>282.1081607434806</v>
      </c>
      <c r="CY123" s="62">
        <f ca="1">AVERAGE(OFFSET($CX$3,0,0,'Données projet'!$E$13+1,1))-AVERAGE(OFFSET($H$3,0,0,'Données projet'!$E$13+1,1))</f>
        <v>304.35088214287919</v>
      </c>
      <c r="CZ123" s="62">
        <f t="shared" si="96"/>
        <v>288.72611053217599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6.5620042732916778E-14</v>
      </c>
      <c r="DQ123" s="14">
        <f t="shared" si="97"/>
        <v>1.0353460337118015E-12</v>
      </c>
      <c r="DR123" s="22">
        <f t="shared" si="70"/>
        <v>1.9175159164745509E-12</v>
      </c>
      <c r="DS123" s="62">
        <f t="shared" si="71"/>
        <v>282.10816074347855</v>
      </c>
      <c r="DT123" s="62">
        <f ca="1">AVERAGE(OFFSET($DS$3,0,0,'Données projet'!$E$14+1,1))-AVERAGE(OFFSET($H$3,0,0,'Données projet'!$E$14+1,1))</f>
        <v>172.86120068224633</v>
      </c>
      <c r="DU123" s="62">
        <f t="shared" si="98"/>
        <v>269.4995727085078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2.4</v>
      </c>
      <c r="EJ123" s="13">
        <f>IF('Données projet'!$A$192&gt;35,EJ122+EI123-ER122,IF(A123&lt;'Données projet'!$A$192,$EG$205^A123,IF(A123='Données projet'!$A$192,'Données projet'!$B$192,EJ122+EI123-ER122)))</f>
        <v>220.00000000000014</v>
      </c>
      <c r="EK123" s="18">
        <f>EJ123*VLOOKUP('Données projet'!$B$15,Paramètres!$A$1:$I$89,3,0)*VLOOKUP('Données projet'!$B$15,Paramètres!$A$1:$I$89,5,0)</f>
        <v>185.32800000000015</v>
      </c>
      <c r="EL123" s="14">
        <f t="shared" si="99"/>
        <v>46.505548070897625</v>
      </c>
      <c r="EM123" s="22">
        <f t="shared" si="73"/>
        <v>403.77676289014693</v>
      </c>
      <c r="EN123" s="62">
        <f t="shared" si="74"/>
        <v>685.88492363362354</v>
      </c>
      <c r="EO123" s="62">
        <f ca="1">AVERAGE(OFFSET($EN$3,0,0,'Données projet'!$E$15+1,1))-AVERAGE(OFFSET($H$3,0,0,'Données projet'!$E$15+1,1))</f>
        <v>346.97972840139914</v>
      </c>
      <c r="EP123" s="62">
        <f t="shared" si="100"/>
        <v>158.41433650660613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-1.1368683772161603E-13</v>
      </c>
      <c r="FF123" s="18">
        <f>FE123*VLOOKUP('Données projet'!$B$16,Paramètres!$A$1:$I$89,3,0)*VLOOKUP('Données projet'!$B$16,Paramètres!$A$1:$I$89,5,0)</f>
        <v>-7.4487616075202823E-14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235.88453308732235</v>
      </c>
      <c r="FK123" s="62">
        <f t="shared" si="102"/>
        <v>220.72810812053521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228.45887999999957</v>
      </c>
      <c r="P124" s="14">
        <f t="shared" si="87"/>
        <v>55.949325082237735</v>
      </c>
      <c r="Q124" s="22">
        <f t="shared" si="107"/>
        <v>495.34429051823003</v>
      </c>
      <c r="R124" s="62">
        <f t="shared" si="55"/>
        <v>777.64718291041436</v>
      </c>
      <c r="S124" s="62">
        <f ca="1">AVERAGE(OFFSET($R$3,0,0,'Données projet'!$E$9+1,1))-AVERAGE(OFFSET($H$3,0,0,'Données projet'!$E$9+1,1))</f>
        <v>442.98179778678298</v>
      </c>
      <c r="T124" s="62">
        <f t="shared" si="88"/>
        <v>251.96153561746942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1.4897523215040565E-13</v>
      </c>
      <c r="AK124" s="14">
        <f t="shared" si="89"/>
        <v>2.136562777003313E-12</v>
      </c>
      <c r="AL124" s="22">
        <f t="shared" si="58"/>
        <v>3.9806453659427267E-12</v>
      </c>
      <c r="AM124" s="62">
        <f t="shared" si="59"/>
        <v>282.30289239218837</v>
      </c>
      <c r="AN124" s="62">
        <f ca="1">AVERAGE(OFFSET($AM$3,0,0,'Données projet'!$E$10+1,1))-AVERAGE(OFFSET($H$3,0,0,'Données projet'!$E$10+1,1))</f>
        <v>304.35088214287919</v>
      </c>
      <c r="AO124" s="62">
        <f t="shared" si="90"/>
        <v>288.72611053217599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3.6357050703372803E-14</v>
      </c>
      <c r="BF124" s="14">
        <f t="shared" si="91"/>
        <v>6.1445232567661395E-13</v>
      </c>
      <c r="BG124" s="22">
        <f t="shared" si="61"/>
        <v>1.1334929971951436E-12</v>
      </c>
      <c r="BH124" s="62">
        <f t="shared" si="62"/>
        <v>282.30289239218553</v>
      </c>
      <c r="BI124" s="62">
        <f ca="1">AVERAGE(OFFSET($BH$3,0,0,'Données projet'!$E$11+1,1))-AVERAGE(OFFSET($H$3,0,0,'Données projet'!$E$11+1,1))</f>
        <v>285.09561428624352</v>
      </c>
      <c r="BJ124" s="62">
        <f t="shared" si="92"/>
        <v>261.05678516705564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-9.2222762759774927E-14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272.69564942740931</v>
      </c>
      <c r="CE124" s="62">
        <f t="shared" si="94"/>
        <v>316.57989180609252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2.2737367544323206E-13</v>
      </c>
      <c r="CU124" s="18">
        <f>CT124*VLOOKUP('Données projet'!$B$13,Paramètres!$A$1:$I$89,3,0)*VLOOKUP('Données projet'!$B$13,Paramètres!$A$1:$I$89,5,0)</f>
        <v>1.4897523215040565E-13</v>
      </c>
      <c r="CV124" s="14">
        <f t="shared" si="95"/>
        <v>2.136562777003313E-12</v>
      </c>
      <c r="CW124" s="22">
        <f t="shared" si="67"/>
        <v>3.9806453659427267E-12</v>
      </c>
      <c r="CX124" s="62">
        <f t="shared" si="68"/>
        <v>282.30289239218837</v>
      </c>
      <c r="CY124" s="62">
        <f ca="1">AVERAGE(OFFSET($CX$3,0,0,'Données projet'!$E$13+1,1))-AVERAGE(OFFSET($H$3,0,0,'Données projet'!$E$13+1,1))</f>
        <v>304.35088214287919</v>
      </c>
      <c r="CZ124" s="62">
        <f t="shared" si="96"/>
        <v>288.72611053217599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6.5620042732916778E-14</v>
      </c>
      <c r="DQ124" s="14">
        <f t="shared" si="97"/>
        <v>1.0353460337118015E-12</v>
      </c>
      <c r="DR124" s="22">
        <f t="shared" si="70"/>
        <v>1.9175159164745509E-12</v>
      </c>
      <c r="DS124" s="62">
        <f t="shared" si="71"/>
        <v>282.30289239218632</v>
      </c>
      <c r="DT124" s="62">
        <f ca="1">AVERAGE(OFFSET($DS$3,0,0,'Données projet'!$E$14+1,1))-AVERAGE(OFFSET($H$3,0,0,'Données projet'!$E$14+1,1))</f>
        <v>172.86120068224633</v>
      </c>
      <c r="DU124" s="62">
        <f t="shared" si="98"/>
        <v>269.4995727085078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2.4</v>
      </c>
      <c r="EJ124" s="13">
        <f>IF('Données projet'!$A$192&gt;35,EJ123+EI124-ER123,IF(A124&lt;'Données projet'!$A$192,$EG$205^A124,IF(A124='Données projet'!$A$192,'Données projet'!$B$192,EJ123+EI124-ER123)))</f>
        <v>222.40000000000015</v>
      </c>
      <c r="EK124" s="18">
        <f>EJ124*VLOOKUP('Données projet'!$B$15,Paramètres!$A$1:$I$89,3,0)*VLOOKUP('Données projet'!$B$15,Paramètres!$A$1:$I$89,5,0)</f>
        <v>187.34976000000015</v>
      </c>
      <c r="EL124" s="14">
        <f t="shared" si="99"/>
        <v>46.953544264068832</v>
      </c>
      <c r="EM124" s="22">
        <f t="shared" si="73"/>
        <v>408.07825492658679</v>
      </c>
      <c r="EN124" s="62">
        <f t="shared" si="74"/>
        <v>690.38114731877113</v>
      </c>
      <c r="EO124" s="62">
        <f ca="1">AVERAGE(OFFSET($EN$3,0,0,'Données projet'!$E$15+1,1))-AVERAGE(OFFSET($H$3,0,0,'Données projet'!$E$15+1,1))</f>
        <v>346.97972840139914</v>
      </c>
      <c r="EP124" s="62">
        <f t="shared" si="100"/>
        <v>158.41433650660613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-1.1368683772161603E-13</v>
      </c>
      <c r="FF124" s="18">
        <f>FE124*VLOOKUP('Données projet'!$B$16,Paramètres!$A$1:$I$89,3,0)*VLOOKUP('Données projet'!$B$16,Paramètres!$A$1:$I$89,5,0)</f>
        <v>-7.4487616075202823E-14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235.88453308732235</v>
      </c>
      <c r="FK124" s="62">
        <f t="shared" si="102"/>
        <v>220.72810812053521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231.15455999999958</v>
      </c>
      <c r="P125" s="14">
        <f t="shared" si="87"/>
        <v>56.532251598510435</v>
      </c>
      <c r="Q125" s="22">
        <f t="shared" si="107"/>
        <v>501.05453020073833</v>
      </c>
      <c r="R125" s="62">
        <f t="shared" si="55"/>
        <v>783.54877608288007</v>
      </c>
      <c r="S125" s="62">
        <f ca="1">AVERAGE(OFFSET($R$3,0,0,'Données projet'!$E$9+1,1))-AVERAGE(OFFSET($H$3,0,0,'Données projet'!$E$9+1,1))</f>
        <v>442.98179778678298</v>
      </c>
      <c r="T125" s="62">
        <f t="shared" si="88"/>
        <v>251.96153561746942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1.4897523215040565E-13</v>
      </c>
      <c r="AK125" s="14">
        <f t="shared" si="89"/>
        <v>2.136562777003313E-12</v>
      </c>
      <c r="AL125" s="22">
        <f t="shared" si="58"/>
        <v>3.9806453659427267E-12</v>
      </c>
      <c r="AM125" s="62">
        <f t="shared" si="59"/>
        <v>282.49424588214578</v>
      </c>
      <c r="AN125" s="62">
        <f ca="1">AVERAGE(OFFSET($AM$3,0,0,'Données projet'!$E$10+1,1))-AVERAGE(OFFSET($H$3,0,0,'Données projet'!$E$10+1,1))</f>
        <v>304.35088214287919</v>
      </c>
      <c r="AO125" s="62">
        <f t="shared" si="90"/>
        <v>288.72611053217599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3.6357050703372803E-14</v>
      </c>
      <c r="BF125" s="14">
        <f t="shared" si="91"/>
        <v>6.1445232567661395E-13</v>
      </c>
      <c r="BG125" s="22">
        <f t="shared" si="61"/>
        <v>1.1334929971951436E-12</v>
      </c>
      <c r="BH125" s="62">
        <f t="shared" si="62"/>
        <v>282.49424588214293</v>
      </c>
      <c r="BI125" s="62">
        <f ca="1">AVERAGE(OFFSET($BH$3,0,0,'Données projet'!$E$11+1,1))-AVERAGE(OFFSET($H$3,0,0,'Données projet'!$E$11+1,1))</f>
        <v>285.09561428624352</v>
      </c>
      <c r="BJ125" s="62">
        <f t="shared" si="92"/>
        <v>261.05678516705564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-9.2222762759774927E-14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272.69564942740931</v>
      </c>
      <c r="CE125" s="62">
        <f t="shared" si="94"/>
        <v>316.57989180609252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2.2737367544323206E-13</v>
      </c>
      <c r="CU125" s="18">
        <f>CT125*VLOOKUP('Données projet'!$B$13,Paramètres!$A$1:$I$89,3,0)*VLOOKUP('Données projet'!$B$13,Paramètres!$A$1:$I$89,5,0)</f>
        <v>1.4897523215040565E-13</v>
      </c>
      <c r="CV125" s="14">
        <f t="shared" si="95"/>
        <v>2.136562777003313E-12</v>
      </c>
      <c r="CW125" s="22">
        <f t="shared" si="67"/>
        <v>3.9806453659427267E-12</v>
      </c>
      <c r="CX125" s="62">
        <f t="shared" si="68"/>
        <v>282.49424588214578</v>
      </c>
      <c r="CY125" s="62">
        <f ca="1">AVERAGE(OFFSET($CX$3,0,0,'Données projet'!$E$13+1,1))-AVERAGE(OFFSET($H$3,0,0,'Données projet'!$E$13+1,1))</f>
        <v>304.35088214287919</v>
      </c>
      <c r="CZ125" s="62">
        <f t="shared" si="96"/>
        <v>288.72611053217599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6.5620042732916778E-14</v>
      </c>
      <c r="DQ125" s="14">
        <f t="shared" si="97"/>
        <v>1.0353460337118015E-12</v>
      </c>
      <c r="DR125" s="22">
        <f t="shared" si="70"/>
        <v>1.9175159164745509E-12</v>
      </c>
      <c r="DS125" s="62">
        <f t="shared" si="71"/>
        <v>282.49424588214373</v>
      </c>
      <c r="DT125" s="62">
        <f ca="1">AVERAGE(OFFSET($DS$3,0,0,'Données projet'!$E$14+1,1))-AVERAGE(OFFSET($H$3,0,0,'Données projet'!$E$14+1,1))</f>
        <v>172.86120068224633</v>
      </c>
      <c r="DU125" s="62">
        <f t="shared" si="98"/>
        <v>269.4995727085078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2.4</v>
      </c>
      <c r="EJ125" s="13">
        <f>IF('Données projet'!$A$192&gt;35,EJ124+EI125-ER124,IF(A125&lt;'Données projet'!$A$192,$EG$205^A125,IF(A125='Données projet'!$A$192,'Données projet'!$B$192,EJ124+EI125-ER124)))</f>
        <v>224.80000000000015</v>
      </c>
      <c r="EK125" s="18">
        <f>EJ125*VLOOKUP('Données projet'!$B$15,Paramètres!$A$1:$I$89,3,0)*VLOOKUP('Données projet'!$B$15,Paramètres!$A$1:$I$89,5,0)</f>
        <v>189.37152000000015</v>
      </c>
      <c r="EL125" s="14">
        <f t="shared" si="99"/>
        <v>47.400978064191541</v>
      </c>
      <c r="EM125" s="22">
        <f t="shared" si="73"/>
        <v>412.37876746180046</v>
      </c>
      <c r="EN125" s="62">
        <f t="shared" si="74"/>
        <v>694.87301334394226</v>
      </c>
      <c r="EO125" s="62">
        <f ca="1">AVERAGE(OFFSET($EN$3,0,0,'Données projet'!$E$15+1,1))-AVERAGE(OFFSET($H$3,0,0,'Données projet'!$E$15+1,1))</f>
        <v>346.97972840139914</v>
      </c>
      <c r="EP125" s="62">
        <f t="shared" si="100"/>
        <v>158.41433650660613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-1.1368683772161603E-13</v>
      </c>
      <c r="FF125" s="18">
        <f>FE125*VLOOKUP('Données projet'!$B$16,Paramètres!$A$1:$I$89,3,0)*VLOOKUP('Données projet'!$B$16,Paramètres!$A$1:$I$89,5,0)</f>
        <v>-7.4487616075202823E-14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235.88453308732235</v>
      </c>
      <c r="FK125" s="62">
        <f t="shared" si="102"/>
        <v>220.72810812053521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233.85023999999956</v>
      </c>
      <c r="P126" s="14">
        <f t="shared" si="87"/>
        <v>57.114387348136688</v>
      </c>
      <c r="Q126" s="22">
        <f t="shared" si="107"/>
        <v>506.76339263133724</v>
      </c>
      <c r="R126" s="62">
        <f t="shared" si="55"/>
        <v>789.44567244818791</v>
      </c>
      <c r="S126" s="62">
        <f ca="1">AVERAGE(OFFSET($R$3,0,0,'Données projet'!$E$9+1,1))-AVERAGE(OFFSET($H$3,0,0,'Données projet'!$E$9+1,1))</f>
        <v>442.98179778678298</v>
      </c>
      <c r="T126" s="62">
        <f t="shared" si="88"/>
        <v>251.96153561746942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1.4897523215040565E-13</v>
      </c>
      <c r="AK126" s="14">
        <f t="shared" si="89"/>
        <v>2.136562777003313E-12</v>
      </c>
      <c r="AL126" s="22">
        <f t="shared" si="58"/>
        <v>3.9806453659427267E-12</v>
      </c>
      <c r="AM126" s="62">
        <f t="shared" si="59"/>
        <v>282.68227981685465</v>
      </c>
      <c r="AN126" s="62">
        <f ca="1">AVERAGE(OFFSET($AM$3,0,0,'Données projet'!$E$10+1,1))-AVERAGE(OFFSET($H$3,0,0,'Données projet'!$E$10+1,1))</f>
        <v>304.35088214287919</v>
      </c>
      <c r="AO126" s="62">
        <f t="shared" si="90"/>
        <v>288.72611053217599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3.6357050703372803E-14</v>
      </c>
      <c r="BF126" s="14">
        <f t="shared" si="91"/>
        <v>6.1445232567661395E-13</v>
      </c>
      <c r="BG126" s="22">
        <f t="shared" si="61"/>
        <v>1.1334929971951436E-12</v>
      </c>
      <c r="BH126" s="62">
        <f t="shared" si="62"/>
        <v>282.6822798168518</v>
      </c>
      <c r="BI126" s="62">
        <f ca="1">AVERAGE(OFFSET($BH$3,0,0,'Données projet'!$E$11+1,1))-AVERAGE(OFFSET($H$3,0,0,'Données projet'!$E$11+1,1))</f>
        <v>285.09561428624352</v>
      </c>
      <c r="BJ126" s="62">
        <f t="shared" si="92"/>
        <v>261.05678516705564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-9.2222762759774927E-14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272.69564942740931</v>
      </c>
      <c r="CE126" s="62">
        <f t="shared" si="94"/>
        <v>316.57989180609252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2.2737367544323206E-13</v>
      </c>
      <c r="CU126" s="18">
        <f>CT126*VLOOKUP('Données projet'!$B$13,Paramètres!$A$1:$I$89,3,0)*VLOOKUP('Données projet'!$B$13,Paramètres!$A$1:$I$89,5,0)</f>
        <v>1.4897523215040565E-13</v>
      </c>
      <c r="CV126" s="14">
        <f t="shared" si="95"/>
        <v>2.136562777003313E-12</v>
      </c>
      <c r="CW126" s="22">
        <f t="shared" si="67"/>
        <v>3.9806453659427267E-12</v>
      </c>
      <c r="CX126" s="62">
        <f t="shared" si="68"/>
        <v>282.68227981685465</v>
      </c>
      <c r="CY126" s="62">
        <f ca="1">AVERAGE(OFFSET($CX$3,0,0,'Données projet'!$E$13+1,1))-AVERAGE(OFFSET($H$3,0,0,'Données projet'!$E$13+1,1))</f>
        <v>304.35088214287919</v>
      </c>
      <c r="CZ126" s="62">
        <f t="shared" si="96"/>
        <v>288.72611053217599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6.5620042732916778E-14</v>
      </c>
      <c r="DQ126" s="14">
        <f t="shared" si="97"/>
        <v>1.0353460337118015E-12</v>
      </c>
      <c r="DR126" s="22">
        <f t="shared" si="70"/>
        <v>1.9175159164745509E-12</v>
      </c>
      <c r="DS126" s="62">
        <f t="shared" si="71"/>
        <v>282.6822798168526</v>
      </c>
      <c r="DT126" s="62">
        <f ca="1">AVERAGE(OFFSET($DS$3,0,0,'Données projet'!$E$14+1,1))-AVERAGE(OFFSET($H$3,0,0,'Données projet'!$E$14+1,1))</f>
        <v>172.86120068224633</v>
      </c>
      <c r="DU126" s="62">
        <f t="shared" si="98"/>
        <v>269.4995727085078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2.4</v>
      </c>
      <c r="EJ126" s="13">
        <f>IF('Données projet'!$A$192&gt;35,EJ125+EI126-ER125,IF(A126&lt;'Données projet'!$A$192,$EG$205^A126,IF(A126='Données projet'!$A$192,'Données projet'!$B$192,EJ125+EI126-ER125)))</f>
        <v>227.20000000000016</v>
      </c>
      <c r="EK126" s="18">
        <f>EJ126*VLOOKUP('Données projet'!$B$15,Paramètres!$A$1:$I$89,3,0)*VLOOKUP('Données projet'!$B$15,Paramètres!$A$1:$I$89,5,0)</f>
        <v>191.39328000000015</v>
      </c>
      <c r="EL126" s="14">
        <f t="shared" si="99"/>
        <v>47.847856170442995</v>
      </c>
      <c r="EM126" s="22">
        <f t="shared" si="73"/>
        <v>416.67831216352187</v>
      </c>
      <c r="EN126" s="62">
        <f t="shared" si="74"/>
        <v>699.36059198037253</v>
      </c>
      <c r="EO126" s="62">
        <f ca="1">AVERAGE(OFFSET($EN$3,0,0,'Données projet'!$E$15+1,1))-AVERAGE(OFFSET($H$3,0,0,'Données projet'!$E$15+1,1))</f>
        <v>346.97972840139914</v>
      </c>
      <c r="EP126" s="62">
        <f t="shared" si="100"/>
        <v>158.41433650660613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-1.1368683772161603E-13</v>
      </c>
      <c r="FF126" s="18">
        <f>FE126*VLOOKUP('Données projet'!$B$16,Paramètres!$A$1:$I$89,3,0)*VLOOKUP('Données projet'!$B$16,Paramètres!$A$1:$I$89,5,0)</f>
        <v>-7.4487616075202823E-14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235.88453308732235</v>
      </c>
      <c r="FK126" s="62">
        <f t="shared" si="102"/>
        <v>220.72810812053521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236.54591999999957</v>
      </c>
      <c r="P127" s="14">
        <f t="shared" si="87"/>
        <v>57.695742501250926</v>
      </c>
      <c r="Q127" s="22">
        <f t="shared" si="107"/>
        <v>512.47089552301134</v>
      </c>
      <c r="R127" s="62">
        <f t="shared" si="55"/>
        <v>795.33794730618467</v>
      </c>
      <c r="S127" s="62">
        <f ca="1">AVERAGE(OFFSET($R$3,0,0,'Données projet'!$E$9+1,1))-AVERAGE(OFFSET($H$3,0,0,'Données projet'!$E$9+1,1))</f>
        <v>442.98179778678298</v>
      </c>
      <c r="T127" s="62">
        <f t="shared" si="88"/>
        <v>251.96153561746942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1.4897523215040565E-13</v>
      </c>
      <c r="AK127" s="14">
        <f t="shared" si="89"/>
        <v>2.136562777003313E-12</v>
      </c>
      <c r="AL127" s="22">
        <f t="shared" si="58"/>
        <v>3.9806453659427267E-12</v>
      </c>
      <c r="AM127" s="62">
        <f t="shared" si="59"/>
        <v>282.86705178317732</v>
      </c>
      <c r="AN127" s="62">
        <f ca="1">AVERAGE(OFFSET($AM$3,0,0,'Données projet'!$E$10+1,1))-AVERAGE(OFFSET($H$3,0,0,'Données projet'!$E$10+1,1))</f>
        <v>304.35088214287919</v>
      </c>
      <c r="AO127" s="62">
        <f t="shared" si="90"/>
        <v>288.72611053217599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3.6357050703372803E-14</v>
      </c>
      <c r="BF127" s="14">
        <f t="shared" si="91"/>
        <v>6.1445232567661395E-13</v>
      </c>
      <c r="BG127" s="22">
        <f t="shared" si="61"/>
        <v>1.1334929971951436E-12</v>
      </c>
      <c r="BH127" s="62">
        <f t="shared" si="62"/>
        <v>282.86705178317447</v>
      </c>
      <c r="BI127" s="62">
        <f ca="1">AVERAGE(OFFSET($BH$3,0,0,'Données projet'!$E$11+1,1))-AVERAGE(OFFSET($H$3,0,0,'Données projet'!$E$11+1,1))</f>
        <v>285.09561428624352</v>
      </c>
      <c r="BJ127" s="62">
        <f t="shared" si="92"/>
        <v>261.05678516705564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-9.2222762759774927E-14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272.69564942740931</v>
      </c>
      <c r="CE127" s="62">
        <f t="shared" si="94"/>
        <v>316.57989180609252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2.2737367544323206E-13</v>
      </c>
      <c r="CU127" s="18">
        <f>CT127*VLOOKUP('Données projet'!$B$13,Paramètres!$A$1:$I$89,3,0)*VLOOKUP('Données projet'!$B$13,Paramètres!$A$1:$I$89,5,0)</f>
        <v>1.4897523215040565E-13</v>
      </c>
      <c r="CV127" s="14">
        <f t="shared" si="95"/>
        <v>2.136562777003313E-12</v>
      </c>
      <c r="CW127" s="22">
        <f t="shared" si="67"/>
        <v>3.9806453659427267E-12</v>
      </c>
      <c r="CX127" s="62">
        <f t="shared" si="68"/>
        <v>282.86705178317732</v>
      </c>
      <c r="CY127" s="62">
        <f ca="1">AVERAGE(OFFSET($CX$3,0,0,'Données projet'!$E$13+1,1))-AVERAGE(OFFSET($H$3,0,0,'Données projet'!$E$13+1,1))</f>
        <v>304.35088214287919</v>
      </c>
      <c r="CZ127" s="62">
        <f t="shared" si="96"/>
        <v>288.72611053217599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6.5620042732916778E-14</v>
      </c>
      <c r="DQ127" s="14">
        <f t="shared" si="97"/>
        <v>1.0353460337118015E-12</v>
      </c>
      <c r="DR127" s="22">
        <f t="shared" si="70"/>
        <v>1.9175159164745509E-12</v>
      </c>
      <c r="DS127" s="62">
        <f t="shared" si="71"/>
        <v>282.86705178317527</v>
      </c>
      <c r="DT127" s="62">
        <f ca="1">AVERAGE(OFFSET($DS$3,0,0,'Données projet'!$E$14+1,1))-AVERAGE(OFFSET($H$3,0,0,'Données projet'!$E$14+1,1))</f>
        <v>172.86120068224633</v>
      </c>
      <c r="DU127" s="62">
        <f t="shared" si="98"/>
        <v>269.4995727085078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2.4</v>
      </c>
      <c r="EJ127" s="13">
        <f>IF('Données projet'!$A$192&gt;35,EJ126+EI127-ER126,IF(A127&lt;'Données projet'!$A$192,$EG$205^A127,IF(A127='Données projet'!$A$192,'Données projet'!$B$192,EJ126+EI127-ER126)))</f>
        <v>229.60000000000016</v>
      </c>
      <c r="EK127" s="18">
        <f>EJ127*VLOOKUP('Données projet'!$B$15,Paramètres!$A$1:$I$89,3,0)*VLOOKUP('Données projet'!$B$15,Paramètres!$A$1:$I$89,5,0)</f>
        <v>193.41504000000015</v>
      </c>
      <c r="EL127" s="14">
        <f t="shared" si="99"/>
        <v>48.294185132315114</v>
      </c>
      <c r="EM127" s="22">
        <f t="shared" si="73"/>
        <v>420.97690043878237</v>
      </c>
      <c r="EN127" s="62">
        <f t="shared" si="74"/>
        <v>703.84395222195576</v>
      </c>
      <c r="EO127" s="62">
        <f ca="1">AVERAGE(OFFSET($EN$3,0,0,'Données projet'!$E$15+1,1))-AVERAGE(OFFSET($H$3,0,0,'Données projet'!$E$15+1,1))</f>
        <v>346.97972840139914</v>
      </c>
      <c r="EP127" s="62">
        <f t="shared" si="100"/>
        <v>158.41433650660613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-1.1368683772161603E-13</v>
      </c>
      <c r="FF127" s="18">
        <f>FE127*VLOOKUP('Données projet'!$B$16,Paramètres!$A$1:$I$89,3,0)*VLOOKUP('Données projet'!$B$16,Paramètres!$A$1:$I$89,5,0)</f>
        <v>-7.4487616075202823E-14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235.88453308732235</v>
      </c>
      <c r="FK127" s="62">
        <f t="shared" si="102"/>
        <v>220.72810812053521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239.24159999999955</v>
      </c>
      <c r="P128" s="14">
        <f t="shared" si="87"/>
        <v>58.276326982845731</v>
      </c>
      <c r="Q128" s="22">
        <f t="shared" si="107"/>
        <v>518.17705616178876</v>
      </c>
      <c r="R128" s="62">
        <f t="shared" si="55"/>
        <v>801.22567453075726</v>
      </c>
      <c r="S128" s="62">
        <f ca="1">AVERAGE(OFFSET($R$3,0,0,'Données projet'!$E$9+1,1))-AVERAGE(OFFSET($H$3,0,0,'Données projet'!$E$9+1,1))</f>
        <v>442.98179778678298</v>
      </c>
      <c r="T128" s="62">
        <f t="shared" si="88"/>
        <v>251.96153561746942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1.4897523215040565E-13</v>
      </c>
      <c r="AK128" s="14">
        <f t="shared" si="89"/>
        <v>2.136562777003313E-12</v>
      </c>
      <c r="AL128" s="22">
        <f t="shared" si="58"/>
        <v>3.9806453659427267E-12</v>
      </c>
      <c r="AM128" s="62">
        <f t="shared" si="59"/>
        <v>283.04861836897248</v>
      </c>
      <c r="AN128" s="62">
        <f ca="1">AVERAGE(OFFSET($AM$3,0,0,'Données projet'!$E$10+1,1))-AVERAGE(OFFSET($H$3,0,0,'Données projet'!$E$10+1,1))</f>
        <v>304.35088214287919</v>
      </c>
      <c r="AO128" s="62">
        <f t="shared" si="90"/>
        <v>288.72611053217599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3.6357050703372803E-14</v>
      </c>
      <c r="BF128" s="14">
        <f t="shared" si="91"/>
        <v>6.1445232567661395E-13</v>
      </c>
      <c r="BG128" s="22">
        <f t="shared" si="61"/>
        <v>1.1334929971951436E-12</v>
      </c>
      <c r="BH128" s="62">
        <f t="shared" si="62"/>
        <v>283.04861836896964</v>
      </c>
      <c r="BI128" s="62">
        <f ca="1">AVERAGE(OFFSET($BH$3,0,0,'Données projet'!$E$11+1,1))-AVERAGE(OFFSET($H$3,0,0,'Données projet'!$E$11+1,1))</f>
        <v>285.09561428624352</v>
      </c>
      <c r="BJ128" s="62">
        <f t="shared" si="92"/>
        <v>261.05678516705564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-9.2222762759774927E-14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272.69564942740931</v>
      </c>
      <c r="CE128" s="62">
        <f t="shared" si="94"/>
        <v>316.57989180609252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2.2737367544323206E-13</v>
      </c>
      <c r="CU128" s="18">
        <f>CT128*VLOOKUP('Données projet'!$B$13,Paramètres!$A$1:$I$89,3,0)*VLOOKUP('Données projet'!$B$13,Paramètres!$A$1:$I$89,5,0)</f>
        <v>1.4897523215040565E-13</v>
      </c>
      <c r="CV128" s="14">
        <f t="shared" si="95"/>
        <v>2.136562777003313E-12</v>
      </c>
      <c r="CW128" s="22">
        <f t="shared" si="67"/>
        <v>3.9806453659427267E-12</v>
      </c>
      <c r="CX128" s="62">
        <f t="shared" si="68"/>
        <v>283.04861836897248</v>
      </c>
      <c r="CY128" s="62">
        <f ca="1">AVERAGE(OFFSET($CX$3,0,0,'Données projet'!$E$13+1,1))-AVERAGE(OFFSET($H$3,0,0,'Données projet'!$E$13+1,1))</f>
        <v>304.35088214287919</v>
      </c>
      <c r="CZ128" s="62">
        <f t="shared" si="96"/>
        <v>288.72611053217599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6.5620042732916778E-14</v>
      </c>
      <c r="DQ128" s="14">
        <f t="shared" si="97"/>
        <v>1.0353460337118015E-12</v>
      </c>
      <c r="DR128" s="22">
        <f t="shared" si="70"/>
        <v>1.9175159164745509E-12</v>
      </c>
      <c r="DS128" s="62">
        <f t="shared" si="71"/>
        <v>283.04861836897044</v>
      </c>
      <c r="DT128" s="62">
        <f ca="1">AVERAGE(OFFSET($DS$3,0,0,'Données projet'!$E$14+1,1))-AVERAGE(OFFSET($H$3,0,0,'Données projet'!$E$14+1,1))</f>
        <v>172.86120068224633</v>
      </c>
      <c r="DU128" s="62">
        <f t="shared" si="98"/>
        <v>269.4995727085078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>
        <f>VLOOKUP(A128,'Données projet'!$A$191:$I$211,2,0)</f>
        <v>232</v>
      </c>
      <c r="EH128" s="13">
        <f>VLOOKUP(A128,'Données projet'!$A$191:$I$211,9,0)</f>
        <v>2.4</v>
      </c>
      <c r="EI128" s="13">
        <f t="array" ref="EI128">INDEX(EH:EH,MIN(IF(ISNUMBER(EH128:EH324),ROW(EH128:EH324),"")))</f>
        <v>2.4</v>
      </c>
      <c r="EJ128" s="13">
        <f>IF('Données projet'!$A$192&gt;35,EJ127+EI128-ER127,IF(A128&lt;'Données projet'!$A$192,$EG$205^A128,IF(A128='Données projet'!$A$192,'Données projet'!$B$192,EJ127+EI128-ER127)))</f>
        <v>232.00000000000017</v>
      </c>
      <c r="EK128" s="18">
        <f>EJ128*VLOOKUP('Données projet'!$B$15,Paramètres!$A$1:$I$89,3,0)*VLOOKUP('Données projet'!$B$15,Paramètres!$A$1:$I$89,5,0)</f>
        <v>195.43680000000018</v>
      </c>
      <c r="EL128" s="14">
        <f t="shared" si="99"/>
        <v>48.739971354487892</v>
      </c>
      <c r="EM128" s="22">
        <f t="shared" si="73"/>
        <v>425.27454344240005</v>
      </c>
      <c r="EN128" s="62">
        <f t="shared" si="74"/>
        <v>708.32316181136855</v>
      </c>
      <c r="EO128" s="62">
        <f ca="1">AVERAGE(OFFSET($EN$3,0,0,'Données projet'!$E$15+1,1))-AVERAGE(OFFSET($H$3,0,0,'Données projet'!$E$15+1,1))</f>
        <v>346.97972840139914</v>
      </c>
      <c r="EP128" s="62">
        <f t="shared" si="100"/>
        <v>158.41433650660613</v>
      </c>
      <c r="EQ128" s="16">
        <f>IF(ISNA(VLOOKUP(A128,'Données projet'!$A$191:$I$211,3,0)),0,VLOOKUP(A128,'Données projet'!$A$191:$I$211,3,0))</f>
        <v>10</v>
      </c>
      <c r="ER128" s="16">
        <f>IF(ISNA(VLOOKUP(A128,'Données projet'!$A$191:$I$211,4,0)),0,VLOOKUP(A128,'Données projet'!$A$191:$I$211,4,0))</f>
        <v>23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-1.1368683772161603E-13</v>
      </c>
      <c r="FF128" s="18">
        <f>FE128*VLOOKUP('Données projet'!$B$16,Paramètres!$A$1:$I$89,3,0)*VLOOKUP('Données projet'!$B$16,Paramètres!$A$1:$I$89,5,0)</f>
        <v>-7.4487616075202823E-14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235.88453308732235</v>
      </c>
      <c r="FK128" s="62">
        <f t="shared" si="102"/>
        <v>220.72810812053521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241.93727999999956</v>
      </c>
      <c r="P129" s="14">
        <f t="shared" si="87"/>
        <v>58.85615048137516</v>
      </c>
      <c r="Q129" s="22">
        <f t="shared" si="107"/>
        <v>523.88189142172769</v>
      </c>
      <c r="R129" s="62">
        <f t="shared" si="55"/>
        <v>807.10892660214995</v>
      </c>
      <c r="S129" s="62">
        <f ca="1">AVERAGE(OFFSET($R$3,0,0,'Données projet'!$E$9+1,1))-AVERAGE(OFFSET($H$3,0,0,'Données projet'!$E$9+1,1))</f>
        <v>442.98179778678298</v>
      </c>
      <c r="T129" s="62">
        <f t="shared" si="88"/>
        <v>251.96153561746942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1.4897523215040565E-13</v>
      </c>
      <c r="AK129" s="14">
        <f t="shared" si="89"/>
        <v>2.136562777003313E-12</v>
      </c>
      <c r="AL129" s="22">
        <f t="shared" si="58"/>
        <v>3.9806453659427267E-12</v>
      </c>
      <c r="AM129" s="62">
        <f t="shared" si="59"/>
        <v>283.22703518042618</v>
      </c>
      <c r="AN129" s="62">
        <f ca="1">AVERAGE(OFFSET($AM$3,0,0,'Données projet'!$E$10+1,1))-AVERAGE(OFFSET($H$3,0,0,'Données projet'!$E$10+1,1))</f>
        <v>304.35088214287919</v>
      </c>
      <c r="AO129" s="62">
        <f t="shared" si="90"/>
        <v>288.72611053217599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3.6357050703372803E-14</v>
      </c>
      <c r="BF129" s="14">
        <f t="shared" si="91"/>
        <v>6.1445232567661395E-13</v>
      </c>
      <c r="BG129" s="22">
        <f t="shared" si="61"/>
        <v>1.1334929971951436E-12</v>
      </c>
      <c r="BH129" s="62">
        <f t="shared" si="62"/>
        <v>283.22703518042334</v>
      </c>
      <c r="BI129" s="62">
        <f ca="1">AVERAGE(OFFSET($BH$3,0,0,'Données projet'!$E$11+1,1))-AVERAGE(OFFSET($H$3,0,0,'Données projet'!$E$11+1,1))</f>
        <v>285.09561428624352</v>
      </c>
      <c r="BJ129" s="62">
        <f t="shared" si="92"/>
        <v>261.05678516705564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-9.2222762759774927E-14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272.69564942740931</v>
      </c>
      <c r="CE129" s="62">
        <f t="shared" si="94"/>
        <v>316.57989180609252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2.2737367544323206E-13</v>
      </c>
      <c r="CU129" s="18">
        <f>CT129*VLOOKUP('Données projet'!$B$13,Paramètres!$A$1:$I$89,3,0)*VLOOKUP('Données projet'!$B$13,Paramètres!$A$1:$I$89,5,0)</f>
        <v>1.4897523215040565E-13</v>
      </c>
      <c r="CV129" s="14">
        <f t="shared" si="95"/>
        <v>2.136562777003313E-12</v>
      </c>
      <c r="CW129" s="22">
        <f t="shared" si="67"/>
        <v>3.9806453659427267E-12</v>
      </c>
      <c r="CX129" s="62">
        <f t="shared" si="68"/>
        <v>283.22703518042618</v>
      </c>
      <c r="CY129" s="62">
        <f ca="1">AVERAGE(OFFSET($CX$3,0,0,'Données projet'!$E$13+1,1))-AVERAGE(OFFSET($H$3,0,0,'Données projet'!$E$13+1,1))</f>
        <v>304.35088214287919</v>
      </c>
      <c r="CZ129" s="62">
        <f t="shared" si="96"/>
        <v>288.72611053217599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6.5620042732916778E-14</v>
      </c>
      <c r="DQ129" s="14">
        <f t="shared" si="97"/>
        <v>1.0353460337118015E-12</v>
      </c>
      <c r="DR129" s="22">
        <f t="shared" si="70"/>
        <v>1.9175159164745509E-12</v>
      </c>
      <c r="DS129" s="62">
        <f t="shared" si="71"/>
        <v>283.22703518042414</v>
      </c>
      <c r="DT129" s="62">
        <f ca="1">AVERAGE(OFFSET($DS$3,0,0,'Données projet'!$E$14+1,1))-AVERAGE(OFFSET($H$3,0,0,'Données projet'!$E$14+1,1))</f>
        <v>172.86120068224633</v>
      </c>
      <c r="DU129" s="62">
        <f t="shared" si="98"/>
        <v>269.4995727085078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2</v>
      </c>
      <c r="EJ129" s="13">
        <f>IF('Données projet'!$A$192&gt;35,EJ128+EI129-ER128,IF(A129&lt;'Données projet'!$A$192,$EG$205^A129,IF(A129='Données projet'!$A$192,'Données projet'!$B$192,EJ128+EI129-ER128)))</f>
        <v>211.00000000000017</v>
      </c>
      <c r="EK129" s="18">
        <f>EJ129*VLOOKUP('Données projet'!$B$15,Paramètres!$A$1:$I$89,3,0)*VLOOKUP('Données projet'!$B$15,Paramètres!$A$1:$I$89,5,0)</f>
        <v>177.74640000000016</v>
      </c>
      <c r="EL129" s="14">
        <f t="shared" si="99"/>
        <v>44.820434632332528</v>
      </c>
      <c r="EM129" s="22">
        <f t="shared" si="73"/>
        <v>387.63723698464611</v>
      </c>
      <c r="EN129" s="62">
        <f t="shared" si="74"/>
        <v>670.86427216506831</v>
      </c>
      <c r="EO129" s="62">
        <f ca="1">AVERAGE(OFFSET($EN$3,0,0,'Données projet'!$E$15+1,1))-AVERAGE(OFFSET($H$3,0,0,'Données projet'!$E$15+1,1))</f>
        <v>346.97972840139914</v>
      </c>
      <c r="EP129" s="62">
        <f t="shared" si="100"/>
        <v>158.41433650660613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-1.1368683772161603E-13</v>
      </c>
      <c r="FF129" s="18">
        <f>FE129*VLOOKUP('Données projet'!$B$16,Paramètres!$A$1:$I$89,3,0)*VLOOKUP('Données projet'!$B$16,Paramètres!$A$1:$I$89,5,0)</f>
        <v>-7.4487616075202823E-14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235.88453308732235</v>
      </c>
      <c r="FK129" s="62">
        <f t="shared" si="102"/>
        <v>220.72810812053521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244.63295999999951</v>
      </c>
      <c r="P130" s="14">
        <f t="shared" si="87"/>
        <v>59.435222456963182</v>
      </c>
      <c r="Q130" s="22">
        <f t="shared" si="107"/>
        <v>529.58541777920993</v>
      </c>
      <c r="R130" s="62">
        <f t="shared" si="55"/>
        <v>812.98777463828742</v>
      </c>
      <c r="S130" s="62">
        <f ca="1">AVERAGE(OFFSET($R$3,0,0,'Données projet'!$E$9+1,1))-AVERAGE(OFFSET($H$3,0,0,'Données projet'!$E$9+1,1))</f>
        <v>442.98179778678298</v>
      </c>
      <c r="T130" s="62">
        <f t="shared" si="88"/>
        <v>251.96153561746942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1.4897523215040565E-13</v>
      </c>
      <c r="AK130" s="14">
        <f t="shared" si="89"/>
        <v>2.136562777003313E-12</v>
      </c>
      <c r="AL130" s="22">
        <f t="shared" si="58"/>
        <v>3.9806453659427267E-12</v>
      </c>
      <c r="AM130" s="62">
        <f t="shared" si="59"/>
        <v>283.40235685908141</v>
      </c>
      <c r="AN130" s="62">
        <f ca="1">AVERAGE(OFFSET($AM$3,0,0,'Données projet'!$E$10+1,1))-AVERAGE(OFFSET($H$3,0,0,'Données projet'!$E$10+1,1))</f>
        <v>304.35088214287919</v>
      </c>
      <c r="AO130" s="62">
        <f t="shared" si="90"/>
        <v>288.72611053217599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3.6357050703372803E-14</v>
      </c>
      <c r="BF130" s="14">
        <f t="shared" si="91"/>
        <v>6.1445232567661395E-13</v>
      </c>
      <c r="BG130" s="22">
        <f t="shared" si="61"/>
        <v>1.1334929971951436E-12</v>
      </c>
      <c r="BH130" s="62">
        <f t="shared" si="62"/>
        <v>283.40235685907857</v>
      </c>
      <c r="BI130" s="62">
        <f ca="1">AVERAGE(OFFSET($BH$3,0,0,'Données projet'!$E$11+1,1))-AVERAGE(OFFSET($H$3,0,0,'Données projet'!$E$11+1,1))</f>
        <v>285.09561428624352</v>
      </c>
      <c r="BJ130" s="62">
        <f t="shared" si="92"/>
        <v>261.05678516705564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-9.2222762759774927E-14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272.69564942740931</v>
      </c>
      <c r="CE130" s="62">
        <f t="shared" si="94"/>
        <v>316.57989180609252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2.2737367544323206E-13</v>
      </c>
      <c r="CU130" s="18">
        <f>CT130*VLOOKUP('Données projet'!$B$13,Paramètres!$A$1:$I$89,3,0)*VLOOKUP('Données projet'!$B$13,Paramètres!$A$1:$I$89,5,0)</f>
        <v>1.4897523215040565E-13</v>
      </c>
      <c r="CV130" s="14">
        <f t="shared" si="95"/>
        <v>2.136562777003313E-12</v>
      </c>
      <c r="CW130" s="22">
        <f t="shared" si="67"/>
        <v>3.9806453659427267E-12</v>
      </c>
      <c r="CX130" s="62">
        <f t="shared" si="68"/>
        <v>283.40235685908141</v>
      </c>
      <c r="CY130" s="62">
        <f ca="1">AVERAGE(OFFSET($CX$3,0,0,'Données projet'!$E$13+1,1))-AVERAGE(OFFSET($H$3,0,0,'Données projet'!$E$13+1,1))</f>
        <v>304.35088214287919</v>
      </c>
      <c r="CZ130" s="62">
        <f t="shared" si="96"/>
        <v>288.72611053217599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6.5620042732916778E-14</v>
      </c>
      <c r="DQ130" s="14">
        <f t="shared" si="97"/>
        <v>1.0353460337118015E-12</v>
      </c>
      <c r="DR130" s="22">
        <f t="shared" si="70"/>
        <v>1.9175159164745509E-12</v>
      </c>
      <c r="DS130" s="62">
        <f t="shared" si="71"/>
        <v>283.40235685907936</v>
      </c>
      <c r="DT130" s="62">
        <f ca="1">AVERAGE(OFFSET($DS$3,0,0,'Données projet'!$E$14+1,1))-AVERAGE(OFFSET($H$3,0,0,'Données projet'!$E$14+1,1))</f>
        <v>172.86120068224633</v>
      </c>
      <c r="DU130" s="62">
        <f t="shared" si="98"/>
        <v>269.4995727085078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2</v>
      </c>
      <c r="EJ130" s="13">
        <f>IF('Données projet'!$A$192&gt;35,EJ129+EI130-ER129,IF(A130&lt;'Données projet'!$A$192,$EG$205^A130,IF(A130='Données projet'!$A$192,'Données projet'!$B$192,EJ129+EI130-ER129)))</f>
        <v>213.00000000000017</v>
      </c>
      <c r="EK130" s="18">
        <f>EJ130*VLOOKUP('Données projet'!$B$15,Paramètres!$A$1:$I$89,3,0)*VLOOKUP('Données projet'!$B$15,Paramètres!$A$1:$I$89,5,0)</f>
        <v>179.43120000000016</v>
      </c>
      <c r="EL130" s="14">
        <f t="shared" si="99"/>
        <v>45.195615345060403</v>
      </c>
      <c r="EM130" s="22">
        <f t="shared" si="73"/>
        <v>391.22503672598037</v>
      </c>
      <c r="EN130" s="62">
        <f t="shared" si="74"/>
        <v>674.6273935850578</v>
      </c>
      <c r="EO130" s="62">
        <f ca="1">AVERAGE(OFFSET($EN$3,0,0,'Données projet'!$E$15+1,1))-AVERAGE(OFFSET($H$3,0,0,'Données projet'!$E$15+1,1))</f>
        <v>346.97972840139914</v>
      </c>
      <c r="EP130" s="62">
        <f t="shared" si="100"/>
        <v>158.41433650660613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-1.1368683772161603E-13</v>
      </c>
      <c r="FF130" s="18">
        <f>FE130*VLOOKUP('Données projet'!$B$16,Paramètres!$A$1:$I$89,3,0)*VLOOKUP('Données projet'!$B$16,Paramètres!$A$1:$I$89,5,0)</f>
        <v>-7.4487616075202823E-14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235.88453308732235</v>
      </c>
      <c r="FK130" s="62">
        <f t="shared" si="102"/>
        <v>220.72810812053521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247.32863999999952</v>
      </c>
      <c r="P131" s="14">
        <f t="shared" si="87"/>
        <v>60.013552149240361</v>
      </c>
      <c r="Q131" s="22">
        <f t="shared" ref="Q131:Q153" si="108">(O131+P131)*0.475*44/12</f>
        <v>535.28765132659282</v>
      </c>
      <c r="R131" s="62">
        <f t="shared" ref="R131:R194" si="109">Q131+(I131+J131)*44/12</f>
        <v>818.8622884251613</v>
      </c>
      <c r="S131" s="62">
        <f ca="1">AVERAGE(OFFSET($R$3,0,0,'Données projet'!$E$9+1,1))-AVERAGE(OFFSET($H$3,0,0,'Données projet'!$E$9+1,1))</f>
        <v>442.98179778678298</v>
      </c>
      <c r="T131" s="62">
        <f t="shared" si="88"/>
        <v>251.96153561746942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1.4897523215040565E-13</v>
      </c>
      <c r="AK131" s="14">
        <f t="shared" si="89"/>
        <v>2.136562777003313E-12</v>
      </c>
      <c r="AL131" s="22">
        <f t="shared" si="58"/>
        <v>3.9806453659427267E-12</v>
      </c>
      <c r="AM131" s="62">
        <f t="shared" si="59"/>
        <v>283.57463709857251</v>
      </c>
      <c r="AN131" s="62">
        <f ca="1">AVERAGE(OFFSET($AM$3,0,0,'Données projet'!$E$10+1,1))-AVERAGE(OFFSET($H$3,0,0,'Données projet'!$E$10+1,1))</f>
        <v>304.35088214287919</v>
      </c>
      <c r="AO131" s="62">
        <f t="shared" si="90"/>
        <v>288.72611053217599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3.6357050703372803E-14</v>
      </c>
      <c r="BF131" s="14">
        <f t="shared" si="91"/>
        <v>6.1445232567661395E-13</v>
      </c>
      <c r="BG131" s="22">
        <f t="shared" si="61"/>
        <v>1.1334929971951436E-12</v>
      </c>
      <c r="BH131" s="62">
        <f t="shared" si="62"/>
        <v>283.57463709856967</v>
      </c>
      <c r="BI131" s="62">
        <f ca="1">AVERAGE(OFFSET($BH$3,0,0,'Données projet'!$E$11+1,1))-AVERAGE(OFFSET($H$3,0,0,'Données projet'!$E$11+1,1))</f>
        <v>285.09561428624352</v>
      </c>
      <c r="BJ131" s="62">
        <f t="shared" si="92"/>
        <v>261.05678516705564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-9.2222762759774927E-14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272.69564942740931</v>
      </c>
      <c r="CE131" s="62">
        <f t="shared" si="94"/>
        <v>316.57989180609252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2.2737367544323206E-13</v>
      </c>
      <c r="CU131" s="18">
        <f>CT131*VLOOKUP('Données projet'!$B$13,Paramètres!$A$1:$I$89,3,0)*VLOOKUP('Données projet'!$B$13,Paramètres!$A$1:$I$89,5,0)</f>
        <v>1.4897523215040565E-13</v>
      </c>
      <c r="CV131" s="14">
        <f t="shared" si="95"/>
        <v>2.136562777003313E-12</v>
      </c>
      <c r="CW131" s="22">
        <f t="shared" si="67"/>
        <v>3.9806453659427267E-12</v>
      </c>
      <c r="CX131" s="62">
        <f t="shared" si="68"/>
        <v>283.57463709857251</v>
      </c>
      <c r="CY131" s="62">
        <f ca="1">AVERAGE(OFFSET($CX$3,0,0,'Données projet'!$E$13+1,1))-AVERAGE(OFFSET($H$3,0,0,'Données projet'!$E$13+1,1))</f>
        <v>304.35088214287919</v>
      </c>
      <c r="CZ131" s="62">
        <f t="shared" si="96"/>
        <v>288.72611053217599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6.5620042732916778E-14</v>
      </c>
      <c r="DQ131" s="14">
        <f t="shared" si="97"/>
        <v>1.0353460337118015E-12</v>
      </c>
      <c r="DR131" s="22">
        <f t="shared" si="70"/>
        <v>1.9175159164745509E-12</v>
      </c>
      <c r="DS131" s="62">
        <f t="shared" si="71"/>
        <v>283.57463709857046</v>
      </c>
      <c r="DT131" s="62">
        <f ca="1">AVERAGE(OFFSET($DS$3,0,0,'Données projet'!$E$14+1,1))-AVERAGE(OFFSET($H$3,0,0,'Données projet'!$E$14+1,1))</f>
        <v>172.86120068224633</v>
      </c>
      <c r="DU131" s="62">
        <f t="shared" si="98"/>
        <v>269.4995727085078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2</v>
      </c>
      <c r="EJ131" s="13">
        <f>IF('Données projet'!$A$192&gt;35,EJ130+EI131-ER130,IF(A131&lt;'Données projet'!$A$192,$EG$205^A131,IF(A131='Données projet'!$A$192,'Données projet'!$B$192,EJ130+EI131-ER130)))</f>
        <v>215.00000000000017</v>
      </c>
      <c r="EK131" s="18">
        <f>EJ131*VLOOKUP('Données projet'!$B$15,Paramètres!$A$1:$I$89,3,0)*VLOOKUP('Données projet'!$B$15,Paramètres!$A$1:$I$89,5,0)</f>
        <v>181.11600000000016</v>
      </c>
      <c r="EL131" s="14">
        <f t="shared" si="99"/>
        <v>45.570386218758252</v>
      </c>
      <c r="EM131" s="22">
        <f t="shared" si="73"/>
        <v>394.81212266433749</v>
      </c>
      <c r="EN131" s="62">
        <f t="shared" si="74"/>
        <v>678.38675976290597</v>
      </c>
      <c r="EO131" s="62">
        <f ca="1">AVERAGE(OFFSET($EN$3,0,0,'Données projet'!$E$15+1,1))-AVERAGE(OFFSET($H$3,0,0,'Données projet'!$E$15+1,1))</f>
        <v>346.97972840139914</v>
      </c>
      <c r="EP131" s="62">
        <f t="shared" si="100"/>
        <v>158.41433650660613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-1.1368683772161603E-13</v>
      </c>
      <c r="FF131" s="18">
        <f>FE131*VLOOKUP('Données projet'!$B$16,Paramètres!$A$1:$I$89,3,0)*VLOOKUP('Données projet'!$B$16,Paramètres!$A$1:$I$89,5,0)</f>
        <v>-7.4487616075202823E-14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235.88453308732235</v>
      </c>
      <c r="FK131" s="62">
        <f t="shared" si="102"/>
        <v>220.72810812053521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250.02431999999951</v>
      </c>
      <c r="P132" s="14">
        <f t="shared" si="87"/>
        <v>60.591148584829156</v>
      </c>
      <c r="Q132" s="22">
        <f t="shared" si="108"/>
        <v>540.98860778524329</v>
      </c>
      <c r="R132" s="62">
        <f t="shared" si="109"/>
        <v>824.73253644630859</v>
      </c>
      <c r="S132" s="62">
        <f ca="1">AVERAGE(OFFSET($R$3,0,0,'Données projet'!$E$9+1,1))-AVERAGE(OFFSET($H$3,0,0,'Données projet'!$E$9+1,1))</f>
        <v>442.98179778678298</v>
      </c>
      <c r="T132" s="62">
        <f t="shared" si="88"/>
        <v>251.96153561746942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1.4897523215040565E-13</v>
      </c>
      <c r="AK132" s="14">
        <f t="shared" si="89"/>
        <v>2.136562777003313E-12</v>
      </c>
      <c r="AL132" s="22">
        <f t="shared" ref="AL132:AL153" si="112">(AJ132+AK132)*0.475*44/12</f>
        <v>3.9806453659427267E-12</v>
      </c>
      <c r="AM132" s="62">
        <f t="shared" ref="AM132:AM195" si="113">AL132+(AD132+AE132)*44/12</f>
        <v>283.74392866106933</v>
      </c>
      <c r="AN132" s="62">
        <f ca="1">AVERAGE(OFFSET($AM$3,0,0,'Données projet'!$E$10+1,1))-AVERAGE(OFFSET($H$3,0,0,'Données projet'!$E$10+1,1))</f>
        <v>304.35088214287919</v>
      </c>
      <c r="AO132" s="62">
        <f t="shared" si="90"/>
        <v>288.72611053217599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3.6357050703372803E-14</v>
      </c>
      <c r="BF132" s="14">
        <f t="shared" si="91"/>
        <v>6.1445232567661395E-13</v>
      </c>
      <c r="BG132" s="22">
        <f t="shared" ref="BG132:BG153" si="115">(BE132+BF132)*0.475*44/12</f>
        <v>1.1334929971951436E-12</v>
      </c>
      <c r="BH132" s="62">
        <f t="shared" ref="BH132:BH195" si="116">BG132+(AY132+AZ132)*44/12</f>
        <v>283.74392866106649</v>
      </c>
      <c r="BI132" s="62">
        <f ca="1">AVERAGE(OFFSET($BH$3,0,0,'Données projet'!$E$11+1,1))-AVERAGE(OFFSET($H$3,0,0,'Données projet'!$E$11+1,1))</f>
        <v>285.09561428624352</v>
      </c>
      <c r="BJ132" s="62">
        <f t="shared" si="92"/>
        <v>261.05678516705564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-9.2222762759774927E-14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272.69564942740931</v>
      </c>
      <c r="CE132" s="62">
        <f t="shared" si="94"/>
        <v>316.57989180609252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2.2737367544323206E-13</v>
      </c>
      <c r="CU132" s="18">
        <f>CT132*VLOOKUP('Données projet'!$B$13,Paramètres!$A$1:$I$89,3,0)*VLOOKUP('Données projet'!$B$13,Paramètres!$A$1:$I$89,5,0)</f>
        <v>1.4897523215040565E-13</v>
      </c>
      <c r="CV132" s="14">
        <f t="shared" si="95"/>
        <v>2.136562777003313E-12</v>
      </c>
      <c r="CW132" s="22">
        <f t="shared" ref="CW132:CW153" si="121">(CU132+CV132)*0.475*44/12</f>
        <v>3.9806453659427267E-12</v>
      </c>
      <c r="CX132" s="62">
        <f t="shared" ref="CX132:CX195" si="122">CW132+(CO132+CP132)*44/12</f>
        <v>283.74392866106933</v>
      </c>
      <c r="CY132" s="62">
        <f ca="1">AVERAGE(OFFSET($CX$3,0,0,'Données projet'!$E$13+1,1))-AVERAGE(OFFSET($H$3,0,0,'Données projet'!$E$13+1,1))</f>
        <v>304.35088214287919</v>
      </c>
      <c r="CZ132" s="62">
        <f t="shared" si="96"/>
        <v>288.72611053217599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6.5620042732916778E-14</v>
      </c>
      <c r="DQ132" s="14">
        <f t="shared" si="97"/>
        <v>1.0353460337118015E-12</v>
      </c>
      <c r="DR132" s="22">
        <f t="shared" ref="DR132:DR153" si="124">(DP132+DQ132)*0.475*44/12</f>
        <v>1.9175159164745509E-12</v>
      </c>
      <c r="DS132" s="62">
        <f t="shared" ref="DS132:DS195" si="125">DR132+(DJ132+DK132)*44/12</f>
        <v>283.74392866106729</v>
      </c>
      <c r="DT132" s="62">
        <f ca="1">AVERAGE(OFFSET($DS$3,0,0,'Données projet'!$E$14+1,1))-AVERAGE(OFFSET($H$3,0,0,'Données projet'!$E$14+1,1))</f>
        <v>172.86120068224633</v>
      </c>
      <c r="DU132" s="62">
        <f t="shared" si="98"/>
        <v>269.4995727085078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2</v>
      </c>
      <c r="EJ132" s="13">
        <f>IF('Données projet'!$A$192&gt;35,EJ131+EI132-ER131,IF(A132&lt;'Données projet'!$A$192,$EG$205^A132,IF(A132='Données projet'!$A$192,'Données projet'!$B$192,EJ131+EI132-ER131)))</f>
        <v>217.00000000000017</v>
      </c>
      <c r="EK132" s="18">
        <f>EJ132*VLOOKUP('Données projet'!$B$15,Paramètres!$A$1:$I$89,3,0)*VLOOKUP('Données projet'!$B$15,Paramètres!$A$1:$I$89,5,0)</f>
        <v>182.80080000000018</v>
      </c>
      <c r="EL132" s="14">
        <f t="shared" si="99"/>
        <v>45.944751507471736</v>
      </c>
      <c r="EM132" s="22">
        <f t="shared" ref="EM132:EM153" si="127">(EK132+EL132)*0.475*44/12</f>
        <v>398.39850220884699</v>
      </c>
      <c r="EN132" s="62">
        <f t="shared" ref="EN132:EN195" si="128">EM132+(EE132+EF132)*44/12</f>
        <v>682.14243086991235</v>
      </c>
      <c r="EO132" s="62">
        <f ca="1">AVERAGE(OFFSET($EN$3,0,0,'Données projet'!$E$15+1,1))-AVERAGE(OFFSET($H$3,0,0,'Données projet'!$E$15+1,1))</f>
        <v>346.97972840139914</v>
      </c>
      <c r="EP132" s="62">
        <f t="shared" si="100"/>
        <v>158.41433650660613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-1.1368683772161603E-13</v>
      </c>
      <c r="FF132" s="18">
        <f>FE132*VLOOKUP('Données projet'!$B$16,Paramètres!$A$1:$I$89,3,0)*VLOOKUP('Données projet'!$B$16,Paramètres!$A$1:$I$89,5,0)</f>
        <v>-7.4487616075202823E-14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235.88453308732235</v>
      </c>
      <c r="FK132" s="62">
        <f t="shared" si="102"/>
        <v>220.72810812053521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252.71999999999949</v>
      </c>
      <c r="P133" s="14">
        <f t="shared" ref="P133:P196" si="141">EXP(-1.0587+0.8836*LN(O133)+0.284)</f>
        <v>61.168020584496766</v>
      </c>
      <c r="Q133" s="22">
        <f t="shared" si="108"/>
        <v>546.68830251799761</v>
      </c>
      <c r="R133" s="62">
        <f t="shared" si="109"/>
        <v>830.59858591142972</v>
      </c>
      <c r="S133" s="62">
        <f ca="1">AVERAGE(OFFSET($R$3,0,0,'Données projet'!$E$9+1,1))-AVERAGE(OFFSET($H$3,0,0,'Données projet'!$E$9+1,1))</f>
        <v>442.98179778678298</v>
      </c>
      <c r="T133" s="62">
        <f t="shared" ref="T133:T196" si="142">$T$3</f>
        <v>251.96153561746942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1.4897523215040565E-13</v>
      </c>
      <c r="AK133" s="14">
        <f t="shared" ref="AK133:AK153" si="143">EXP(-1.0587+0.8836*LN(AJ133)+0.284)</f>
        <v>2.136562777003313E-12</v>
      </c>
      <c r="AL133" s="22">
        <f t="shared" si="112"/>
        <v>3.9806453659427267E-12</v>
      </c>
      <c r="AM133" s="62">
        <f t="shared" si="113"/>
        <v>283.91028339343609</v>
      </c>
      <c r="AN133" s="62">
        <f ca="1">AVERAGE(OFFSET($AM$3,0,0,'Données projet'!$E$10+1,1))-AVERAGE(OFFSET($H$3,0,0,'Données projet'!$E$10+1,1))</f>
        <v>304.35088214287919</v>
      </c>
      <c r="AO133" s="62">
        <f t="shared" ref="AO133:AO196" si="144">$AO$3</f>
        <v>288.72611053217599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3.6357050703372803E-14</v>
      </c>
      <c r="BF133" s="14">
        <f t="shared" ref="BF133:BF153" si="145">EXP(-1.0587+0.8836*LN(BE133)+0.284)</f>
        <v>6.1445232567661395E-13</v>
      </c>
      <c r="BG133" s="22">
        <f t="shared" si="115"/>
        <v>1.1334929971951436E-12</v>
      </c>
      <c r="BH133" s="62">
        <f t="shared" si="116"/>
        <v>283.91028339343325</v>
      </c>
      <c r="BI133" s="62">
        <f ca="1">AVERAGE(OFFSET($BH$3,0,0,'Données projet'!$E$11+1,1))-AVERAGE(OFFSET($H$3,0,0,'Données projet'!$E$11+1,1))</f>
        <v>285.09561428624352</v>
      </c>
      <c r="BJ133" s="62">
        <f t="shared" ref="BJ133:BJ196" si="146">$BJ$3</f>
        <v>261.05678516705564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-9.2222762759774927E-14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272.69564942740931</v>
      </c>
      <c r="CE133" s="62">
        <f t="shared" ref="CE133:CE196" si="148">$CE$3</f>
        <v>316.57989180609252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2.2737367544323206E-13</v>
      </c>
      <c r="CU133" s="18">
        <f>CT133*VLOOKUP('Données projet'!$B$13,Paramètres!$A$1:$I$89,3,0)*VLOOKUP('Données projet'!$B$13,Paramètres!$A$1:$I$89,5,0)</f>
        <v>1.4897523215040565E-13</v>
      </c>
      <c r="CV133" s="14">
        <f t="shared" ref="CV133:CV153" si="149">EXP(-1.0587+0.8836*LN(CU133)+0.284)</f>
        <v>2.136562777003313E-12</v>
      </c>
      <c r="CW133" s="22">
        <f t="shared" si="121"/>
        <v>3.9806453659427267E-12</v>
      </c>
      <c r="CX133" s="62">
        <f t="shared" si="122"/>
        <v>283.91028339343609</v>
      </c>
      <c r="CY133" s="62">
        <f ca="1">AVERAGE(OFFSET($CX$3,0,0,'Données projet'!$E$13+1,1))-AVERAGE(OFFSET($H$3,0,0,'Données projet'!$E$13+1,1))</f>
        <v>304.35088214287919</v>
      </c>
      <c r="CZ133" s="62">
        <f t="shared" ref="CZ133:CZ196" si="150">$CZ$3</f>
        <v>288.72611053217599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6.5620042732916778E-14</v>
      </c>
      <c r="DQ133" s="14">
        <f t="shared" ref="DQ133:DQ153" si="151">EXP(-1.0587+0.8836*LN(DP133)+0.284)</f>
        <v>1.0353460337118015E-12</v>
      </c>
      <c r="DR133" s="22">
        <f t="shared" si="124"/>
        <v>1.9175159164745509E-12</v>
      </c>
      <c r="DS133" s="62">
        <f t="shared" si="125"/>
        <v>283.91028339343404</v>
      </c>
      <c r="DT133" s="62">
        <f ca="1">AVERAGE(OFFSET($DS$3,0,0,'Données projet'!$E$14+1,1))-AVERAGE(OFFSET($H$3,0,0,'Données projet'!$E$14+1,1))</f>
        <v>172.86120068224633</v>
      </c>
      <c r="DU133" s="62">
        <f t="shared" ref="DU133:DU196" si="152">$DU$3</f>
        <v>269.4995727085078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2</v>
      </c>
      <c r="EJ133" s="13">
        <f>IF('Données projet'!$A$192&gt;35,EJ132+EI133-ER132,IF(A133&lt;'Données projet'!$A$192,$EG$205^A133,IF(A133='Données projet'!$A$192,'Données projet'!$B$192,EJ132+EI133-ER132)))</f>
        <v>219.00000000000017</v>
      </c>
      <c r="EK133" s="18">
        <f>EJ133*VLOOKUP('Données projet'!$B$15,Paramètres!$A$1:$I$89,3,0)*VLOOKUP('Données projet'!$B$15,Paramètres!$A$1:$I$89,5,0)</f>
        <v>184.48560000000018</v>
      </c>
      <c r="EL133" s="14">
        <f t="shared" ref="EL133:EL153" si="153">EXP(-1.0587+0.8836*LN(EK133)+0.284)</f>
        <v>46.318715382308234</v>
      </c>
      <c r="EM133" s="22">
        <f t="shared" si="127"/>
        <v>401.9841826241871</v>
      </c>
      <c r="EN133" s="62">
        <f t="shared" si="128"/>
        <v>685.89446601761915</v>
      </c>
      <c r="EO133" s="62">
        <f ca="1">AVERAGE(OFFSET($EN$3,0,0,'Données projet'!$E$15+1,1))-AVERAGE(OFFSET($H$3,0,0,'Données projet'!$E$15+1,1))</f>
        <v>346.97972840139914</v>
      </c>
      <c r="EP133" s="62">
        <f t="shared" ref="EP133:EP196" si="154">$EP$3</f>
        <v>158.41433650660613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-1.1368683772161603E-13</v>
      </c>
      <c r="FF133" s="18">
        <f>FE133*VLOOKUP('Données projet'!$B$16,Paramètres!$A$1:$I$89,3,0)*VLOOKUP('Données projet'!$B$16,Paramètres!$A$1:$I$89,5,0)</f>
        <v>-7.4487616075202823E-14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235.88453308732235</v>
      </c>
      <c r="FK133" s="62">
        <f t="shared" ref="FK133:FK196" si="156">$FK$3</f>
        <v>220.72810812053521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228.88007999999951</v>
      </c>
      <c r="P134" s="14">
        <f t="shared" si="141"/>
        <v>56.040459895408119</v>
      </c>
      <c r="Q134" s="22">
        <f t="shared" si="108"/>
        <v>496.23660698450158</v>
      </c>
      <c r="R134" s="62">
        <f t="shared" si="109"/>
        <v>780.31035922760725</v>
      </c>
      <c r="S134" s="62">
        <f ca="1">AVERAGE(OFFSET($R$3,0,0,'Données projet'!$E$9+1,1))-AVERAGE(OFFSET($H$3,0,0,'Données projet'!$E$9+1,1))</f>
        <v>442.98179778678298</v>
      </c>
      <c r="T134" s="62">
        <f t="shared" si="142"/>
        <v>251.96153561746942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1.4897523215040565E-13</v>
      </c>
      <c r="AK134" s="14">
        <f t="shared" si="143"/>
        <v>2.136562777003313E-12</v>
      </c>
      <c r="AL134" s="22">
        <f t="shared" si="112"/>
        <v>3.9806453659427267E-12</v>
      </c>
      <c r="AM134" s="62">
        <f t="shared" si="113"/>
        <v>284.07375224310971</v>
      </c>
      <c r="AN134" s="62">
        <f ca="1">AVERAGE(OFFSET($AM$3,0,0,'Données projet'!$E$10+1,1))-AVERAGE(OFFSET($H$3,0,0,'Données projet'!$E$10+1,1))</f>
        <v>304.35088214287919</v>
      </c>
      <c r="AO134" s="62">
        <f t="shared" si="144"/>
        <v>288.72611053217599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3.6357050703372803E-14</v>
      </c>
      <c r="BF134" s="14">
        <f t="shared" si="145"/>
        <v>6.1445232567661395E-13</v>
      </c>
      <c r="BG134" s="22">
        <f t="shared" si="115"/>
        <v>1.1334929971951436E-12</v>
      </c>
      <c r="BH134" s="62">
        <f t="shared" si="116"/>
        <v>284.07375224310687</v>
      </c>
      <c r="BI134" s="62">
        <f ca="1">AVERAGE(OFFSET($BH$3,0,0,'Données projet'!$E$11+1,1))-AVERAGE(OFFSET($H$3,0,0,'Données projet'!$E$11+1,1))</f>
        <v>285.09561428624352</v>
      </c>
      <c r="BJ134" s="62">
        <f t="shared" si="146"/>
        <v>261.05678516705564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-9.2222762759774927E-14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272.69564942740931</v>
      </c>
      <c r="CE134" s="62">
        <f t="shared" si="148"/>
        <v>316.57989180609252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2.2737367544323206E-13</v>
      </c>
      <c r="CU134" s="18">
        <f>CT134*VLOOKUP('Données projet'!$B$13,Paramètres!$A$1:$I$89,3,0)*VLOOKUP('Données projet'!$B$13,Paramètres!$A$1:$I$89,5,0)</f>
        <v>1.4897523215040565E-13</v>
      </c>
      <c r="CV134" s="14">
        <f t="shared" si="149"/>
        <v>2.136562777003313E-12</v>
      </c>
      <c r="CW134" s="22">
        <f t="shared" si="121"/>
        <v>3.9806453659427267E-12</v>
      </c>
      <c r="CX134" s="62">
        <f t="shared" si="122"/>
        <v>284.07375224310971</v>
      </c>
      <c r="CY134" s="62">
        <f ca="1">AVERAGE(OFFSET($CX$3,0,0,'Données projet'!$E$13+1,1))-AVERAGE(OFFSET($H$3,0,0,'Données projet'!$E$13+1,1))</f>
        <v>304.35088214287919</v>
      </c>
      <c r="CZ134" s="62">
        <f t="shared" si="150"/>
        <v>288.72611053217599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6.5620042732916778E-14</v>
      </c>
      <c r="DQ134" s="14">
        <f t="shared" si="151"/>
        <v>1.0353460337118015E-12</v>
      </c>
      <c r="DR134" s="22">
        <f t="shared" si="124"/>
        <v>1.9175159164745509E-12</v>
      </c>
      <c r="DS134" s="62">
        <f t="shared" si="125"/>
        <v>284.07375224310766</v>
      </c>
      <c r="DT134" s="62">
        <f ca="1">AVERAGE(OFFSET($DS$3,0,0,'Données projet'!$E$14+1,1))-AVERAGE(OFFSET($H$3,0,0,'Données projet'!$E$14+1,1))</f>
        <v>172.86120068224633</v>
      </c>
      <c r="DU134" s="62">
        <f t="shared" si="152"/>
        <v>269.4995727085078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</v>
      </c>
      <c r="EJ134" s="13">
        <f>IF('Données projet'!$A$192&gt;35,EJ133+EI134-ER133,IF(A134&lt;'Données projet'!$A$192,$EG$205^A134,IF(A134='Données projet'!$A$192,'Données projet'!$B$192,EJ133+EI134-ER133)))</f>
        <v>221.00000000000017</v>
      </c>
      <c r="EK134" s="18">
        <f>EJ134*VLOOKUP('Données projet'!$B$15,Paramètres!$A$1:$I$89,3,0)*VLOOKUP('Données projet'!$B$15,Paramètres!$A$1:$I$89,5,0)</f>
        <v>186.17040000000017</v>
      </c>
      <c r="EL134" s="14">
        <f t="shared" si="153"/>
        <v>46.69228193379606</v>
      </c>
      <c r="EM134" s="22">
        <f t="shared" si="127"/>
        <v>405.56917103469505</v>
      </c>
      <c r="EN134" s="62">
        <f t="shared" si="128"/>
        <v>689.64292327780072</v>
      </c>
      <c r="EO134" s="62">
        <f ca="1">AVERAGE(OFFSET($EN$3,0,0,'Données projet'!$E$15+1,1))-AVERAGE(OFFSET($H$3,0,0,'Données projet'!$E$15+1,1))</f>
        <v>346.97972840139914</v>
      </c>
      <c r="EP134" s="62">
        <f t="shared" si="154"/>
        <v>158.41433650660613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-1.1368683772161603E-13</v>
      </c>
      <c r="FF134" s="18">
        <f>FE134*VLOOKUP('Données projet'!$B$16,Paramètres!$A$1:$I$89,3,0)*VLOOKUP('Données projet'!$B$16,Paramètres!$A$1:$I$89,5,0)</f>
        <v>-7.4487616075202823E-14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235.88453308732235</v>
      </c>
      <c r="FK134" s="62">
        <f t="shared" si="156"/>
        <v>220.72810812053521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231.15455999999946</v>
      </c>
      <c r="P135" s="14">
        <f t="shared" si="141"/>
        <v>56.532251598510435</v>
      </c>
      <c r="Q135" s="22">
        <f t="shared" si="108"/>
        <v>501.0545302007381</v>
      </c>
      <c r="R135" s="62">
        <f t="shared" si="109"/>
        <v>785.28891547443732</v>
      </c>
      <c r="S135" s="62">
        <f ca="1">AVERAGE(OFFSET($R$3,0,0,'Données projet'!$E$9+1,1))-AVERAGE(OFFSET($H$3,0,0,'Données projet'!$E$9+1,1))</f>
        <v>442.98179778678298</v>
      </c>
      <c r="T135" s="62">
        <f t="shared" si="142"/>
        <v>251.96153561746942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1.4897523215040565E-13</v>
      </c>
      <c r="AK135" s="14">
        <f t="shared" si="143"/>
        <v>2.136562777003313E-12</v>
      </c>
      <c r="AL135" s="22">
        <f t="shared" si="112"/>
        <v>3.9806453659427267E-12</v>
      </c>
      <c r="AM135" s="62">
        <f t="shared" si="113"/>
        <v>284.23438527370314</v>
      </c>
      <c r="AN135" s="62">
        <f ca="1">AVERAGE(OFFSET($AM$3,0,0,'Données projet'!$E$10+1,1))-AVERAGE(OFFSET($H$3,0,0,'Données projet'!$E$10+1,1))</f>
        <v>304.35088214287919</v>
      </c>
      <c r="AO135" s="62">
        <f t="shared" si="144"/>
        <v>288.72611053217599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3.6357050703372803E-14</v>
      </c>
      <c r="BF135" s="14">
        <f t="shared" si="145"/>
        <v>6.1445232567661395E-13</v>
      </c>
      <c r="BG135" s="22">
        <f t="shared" si="115"/>
        <v>1.1334929971951436E-12</v>
      </c>
      <c r="BH135" s="62">
        <f t="shared" si="116"/>
        <v>284.2343852737003</v>
      </c>
      <c r="BI135" s="62">
        <f ca="1">AVERAGE(OFFSET($BH$3,0,0,'Données projet'!$E$11+1,1))-AVERAGE(OFFSET($H$3,0,0,'Données projet'!$E$11+1,1))</f>
        <v>285.09561428624352</v>
      </c>
      <c r="BJ135" s="62">
        <f t="shared" si="146"/>
        <v>261.05678516705564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-9.2222762759774927E-14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272.69564942740931</v>
      </c>
      <c r="CE135" s="62">
        <f t="shared" si="148"/>
        <v>316.57989180609252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2.2737367544323206E-13</v>
      </c>
      <c r="CU135" s="18">
        <f>CT135*VLOOKUP('Données projet'!$B$13,Paramètres!$A$1:$I$89,3,0)*VLOOKUP('Données projet'!$B$13,Paramètres!$A$1:$I$89,5,0)</f>
        <v>1.4897523215040565E-13</v>
      </c>
      <c r="CV135" s="14">
        <f t="shared" si="149"/>
        <v>2.136562777003313E-12</v>
      </c>
      <c r="CW135" s="22">
        <f t="shared" si="121"/>
        <v>3.9806453659427267E-12</v>
      </c>
      <c r="CX135" s="62">
        <f t="shared" si="122"/>
        <v>284.23438527370314</v>
      </c>
      <c r="CY135" s="62">
        <f ca="1">AVERAGE(OFFSET($CX$3,0,0,'Données projet'!$E$13+1,1))-AVERAGE(OFFSET($H$3,0,0,'Données projet'!$E$13+1,1))</f>
        <v>304.35088214287919</v>
      </c>
      <c r="CZ135" s="62">
        <f t="shared" si="150"/>
        <v>288.72611053217599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6.5620042732916778E-14</v>
      </c>
      <c r="DQ135" s="14">
        <f t="shared" si="151"/>
        <v>1.0353460337118015E-12</v>
      </c>
      <c r="DR135" s="22">
        <f t="shared" si="124"/>
        <v>1.9175159164745509E-12</v>
      </c>
      <c r="DS135" s="62">
        <f t="shared" si="125"/>
        <v>284.23438527370109</v>
      </c>
      <c r="DT135" s="62">
        <f ca="1">AVERAGE(OFFSET($DS$3,0,0,'Données projet'!$E$14+1,1))-AVERAGE(OFFSET($H$3,0,0,'Données projet'!$E$14+1,1))</f>
        <v>172.86120068224633</v>
      </c>
      <c r="DU135" s="62">
        <f t="shared" si="152"/>
        <v>269.4995727085078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</v>
      </c>
      <c r="EJ135" s="13">
        <f>IF('Données projet'!$A$192&gt;35,EJ134+EI135-ER134,IF(A135&lt;'Données projet'!$A$192,$EG$205^A135,IF(A135='Données projet'!$A$192,'Données projet'!$B$192,EJ134+EI135-ER134)))</f>
        <v>223.00000000000017</v>
      </c>
      <c r="EK135" s="18">
        <f>EJ135*VLOOKUP('Données projet'!$B$15,Paramètres!$A$1:$I$89,3,0)*VLOOKUP('Données projet'!$B$15,Paramètres!$A$1:$I$89,5,0)</f>
        <v>187.85520000000017</v>
      </c>
      <c r="EL135" s="14">
        <f t="shared" si="153"/>
        <v>47.065455174156007</v>
      </c>
      <c r="EM135" s="22">
        <f t="shared" si="127"/>
        <v>409.15347442832194</v>
      </c>
      <c r="EN135" s="62">
        <f t="shared" si="128"/>
        <v>693.38785970202116</v>
      </c>
      <c r="EO135" s="62">
        <f ca="1">AVERAGE(OFFSET($EN$3,0,0,'Données projet'!$E$15+1,1))-AVERAGE(OFFSET($H$3,0,0,'Données projet'!$E$15+1,1))</f>
        <v>346.97972840139914</v>
      </c>
      <c r="EP135" s="62">
        <f t="shared" si="154"/>
        <v>158.41433650660613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-1.1368683772161603E-13</v>
      </c>
      <c r="FF135" s="18">
        <f>FE135*VLOOKUP('Données projet'!$B$16,Paramètres!$A$1:$I$89,3,0)*VLOOKUP('Données projet'!$B$16,Paramètres!$A$1:$I$89,5,0)</f>
        <v>-7.4487616075202823E-14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235.88453308732235</v>
      </c>
      <c r="FK135" s="62">
        <f t="shared" si="156"/>
        <v>220.72810812053521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233.42903999999945</v>
      </c>
      <c r="P136" s="14">
        <f t="shared" si="141"/>
        <v>57.023480348060033</v>
      </c>
      <c r="Q136" s="22">
        <f t="shared" si="108"/>
        <v>505.87147293953677</v>
      </c>
      <c r="R136" s="62">
        <f t="shared" si="109"/>
        <v>790.26370461987017</v>
      </c>
      <c r="S136" s="62">
        <f ca="1">AVERAGE(OFFSET($R$3,0,0,'Données projet'!$E$9+1,1))-AVERAGE(OFFSET($H$3,0,0,'Données projet'!$E$9+1,1))</f>
        <v>442.98179778678298</v>
      </c>
      <c r="T136" s="62">
        <f t="shared" si="142"/>
        <v>251.96153561746942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1.4897523215040565E-13</v>
      </c>
      <c r="AK136" s="14">
        <f t="shared" si="143"/>
        <v>2.136562777003313E-12</v>
      </c>
      <c r="AL136" s="22">
        <f t="shared" si="112"/>
        <v>3.9806453659427267E-12</v>
      </c>
      <c r="AM136" s="62">
        <f t="shared" si="113"/>
        <v>284.39223168033737</v>
      </c>
      <c r="AN136" s="62">
        <f ca="1">AVERAGE(OFFSET($AM$3,0,0,'Données projet'!$E$10+1,1))-AVERAGE(OFFSET($H$3,0,0,'Données projet'!$E$10+1,1))</f>
        <v>304.35088214287919</v>
      </c>
      <c r="AO136" s="62">
        <f t="shared" si="144"/>
        <v>288.72611053217599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3.6357050703372803E-14</v>
      </c>
      <c r="BF136" s="14">
        <f t="shared" si="145"/>
        <v>6.1445232567661395E-13</v>
      </c>
      <c r="BG136" s="22">
        <f t="shared" si="115"/>
        <v>1.1334929971951436E-12</v>
      </c>
      <c r="BH136" s="62">
        <f t="shared" si="116"/>
        <v>284.39223168033453</v>
      </c>
      <c r="BI136" s="62">
        <f ca="1">AVERAGE(OFFSET($BH$3,0,0,'Données projet'!$E$11+1,1))-AVERAGE(OFFSET($H$3,0,0,'Données projet'!$E$11+1,1))</f>
        <v>285.09561428624352</v>
      </c>
      <c r="BJ136" s="62">
        <f t="shared" si="146"/>
        <v>261.05678516705564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-9.2222762759774927E-14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272.69564942740931</v>
      </c>
      <c r="CE136" s="62">
        <f t="shared" si="148"/>
        <v>316.57989180609252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2.2737367544323206E-13</v>
      </c>
      <c r="CU136" s="18">
        <f>CT136*VLOOKUP('Données projet'!$B$13,Paramètres!$A$1:$I$89,3,0)*VLOOKUP('Données projet'!$B$13,Paramètres!$A$1:$I$89,5,0)</f>
        <v>1.4897523215040565E-13</v>
      </c>
      <c r="CV136" s="14">
        <f t="shared" si="149"/>
        <v>2.136562777003313E-12</v>
      </c>
      <c r="CW136" s="22">
        <f t="shared" si="121"/>
        <v>3.9806453659427267E-12</v>
      </c>
      <c r="CX136" s="62">
        <f t="shared" si="122"/>
        <v>284.39223168033737</v>
      </c>
      <c r="CY136" s="62">
        <f ca="1">AVERAGE(OFFSET($CX$3,0,0,'Données projet'!$E$13+1,1))-AVERAGE(OFFSET($H$3,0,0,'Données projet'!$E$13+1,1))</f>
        <v>304.35088214287919</v>
      </c>
      <c r="CZ136" s="62">
        <f t="shared" si="150"/>
        <v>288.72611053217599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6.5620042732916778E-14</v>
      </c>
      <c r="DQ136" s="14">
        <f t="shared" si="151"/>
        <v>1.0353460337118015E-12</v>
      </c>
      <c r="DR136" s="22">
        <f t="shared" si="124"/>
        <v>1.9175159164745509E-12</v>
      </c>
      <c r="DS136" s="62">
        <f t="shared" si="125"/>
        <v>284.39223168033533</v>
      </c>
      <c r="DT136" s="62">
        <f ca="1">AVERAGE(OFFSET($DS$3,0,0,'Données projet'!$E$14+1,1))-AVERAGE(OFFSET($H$3,0,0,'Données projet'!$E$14+1,1))</f>
        <v>172.86120068224633</v>
      </c>
      <c r="DU136" s="62">
        <f t="shared" si="152"/>
        <v>269.4995727085078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</v>
      </c>
      <c r="EJ136" s="13">
        <f>IF('Données projet'!$A$192&gt;35,EJ135+EI136-ER135,IF(A136&lt;'Données projet'!$A$192,$EG$205^A136,IF(A136='Données projet'!$A$192,'Données projet'!$B$192,EJ135+EI136-ER135)))</f>
        <v>225.00000000000017</v>
      </c>
      <c r="EK136" s="18">
        <f>EJ136*VLOOKUP('Données projet'!$B$15,Paramètres!$A$1:$I$89,3,0)*VLOOKUP('Données projet'!$B$15,Paramètres!$A$1:$I$89,5,0)</f>
        <v>189.54000000000016</v>
      </c>
      <c r="EL136" s="14">
        <f t="shared" si="153"/>
        <v>47.438239039488856</v>
      </c>
      <c r="EM136" s="22">
        <f t="shared" si="127"/>
        <v>412.73709966044333</v>
      </c>
      <c r="EN136" s="62">
        <f t="shared" si="128"/>
        <v>697.12933134077673</v>
      </c>
      <c r="EO136" s="62">
        <f ca="1">AVERAGE(OFFSET($EN$3,0,0,'Données projet'!$E$15+1,1))-AVERAGE(OFFSET($H$3,0,0,'Données projet'!$E$15+1,1))</f>
        <v>346.97972840139914</v>
      </c>
      <c r="EP136" s="62">
        <f t="shared" si="154"/>
        <v>158.41433650660613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-1.1368683772161603E-13</v>
      </c>
      <c r="FF136" s="18">
        <f>FE136*VLOOKUP('Données projet'!$B$16,Paramètres!$A$1:$I$89,3,0)*VLOOKUP('Données projet'!$B$16,Paramètres!$A$1:$I$89,5,0)</f>
        <v>-7.4487616075202823E-14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235.88453308732235</v>
      </c>
      <c r="FK136" s="62">
        <f t="shared" si="156"/>
        <v>220.72810812053521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235.70351999999946</v>
      </c>
      <c r="P137" s="14">
        <f t="shared" si="141"/>
        <v>57.51415226456087</v>
      </c>
      <c r="Q137" s="22">
        <f t="shared" si="108"/>
        <v>510.68744586077599</v>
      </c>
      <c r="R137" s="62">
        <f t="shared" si="109"/>
        <v>795.23478566548033</v>
      </c>
      <c r="S137" s="62">
        <f ca="1">AVERAGE(OFFSET($R$3,0,0,'Données projet'!$E$9+1,1))-AVERAGE(OFFSET($H$3,0,0,'Données projet'!$E$9+1,1))</f>
        <v>442.98179778678298</v>
      </c>
      <c r="T137" s="62">
        <f t="shared" si="142"/>
        <v>251.96153561746942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1.4897523215040565E-13</v>
      </c>
      <c r="AK137" s="14">
        <f t="shared" si="143"/>
        <v>2.136562777003313E-12</v>
      </c>
      <c r="AL137" s="22">
        <f t="shared" si="112"/>
        <v>3.9806453659427267E-12</v>
      </c>
      <c r="AM137" s="62">
        <f t="shared" si="113"/>
        <v>284.54733980470826</v>
      </c>
      <c r="AN137" s="62">
        <f ca="1">AVERAGE(OFFSET($AM$3,0,0,'Données projet'!$E$10+1,1))-AVERAGE(OFFSET($H$3,0,0,'Données projet'!$E$10+1,1))</f>
        <v>304.35088214287919</v>
      </c>
      <c r="AO137" s="62">
        <f t="shared" si="144"/>
        <v>288.72611053217599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3.6357050703372803E-14</v>
      </c>
      <c r="BF137" s="14">
        <f t="shared" si="145"/>
        <v>6.1445232567661395E-13</v>
      </c>
      <c r="BG137" s="22">
        <f t="shared" si="115"/>
        <v>1.1334929971951436E-12</v>
      </c>
      <c r="BH137" s="62">
        <f t="shared" si="116"/>
        <v>284.54733980470542</v>
      </c>
      <c r="BI137" s="62">
        <f ca="1">AVERAGE(OFFSET($BH$3,0,0,'Données projet'!$E$11+1,1))-AVERAGE(OFFSET($H$3,0,0,'Données projet'!$E$11+1,1))</f>
        <v>285.09561428624352</v>
      </c>
      <c r="BJ137" s="62">
        <f t="shared" si="146"/>
        <v>261.05678516705564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-9.2222762759774927E-14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272.69564942740931</v>
      </c>
      <c r="CE137" s="62">
        <f t="shared" si="148"/>
        <v>316.57989180609252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2.2737367544323206E-13</v>
      </c>
      <c r="CU137" s="18">
        <f>CT137*VLOOKUP('Données projet'!$B$13,Paramètres!$A$1:$I$89,3,0)*VLOOKUP('Données projet'!$B$13,Paramètres!$A$1:$I$89,5,0)</f>
        <v>1.4897523215040565E-13</v>
      </c>
      <c r="CV137" s="14">
        <f t="shared" si="149"/>
        <v>2.136562777003313E-12</v>
      </c>
      <c r="CW137" s="22">
        <f t="shared" si="121"/>
        <v>3.9806453659427267E-12</v>
      </c>
      <c r="CX137" s="62">
        <f t="shared" si="122"/>
        <v>284.54733980470826</v>
      </c>
      <c r="CY137" s="62">
        <f ca="1">AVERAGE(OFFSET($CX$3,0,0,'Données projet'!$E$13+1,1))-AVERAGE(OFFSET($H$3,0,0,'Données projet'!$E$13+1,1))</f>
        <v>304.35088214287919</v>
      </c>
      <c r="CZ137" s="62">
        <f t="shared" si="150"/>
        <v>288.72611053217599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6.5620042732916778E-14</v>
      </c>
      <c r="DQ137" s="14">
        <f t="shared" si="151"/>
        <v>1.0353460337118015E-12</v>
      </c>
      <c r="DR137" s="22">
        <f t="shared" si="124"/>
        <v>1.9175159164745509E-12</v>
      </c>
      <c r="DS137" s="62">
        <f t="shared" si="125"/>
        <v>284.54733980470621</v>
      </c>
      <c r="DT137" s="62">
        <f ca="1">AVERAGE(OFFSET($DS$3,0,0,'Données projet'!$E$14+1,1))-AVERAGE(OFFSET($H$3,0,0,'Données projet'!$E$14+1,1))</f>
        <v>172.86120068224633</v>
      </c>
      <c r="DU137" s="62">
        <f t="shared" si="152"/>
        <v>269.4995727085078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</v>
      </c>
      <c r="EJ137" s="13">
        <f>IF('Données projet'!$A$192&gt;35,EJ136+EI137-ER136,IF(A137&lt;'Données projet'!$A$192,$EG$205^A137,IF(A137='Données projet'!$A$192,'Données projet'!$B$192,EJ136+EI137-ER136)))</f>
        <v>227.00000000000017</v>
      </c>
      <c r="EK137" s="18">
        <f>EJ137*VLOOKUP('Données projet'!$B$15,Paramètres!$A$1:$I$89,3,0)*VLOOKUP('Données projet'!$B$15,Paramètres!$A$1:$I$89,5,0)</f>
        <v>191.22480000000016</v>
      </c>
      <c r="EL137" s="14">
        <f t="shared" si="153"/>
        <v>47.810637391883162</v>
      </c>
      <c r="EM137" s="22">
        <f t="shared" si="127"/>
        <v>416.32005345753009</v>
      </c>
      <c r="EN137" s="62">
        <f t="shared" si="128"/>
        <v>700.86739326223437</v>
      </c>
      <c r="EO137" s="62">
        <f ca="1">AVERAGE(OFFSET($EN$3,0,0,'Données projet'!$E$15+1,1))-AVERAGE(OFFSET($H$3,0,0,'Données projet'!$E$15+1,1))</f>
        <v>346.97972840139914</v>
      </c>
      <c r="EP137" s="62">
        <f t="shared" si="154"/>
        <v>158.41433650660613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-1.1368683772161603E-13</v>
      </c>
      <c r="FF137" s="18">
        <f>FE137*VLOOKUP('Données projet'!$B$16,Paramètres!$A$1:$I$89,3,0)*VLOOKUP('Données projet'!$B$16,Paramètres!$A$1:$I$89,5,0)</f>
        <v>-7.4487616075202823E-14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235.88453308732235</v>
      </c>
      <c r="FK137" s="62">
        <f t="shared" si="156"/>
        <v>220.72810812053521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237.97799999999944</v>
      </c>
      <c r="P138" s="14">
        <f t="shared" si="141"/>
        <v>58.004273343583726</v>
      </c>
      <c r="Q138" s="22">
        <f t="shared" si="108"/>
        <v>515.50245940674063</v>
      </c>
      <c r="R138" s="62">
        <f t="shared" si="109"/>
        <v>800.20221655662772</v>
      </c>
      <c r="S138" s="62">
        <f ca="1">AVERAGE(OFFSET($R$3,0,0,'Données projet'!$E$9+1,1))-AVERAGE(OFFSET($H$3,0,0,'Données projet'!$E$9+1,1))</f>
        <v>442.98179778678298</v>
      </c>
      <c r="T138" s="62">
        <f t="shared" si="142"/>
        <v>251.96153561746942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1.4897523215040565E-13</v>
      </c>
      <c r="AK138" s="14">
        <f t="shared" si="143"/>
        <v>2.136562777003313E-12</v>
      </c>
      <c r="AL138" s="22">
        <f t="shared" si="112"/>
        <v>3.9806453659427267E-12</v>
      </c>
      <c r="AM138" s="62">
        <f t="shared" si="113"/>
        <v>284.69975714989113</v>
      </c>
      <c r="AN138" s="62">
        <f ca="1">AVERAGE(OFFSET($AM$3,0,0,'Données projet'!$E$10+1,1))-AVERAGE(OFFSET($H$3,0,0,'Données projet'!$E$10+1,1))</f>
        <v>304.35088214287919</v>
      </c>
      <c r="AO138" s="62">
        <f t="shared" si="144"/>
        <v>288.72611053217599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3.6357050703372803E-14</v>
      </c>
      <c r="BF138" s="14">
        <f t="shared" si="145"/>
        <v>6.1445232567661395E-13</v>
      </c>
      <c r="BG138" s="22">
        <f t="shared" si="115"/>
        <v>1.1334929971951436E-12</v>
      </c>
      <c r="BH138" s="62">
        <f t="shared" si="116"/>
        <v>284.69975714988828</v>
      </c>
      <c r="BI138" s="62">
        <f ca="1">AVERAGE(OFFSET($BH$3,0,0,'Données projet'!$E$11+1,1))-AVERAGE(OFFSET($H$3,0,0,'Données projet'!$E$11+1,1))</f>
        <v>285.09561428624352</v>
      </c>
      <c r="BJ138" s="62">
        <f t="shared" si="146"/>
        <v>261.05678516705564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-9.2222762759774927E-14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272.69564942740931</v>
      </c>
      <c r="CE138" s="62">
        <f t="shared" si="148"/>
        <v>316.57989180609252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2.2737367544323206E-13</v>
      </c>
      <c r="CU138" s="18">
        <f>CT138*VLOOKUP('Données projet'!$B$13,Paramètres!$A$1:$I$89,3,0)*VLOOKUP('Données projet'!$B$13,Paramètres!$A$1:$I$89,5,0)</f>
        <v>1.4897523215040565E-13</v>
      </c>
      <c r="CV138" s="14">
        <f t="shared" si="149"/>
        <v>2.136562777003313E-12</v>
      </c>
      <c r="CW138" s="22">
        <f t="shared" si="121"/>
        <v>3.9806453659427267E-12</v>
      </c>
      <c r="CX138" s="62">
        <f t="shared" si="122"/>
        <v>284.69975714989113</v>
      </c>
      <c r="CY138" s="62">
        <f ca="1">AVERAGE(OFFSET($CX$3,0,0,'Données projet'!$E$13+1,1))-AVERAGE(OFFSET($H$3,0,0,'Données projet'!$E$13+1,1))</f>
        <v>304.35088214287919</v>
      </c>
      <c r="CZ138" s="62">
        <f t="shared" si="150"/>
        <v>288.72611053217599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6.5620042732916778E-14</v>
      </c>
      <c r="DQ138" s="14">
        <f t="shared" si="151"/>
        <v>1.0353460337118015E-12</v>
      </c>
      <c r="DR138" s="22">
        <f t="shared" si="124"/>
        <v>1.9175159164745509E-12</v>
      </c>
      <c r="DS138" s="62">
        <f t="shared" si="125"/>
        <v>284.69975714988908</v>
      </c>
      <c r="DT138" s="62">
        <f ca="1">AVERAGE(OFFSET($DS$3,0,0,'Données projet'!$E$14+1,1))-AVERAGE(OFFSET($H$3,0,0,'Données projet'!$E$14+1,1))</f>
        <v>172.86120068224633</v>
      </c>
      <c r="DU138" s="62">
        <f t="shared" si="152"/>
        <v>269.4995727085078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>
        <f>VLOOKUP(A138,'Données projet'!$A$191:$I$211,2,0)</f>
        <v>229</v>
      </c>
      <c r="EH138" s="13">
        <f>VLOOKUP(A138,'Données projet'!$A$191:$I$211,9,0)</f>
        <v>2</v>
      </c>
      <c r="EI138" s="13">
        <f t="array" ref="EI138">INDEX(EH:EH,MIN(IF(ISNUMBER(EH138:EH334),ROW(EH138:EH334),"")))</f>
        <v>2</v>
      </c>
      <c r="EJ138" s="13">
        <f>IF('Données projet'!$A$192&gt;35,EJ137+EI138-ER137,IF(A138&lt;'Données projet'!$A$192,$EG$205^A138,IF(A138='Données projet'!$A$192,'Données projet'!$B$192,EJ137+EI138-ER137)))</f>
        <v>229.00000000000017</v>
      </c>
      <c r="EK138" s="18">
        <f>EJ138*VLOOKUP('Données projet'!$B$15,Paramètres!$A$1:$I$89,3,0)*VLOOKUP('Données projet'!$B$15,Paramètres!$A$1:$I$89,5,0)</f>
        <v>192.90960000000015</v>
      </c>
      <c r="EL138" s="14">
        <f t="shared" si="153"/>
        <v>48.182654021446467</v>
      </c>
      <c r="EM138" s="22">
        <f t="shared" si="127"/>
        <v>419.90234242068618</v>
      </c>
      <c r="EN138" s="62">
        <f t="shared" si="128"/>
        <v>704.60209957057327</v>
      </c>
      <c r="EO138" s="62">
        <f ca="1">AVERAGE(OFFSET($EN$3,0,0,'Données projet'!$E$15+1,1))-AVERAGE(OFFSET($H$3,0,0,'Données projet'!$E$15+1,1))</f>
        <v>346.97972840139914</v>
      </c>
      <c r="EP138" s="62">
        <f t="shared" si="154"/>
        <v>158.41433650660613</v>
      </c>
      <c r="EQ138" s="16">
        <f>IF(ISNA(VLOOKUP(A138,'Données projet'!$A$191:$I$211,3,0)),0,VLOOKUP(A138,'Données projet'!$A$191:$I$211,3,0))</f>
        <v>11</v>
      </c>
      <c r="ER138" s="16">
        <f>IF(ISNA(VLOOKUP(A138,'Données projet'!$A$191:$I$211,4,0)),0,VLOOKUP(A138,'Données projet'!$A$191:$I$211,4,0))</f>
        <v>19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-1.1368683772161603E-13</v>
      </c>
      <c r="FF138" s="18">
        <f>FE138*VLOOKUP('Données projet'!$B$16,Paramètres!$A$1:$I$89,3,0)*VLOOKUP('Données projet'!$B$16,Paramètres!$A$1:$I$89,5,0)</f>
        <v>-7.4487616075202823E-14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235.88453308732235</v>
      </c>
      <c r="FK138" s="62">
        <f t="shared" si="156"/>
        <v>220.72810812053521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240.25247999999945</v>
      </c>
      <c r="P139" s="14">
        <f t="shared" si="141"/>
        <v>58.493849459485787</v>
      </c>
      <c r="Q139" s="22">
        <f t="shared" si="108"/>
        <v>520.31652380860351</v>
      </c>
      <c r="R139" s="62">
        <f t="shared" si="109"/>
        <v>805.16605420348878</v>
      </c>
      <c r="S139" s="62">
        <f ca="1">AVERAGE(OFFSET($R$3,0,0,'Données projet'!$E$9+1,1))-AVERAGE(OFFSET($H$3,0,0,'Données projet'!$E$9+1,1))</f>
        <v>442.98179778678298</v>
      </c>
      <c r="T139" s="62">
        <f t="shared" si="142"/>
        <v>251.96153561746942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1.4897523215040565E-13</v>
      </c>
      <c r="AK139" s="14">
        <f t="shared" si="143"/>
        <v>2.136562777003313E-12</v>
      </c>
      <c r="AL139" s="22">
        <f t="shared" si="112"/>
        <v>3.9806453659427267E-12</v>
      </c>
      <c r="AM139" s="62">
        <f t="shared" si="113"/>
        <v>284.8495303948892</v>
      </c>
      <c r="AN139" s="62">
        <f ca="1">AVERAGE(OFFSET($AM$3,0,0,'Données projet'!$E$10+1,1))-AVERAGE(OFFSET($H$3,0,0,'Données projet'!$E$10+1,1))</f>
        <v>304.35088214287919</v>
      </c>
      <c r="AO139" s="62">
        <f t="shared" si="144"/>
        <v>288.72611053217599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3.6357050703372803E-14</v>
      </c>
      <c r="BF139" s="14">
        <f t="shared" si="145"/>
        <v>6.1445232567661395E-13</v>
      </c>
      <c r="BG139" s="22">
        <f t="shared" si="115"/>
        <v>1.1334929971951436E-12</v>
      </c>
      <c r="BH139" s="62">
        <f t="shared" si="116"/>
        <v>284.84953039488636</v>
      </c>
      <c r="BI139" s="62">
        <f ca="1">AVERAGE(OFFSET($BH$3,0,0,'Données projet'!$E$11+1,1))-AVERAGE(OFFSET($H$3,0,0,'Données projet'!$E$11+1,1))</f>
        <v>285.09561428624352</v>
      </c>
      <c r="BJ139" s="62">
        <f t="shared" si="146"/>
        <v>261.05678516705564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-9.2222762759774927E-14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272.69564942740931</v>
      </c>
      <c r="CE139" s="62">
        <f t="shared" si="148"/>
        <v>316.57989180609252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2.2737367544323206E-13</v>
      </c>
      <c r="CU139" s="18">
        <f>CT139*VLOOKUP('Données projet'!$B$13,Paramètres!$A$1:$I$89,3,0)*VLOOKUP('Données projet'!$B$13,Paramètres!$A$1:$I$89,5,0)</f>
        <v>1.4897523215040565E-13</v>
      </c>
      <c r="CV139" s="14">
        <f t="shared" si="149"/>
        <v>2.136562777003313E-12</v>
      </c>
      <c r="CW139" s="22">
        <f t="shared" si="121"/>
        <v>3.9806453659427267E-12</v>
      </c>
      <c r="CX139" s="62">
        <f t="shared" si="122"/>
        <v>284.8495303948892</v>
      </c>
      <c r="CY139" s="62">
        <f ca="1">AVERAGE(OFFSET($CX$3,0,0,'Données projet'!$E$13+1,1))-AVERAGE(OFFSET($H$3,0,0,'Données projet'!$E$13+1,1))</f>
        <v>304.35088214287919</v>
      </c>
      <c r="CZ139" s="62">
        <f t="shared" si="150"/>
        <v>288.72611053217599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6.5620042732916778E-14</v>
      </c>
      <c r="DQ139" s="14">
        <f t="shared" si="151"/>
        <v>1.0353460337118015E-12</v>
      </c>
      <c r="DR139" s="22">
        <f t="shared" si="124"/>
        <v>1.9175159164745509E-12</v>
      </c>
      <c r="DS139" s="62">
        <f t="shared" si="125"/>
        <v>284.84953039488715</v>
      </c>
      <c r="DT139" s="62">
        <f ca="1">AVERAGE(OFFSET($DS$3,0,0,'Données projet'!$E$14+1,1))-AVERAGE(OFFSET($H$3,0,0,'Données projet'!$E$14+1,1))</f>
        <v>172.86120068224633</v>
      </c>
      <c r="DU139" s="62">
        <f t="shared" si="152"/>
        <v>269.4995727085078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1.4666666666666666</v>
      </c>
      <c r="EJ139" s="13">
        <f>IF('Données projet'!$A$192&gt;35,EJ138+EI139-ER138,IF(A139&lt;'Données projet'!$A$192,$EG$205^A139,IF(A139='Données projet'!$A$192,'Données projet'!$B$192,EJ138+EI139-ER138)))</f>
        <v>211.46666666666684</v>
      </c>
      <c r="EK139" s="18">
        <f>EJ139*VLOOKUP('Données projet'!$B$15,Paramètres!$A$1:$I$89,3,0)*VLOOKUP('Données projet'!$B$15,Paramètres!$A$1:$I$89,5,0)</f>
        <v>178.13952000000018</v>
      </c>
      <c r="EL139" s="14">
        <f t="shared" si="153"/>
        <v>44.908013683621078</v>
      </c>
      <c r="EM139" s="22">
        <f t="shared" si="127"/>
        <v>388.47445449897367</v>
      </c>
      <c r="EN139" s="62">
        <f t="shared" si="128"/>
        <v>673.32398489385889</v>
      </c>
      <c r="EO139" s="62">
        <f ca="1">AVERAGE(OFFSET($EN$3,0,0,'Données projet'!$E$15+1,1))-AVERAGE(OFFSET($H$3,0,0,'Données projet'!$E$15+1,1))</f>
        <v>346.97972840139914</v>
      </c>
      <c r="EP139" s="62">
        <f t="shared" si="154"/>
        <v>158.41433650660613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-1.1368683772161603E-13</v>
      </c>
      <c r="FF139" s="18">
        <f>FE139*VLOOKUP('Données projet'!$B$16,Paramètres!$A$1:$I$89,3,0)*VLOOKUP('Données projet'!$B$16,Paramètres!$A$1:$I$89,5,0)</f>
        <v>-7.4487616075202823E-14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235.88453308732235</v>
      </c>
      <c r="FK139" s="62">
        <f t="shared" si="156"/>
        <v>220.72810812053521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242.52695999999943</v>
      </c>
      <c r="P140" s="14">
        <f t="shared" si="141"/>
        <v>58.982886368985021</v>
      </c>
      <c r="Q140" s="22">
        <f t="shared" si="108"/>
        <v>525.12964909264781</v>
      </c>
      <c r="R140" s="62">
        <f t="shared" si="109"/>
        <v>810.12635450157313</v>
      </c>
      <c r="S140" s="62">
        <f ca="1">AVERAGE(OFFSET($R$3,0,0,'Données projet'!$E$9+1,1))-AVERAGE(OFFSET($H$3,0,0,'Données projet'!$E$9+1,1))</f>
        <v>442.98179778678298</v>
      </c>
      <c r="T140" s="62">
        <f t="shared" si="142"/>
        <v>251.96153561746942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1.4897523215040565E-13</v>
      </c>
      <c r="AK140" s="14">
        <f t="shared" si="143"/>
        <v>2.136562777003313E-12</v>
      </c>
      <c r="AL140" s="22">
        <f t="shared" si="112"/>
        <v>3.9806453659427267E-12</v>
      </c>
      <c r="AM140" s="62">
        <f t="shared" si="113"/>
        <v>284.99670540892936</v>
      </c>
      <c r="AN140" s="62">
        <f ca="1">AVERAGE(OFFSET($AM$3,0,0,'Données projet'!$E$10+1,1))-AVERAGE(OFFSET($H$3,0,0,'Données projet'!$E$10+1,1))</f>
        <v>304.35088214287919</v>
      </c>
      <c r="AO140" s="62">
        <f t="shared" si="144"/>
        <v>288.72611053217599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3.6357050703372803E-14</v>
      </c>
      <c r="BF140" s="14">
        <f t="shared" si="145"/>
        <v>6.1445232567661395E-13</v>
      </c>
      <c r="BG140" s="22">
        <f t="shared" si="115"/>
        <v>1.1334929971951436E-12</v>
      </c>
      <c r="BH140" s="62">
        <f t="shared" si="116"/>
        <v>284.99670540892652</v>
      </c>
      <c r="BI140" s="62">
        <f ca="1">AVERAGE(OFFSET($BH$3,0,0,'Données projet'!$E$11+1,1))-AVERAGE(OFFSET($H$3,0,0,'Données projet'!$E$11+1,1))</f>
        <v>285.09561428624352</v>
      </c>
      <c r="BJ140" s="62">
        <f t="shared" si="146"/>
        <v>261.05678516705564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-9.2222762759774927E-14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272.69564942740931</v>
      </c>
      <c r="CE140" s="62">
        <f t="shared" si="148"/>
        <v>316.57989180609252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2.2737367544323206E-13</v>
      </c>
      <c r="CU140" s="18">
        <f>CT140*VLOOKUP('Données projet'!$B$13,Paramètres!$A$1:$I$89,3,0)*VLOOKUP('Données projet'!$B$13,Paramètres!$A$1:$I$89,5,0)</f>
        <v>1.4897523215040565E-13</v>
      </c>
      <c r="CV140" s="14">
        <f t="shared" si="149"/>
        <v>2.136562777003313E-12</v>
      </c>
      <c r="CW140" s="22">
        <f t="shared" si="121"/>
        <v>3.9806453659427267E-12</v>
      </c>
      <c r="CX140" s="62">
        <f t="shared" si="122"/>
        <v>284.99670540892936</v>
      </c>
      <c r="CY140" s="62">
        <f ca="1">AVERAGE(OFFSET($CX$3,0,0,'Données projet'!$E$13+1,1))-AVERAGE(OFFSET($H$3,0,0,'Données projet'!$E$13+1,1))</f>
        <v>304.35088214287919</v>
      </c>
      <c r="CZ140" s="62">
        <f t="shared" si="150"/>
        <v>288.72611053217599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6.5620042732916778E-14</v>
      </c>
      <c r="DQ140" s="14">
        <f t="shared" si="151"/>
        <v>1.0353460337118015E-12</v>
      </c>
      <c r="DR140" s="22">
        <f t="shared" si="124"/>
        <v>1.9175159164745509E-12</v>
      </c>
      <c r="DS140" s="62">
        <f t="shared" si="125"/>
        <v>284.99670540892731</v>
      </c>
      <c r="DT140" s="62">
        <f ca="1">AVERAGE(OFFSET($DS$3,0,0,'Données projet'!$E$14+1,1))-AVERAGE(OFFSET($H$3,0,0,'Données projet'!$E$14+1,1))</f>
        <v>172.86120068224633</v>
      </c>
      <c r="DU140" s="62">
        <f t="shared" si="152"/>
        <v>269.4995727085078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1.4666666666666666</v>
      </c>
      <c r="EJ140" s="13">
        <f>IF('Données projet'!$A$192&gt;35,EJ139+EI140-ER139,IF(A140&lt;'Données projet'!$A$192,$EG$205^A140,IF(A140='Données projet'!$A$192,'Données projet'!$B$192,EJ139+EI140-ER139)))</f>
        <v>212.93333333333351</v>
      </c>
      <c r="EK140" s="18">
        <f>EJ140*VLOOKUP('Données projet'!$B$15,Paramètres!$A$1:$I$89,3,0)*VLOOKUP('Données projet'!$B$15,Paramètres!$A$1:$I$89,5,0)</f>
        <v>179.37504000000018</v>
      </c>
      <c r="EL140" s="14">
        <f t="shared" si="153"/>
        <v>45.183115948110398</v>
      </c>
      <c r="EM140" s="22">
        <f t="shared" si="127"/>
        <v>391.10545494295928</v>
      </c>
      <c r="EN140" s="62">
        <f t="shared" si="128"/>
        <v>676.10216035188466</v>
      </c>
      <c r="EO140" s="62">
        <f ca="1">AVERAGE(OFFSET($EN$3,0,0,'Données projet'!$E$15+1,1))-AVERAGE(OFFSET($H$3,0,0,'Données projet'!$E$15+1,1))</f>
        <v>346.97972840139914</v>
      </c>
      <c r="EP140" s="62">
        <f t="shared" si="154"/>
        <v>158.41433650660613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-1.1368683772161603E-13</v>
      </c>
      <c r="FF140" s="18">
        <f>FE140*VLOOKUP('Données projet'!$B$16,Paramètres!$A$1:$I$89,3,0)*VLOOKUP('Données projet'!$B$16,Paramètres!$A$1:$I$89,5,0)</f>
        <v>-7.4487616075202823E-14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235.88453308732235</v>
      </c>
      <c r="FK140" s="62">
        <f t="shared" si="156"/>
        <v>220.72810812053521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244.80143999999945</v>
      </c>
      <c r="P141" s="14">
        <f t="shared" si="141"/>
        <v>59.471389714596469</v>
      </c>
      <c r="Q141" s="22">
        <f t="shared" si="108"/>
        <v>529.94184508625449</v>
      </c>
      <c r="R141" s="62">
        <f t="shared" si="109"/>
        <v>815.08317235176037</v>
      </c>
      <c r="S141" s="62">
        <f ca="1">AVERAGE(OFFSET($R$3,0,0,'Données projet'!$E$9+1,1))-AVERAGE(OFFSET($H$3,0,0,'Données projet'!$E$9+1,1))</f>
        <v>442.98179778678298</v>
      </c>
      <c r="T141" s="62">
        <f t="shared" si="142"/>
        <v>251.96153561746942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1.4897523215040565E-13</v>
      </c>
      <c r="AK141" s="14">
        <f t="shared" si="143"/>
        <v>2.136562777003313E-12</v>
      </c>
      <c r="AL141" s="22">
        <f t="shared" si="112"/>
        <v>3.9806453659427267E-12</v>
      </c>
      <c r="AM141" s="62">
        <f t="shared" si="113"/>
        <v>285.14132726550991</v>
      </c>
      <c r="AN141" s="62">
        <f ca="1">AVERAGE(OFFSET($AM$3,0,0,'Données projet'!$E$10+1,1))-AVERAGE(OFFSET($H$3,0,0,'Données projet'!$E$10+1,1))</f>
        <v>304.35088214287919</v>
      </c>
      <c r="AO141" s="62">
        <f t="shared" si="144"/>
        <v>288.72611053217599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3.6357050703372803E-14</v>
      </c>
      <c r="BF141" s="14">
        <f t="shared" si="145"/>
        <v>6.1445232567661395E-13</v>
      </c>
      <c r="BG141" s="22">
        <f t="shared" si="115"/>
        <v>1.1334929971951436E-12</v>
      </c>
      <c r="BH141" s="62">
        <f t="shared" si="116"/>
        <v>285.14132726550707</v>
      </c>
      <c r="BI141" s="62">
        <f ca="1">AVERAGE(OFFSET($BH$3,0,0,'Données projet'!$E$11+1,1))-AVERAGE(OFFSET($H$3,0,0,'Données projet'!$E$11+1,1))</f>
        <v>285.09561428624352</v>
      </c>
      <c r="BJ141" s="62">
        <f t="shared" si="146"/>
        <v>261.05678516705564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-9.2222762759774927E-14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272.69564942740931</v>
      </c>
      <c r="CE141" s="62">
        <f t="shared" si="148"/>
        <v>316.57989180609252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2.2737367544323206E-13</v>
      </c>
      <c r="CU141" s="18">
        <f>CT141*VLOOKUP('Données projet'!$B$13,Paramètres!$A$1:$I$89,3,0)*VLOOKUP('Données projet'!$B$13,Paramètres!$A$1:$I$89,5,0)</f>
        <v>1.4897523215040565E-13</v>
      </c>
      <c r="CV141" s="14">
        <f t="shared" si="149"/>
        <v>2.136562777003313E-12</v>
      </c>
      <c r="CW141" s="22">
        <f t="shared" si="121"/>
        <v>3.9806453659427267E-12</v>
      </c>
      <c r="CX141" s="62">
        <f t="shared" si="122"/>
        <v>285.14132726550991</v>
      </c>
      <c r="CY141" s="62">
        <f ca="1">AVERAGE(OFFSET($CX$3,0,0,'Données projet'!$E$13+1,1))-AVERAGE(OFFSET($H$3,0,0,'Données projet'!$E$13+1,1))</f>
        <v>304.35088214287919</v>
      </c>
      <c r="CZ141" s="62">
        <f t="shared" si="150"/>
        <v>288.72611053217599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6.5620042732916778E-14</v>
      </c>
      <c r="DQ141" s="14">
        <f t="shared" si="151"/>
        <v>1.0353460337118015E-12</v>
      </c>
      <c r="DR141" s="22">
        <f t="shared" si="124"/>
        <v>1.9175159164745509E-12</v>
      </c>
      <c r="DS141" s="62">
        <f t="shared" si="125"/>
        <v>285.14132726550787</v>
      </c>
      <c r="DT141" s="62">
        <f ca="1">AVERAGE(OFFSET($DS$3,0,0,'Données projet'!$E$14+1,1))-AVERAGE(OFFSET($H$3,0,0,'Données projet'!$E$14+1,1))</f>
        <v>172.86120068224633</v>
      </c>
      <c r="DU141" s="62">
        <f t="shared" si="152"/>
        <v>269.4995727085078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1.4666666666666666</v>
      </c>
      <c r="EJ141" s="13">
        <f>IF('Données projet'!$A$192&gt;35,EJ140+EI141-ER140,IF(A141&lt;'Données projet'!$A$192,$EG$205^A141,IF(A141='Données projet'!$A$192,'Données projet'!$B$192,EJ140+EI141-ER140)))</f>
        <v>214.40000000000018</v>
      </c>
      <c r="EK141" s="18">
        <f>EJ141*VLOOKUP('Données projet'!$B$15,Paramètres!$A$1:$I$89,3,0)*VLOOKUP('Données projet'!$B$15,Paramètres!$A$1:$I$89,5,0)</f>
        <v>180.61056000000016</v>
      </c>
      <c r="EL141" s="14">
        <f t="shared" si="153"/>
        <v>45.457997735006089</v>
      </c>
      <c r="EM141" s="22">
        <f t="shared" si="127"/>
        <v>393.73607138846927</v>
      </c>
      <c r="EN141" s="62">
        <f t="shared" si="128"/>
        <v>678.87739865397521</v>
      </c>
      <c r="EO141" s="62">
        <f ca="1">AVERAGE(OFFSET($EN$3,0,0,'Données projet'!$E$15+1,1))-AVERAGE(OFFSET($H$3,0,0,'Données projet'!$E$15+1,1))</f>
        <v>346.97972840139914</v>
      </c>
      <c r="EP141" s="62">
        <f t="shared" si="154"/>
        <v>158.41433650660613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-1.1368683772161603E-13</v>
      </c>
      <c r="FF141" s="18">
        <f>FE141*VLOOKUP('Données projet'!$B$16,Paramètres!$A$1:$I$89,3,0)*VLOOKUP('Données projet'!$B$16,Paramètres!$A$1:$I$89,5,0)</f>
        <v>-7.4487616075202823E-14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235.88453308732235</v>
      </c>
      <c r="FK141" s="62">
        <f t="shared" si="156"/>
        <v>220.72810812053521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247.0759199999994</v>
      </c>
      <c r="P142" s="14">
        <f t="shared" si="141"/>
        <v>59.959365027937501</v>
      </c>
      <c r="Q142" s="22">
        <f t="shared" si="108"/>
        <v>534.75312142365681</v>
      </c>
      <c r="R142" s="62">
        <f t="shared" si="109"/>
        <v>820.03656167985764</v>
      </c>
      <c r="S142" s="62">
        <f ca="1">AVERAGE(OFFSET($R$3,0,0,'Données projet'!$E$9+1,1))-AVERAGE(OFFSET($H$3,0,0,'Données projet'!$E$9+1,1))</f>
        <v>442.98179778678298</v>
      </c>
      <c r="T142" s="62">
        <f t="shared" si="142"/>
        <v>251.96153561746942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1.4897523215040565E-13</v>
      </c>
      <c r="AK142" s="14">
        <f t="shared" si="143"/>
        <v>2.136562777003313E-12</v>
      </c>
      <c r="AL142" s="22">
        <f t="shared" si="112"/>
        <v>3.9806453659427267E-12</v>
      </c>
      <c r="AM142" s="62">
        <f t="shared" si="113"/>
        <v>285.28344025620487</v>
      </c>
      <c r="AN142" s="62">
        <f ca="1">AVERAGE(OFFSET($AM$3,0,0,'Données projet'!$E$10+1,1))-AVERAGE(OFFSET($H$3,0,0,'Données projet'!$E$10+1,1))</f>
        <v>304.35088214287919</v>
      </c>
      <c r="AO142" s="62">
        <f t="shared" si="144"/>
        <v>288.72611053217599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3.6357050703372803E-14</v>
      </c>
      <c r="BF142" s="14">
        <f t="shared" si="145"/>
        <v>6.1445232567661395E-13</v>
      </c>
      <c r="BG142" s="22">
        <f t="shared" si="115"/>
        <v>1.1334929971951436E-12</v>
      </c>
      <c r="BH142" s="62">
        <f t="shared" si="116"/>
        <v>285.28344025620203</v>
      </c>
      <c r="BI142" s="62">
        <f ca="1">AVERAGE(OFFSET($BH$3,0,0,'Données projet'!$E$11+1,1))-AVERAGE(OFFSET($H$3,0,0,'Données projet'!$E$11+1,1))</f>
        <v>285.09561428624352</v>
      </c>
      <c r="BJ142" s="62">
        <f t="shared" si="146"/>
        <v>261.05678516705564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-9.2222762759774927E-14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272.69564942740931</v>
      </c>
      <c r="CE142" s="62">
        <f t="shared" si="148"/>
        <v>316.57989180609252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2.2737367544323206E-13</v>
      </c>
      <c r="CU142" s="18">
        <f>CT142*VLOOKUP('Données projet'!$B$13,Paramètres!$A$1:$I$89,3,0)*VLOOKUP('Données projet'!$B$13,Paramètres!$A$1:$I$89,5,0)</f>
        <v>1.4897523215040565E-13</v>
      </c>
      <c r="CV142" s="14">
        <f t="shared" si="149"/>
        <v>2.136562777003313E-12</v>
      </c>
      <c r="CW142" s="22">
        <f t="shared" si="121"/>
        <v>3.9806453659427267E-12</v>
      </c>
      <c r="CX142" s="62">
        <f t="shared" si="122"/>
        <v>285.28344025620487</v>
      </c>
      <c r="CY142" s="62">
        <f ca="1">AVERAGE(OFFSET($CX$3,0,0,'Données projet'!$E$13+1,1))-AVERAGE(OFFSET($H$3,0,0,'Données projet'!$E$13+1,1))</f>
        <v>304.35088214287919</v>
      </c>
      <c r="CZ142" s="62">
        <f t="shared" si="150"/>
        <v>288.72611053217599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6.5620042732916778E-14</v>
      </c>
      <c r="DQ142" s="14">
        <f t="shared" si="151"/>
        <v>1.0353460337118015E-12</v>
      </c>
      <c r="DR142" s="22">
        <f t="shared" si="124"/>
        <v>1.9175159164745509E-12</v>
      </c>
      <c r="DS142" s="62">
        <f t="shared" si="125"/>
        <v>285.28344025620282</v>
      </c>
      <c r="DT142" s="62">
        <f ca="1">AVERAGE(OFFSET($DS$3,0,0,'Données projet'!$E$14+1,1))-AVERAGE(OFFSET($H$3,0,0,'Données projet'!$E$14+1,1))</f>
        <v>172.86120068224633</v>
      </c>
      <c r="DU142" s="62">
        <f t="shared" si="152"/>
        <v>269.4995727085078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1.4666666666666666</v>
      </c>
      <c r="EJ142" s="13">
        <f>IF('Données projet'!$A$192&gt;35,EJ141+EI142-ER141,IF(A142&lt;'Données projet'!$A$192,$EG$205^A142,IF(A142='Données projet'!$A$192,'Données projet'!$B$192,EJ141+EI142-ER141)))</f>
        <v>215.86666666666684</v>
      </c>
      <c r="EK142" s="18">
        <f>EJ142*VLOOKUP('Données projet'!$B$15,Paramètres!$A$1:$I$89,3,0)*VLOOKUP('Données projet'!$B$15,Paramètres!$A$1:$I$89,5,0)</f>
        <v>181.84608000000017</v>
      </c>
      <c r="EL142" s="14">
        <f t="shared" si="153"/>
        <v>45.732660727465891</v>
      </c>
      <c r="EM142" s="22">
        <f t="shared" si="127"/>
        <v>396.36630676700338</v>
      </c>
      <c r="EN142" s="62">
        <f t="shared" si="128"/>
        <v>681.64974702320433</v>
      </c>
      <c r="EO142" s="62">
        <f ca="1">AVERAGE(OFFSET($EN$3,0,0,'Données projet'!$E$15+1,1))-AVERAGE(OFFSET($H$3,0,0,'Données projet'!$E$15+1,1))</f>
        <v>346.97972840139914</v>
      </c>
      <c r="EP142" s="62">
        <f t="shared" si="154"/>
        <v>158.41433650660613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-1.1368683772161603E-13</v>
      </c>
      <c r="FF142" s="18">
        <f>FE142*VLOOKUP('Données projet'!$B$16,Paramètres!$A$1:$I$89,3,0)*VLOOKUP('Données projet'!$B$16,Paramètres!$A$1:$I$89,5,0)</f>
        <v>-7.4487616075202823E-14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235.88453308732235</v>
      </c>
      <c r="FK142" s="62">
        <f t="shared" si="156"/>
        <v>220.72810812053521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249.35039999999938</v>
      </c>
      <c r="P143" s="14">
        <f t="shared" si="141"/>
        <v>60.446817732908059</v>
      </c>
      <c r="Q143" s="22">
        <f t="shared" si="108"/>
        <v>539.56348755148042</v>
      </c>
      <c r="R143" s="62">
        <f t="shared" si="109"/>
        <v>824.98657545570472</v>
      </c>
      <c r="S143" s="62">
        <f ca="1">AVERAGE(OFFSET($R$3,0,0,'Données projet'!$E$9+1,1))-AVERAGE(OFFSET($H$3,0,0,'Données projet'!$E$9+1,1))</f>
        <v>442.98179778678298</v>
      </c>
      <c r="T143" s="62">
        <f t="shared" si="142"/>
        <v>251.96153561746942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1.4897523215040565E-13</v>
      </c>
      <c r="AK143" s="14">
        <f t="shared" si="143"/>
        <v>2.136562777003313E-12</v>
      </c>
      <c r="AL143" s="22">
        <f t="shared" si="112"/>
        <v>3.9806453659427267E-12</v>
      </c>
      <c r="AM143" s="62">
        <f t="shared" si="113"/>
        <v>285.42308790422834</v>
      </c>
      <c r="AN143" s="62">
        <f ca="1">AVERAGE(OFFSET($AM$3,0,0,'Données projet'!$E$10+1,1))-AVERAGE(OFFSET($H$3,0,0,'Données projet'!$E$10+1,1))</f>
        <v>304.35088214287919</v>
      </c>
      <c r="AO143" s="62">
        <f t="shared" si="144"/>
        <v>288.72611053217599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3.6357050703372803E-14</v>
      </c>
      <c r="BF143" s="14">
        <f t="shared" si="145"/>
        <v>6.1445232567661395E-13</v>
      </c>
      <c r="BG143" s="22">
        <f t="shared" si="115"/>
        <v>1.1334929971951436E-12</v>
      </c>
      <c r="BH143" s="62">
        <f t="shared" si="116"/>
        <v>285.4230879042255</v>
      </c>
      <c r="BI143" s="62">
        <f ca="1">AVERAGE(OFFSET($BH$3,0,0,'Données projet'!$E$11+1,1))-AVERAGE(OFFSET($H$3,0,0,'Données projet'!$E$11+1,1))</f>
        <v>285.09561428624352</v>
      </c>
      <c r="BJ143" s="62">
        <f t="shared" si="146"/>
        <v>261.05678516705564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-9.2222762759774927E-14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272.69564942740931</v>
      </c>
      <c r="CE143" s="62">
        <f t="shared" si="148"/>
        <v>316.57989180609252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2.2737367544323206E-13</v>
      </c>
      <c r="CU143" s="18">
        <f>CT143*VLOOKUP('Données projet'!$B$13,Paramètres!$A$1:$I$89,3,0)*VLOOKUP('Données projet'!$B$13,Paramètres!$A$1:$I$89,5,0)</f>
        <v>1.4897523215040565E-13</v>
      </c>
      <c r="CV143" s="14">
        <f t="shared" si="149"/>
        <v>2.136562777003313E-12</v>
      </c>
      <c r="CW143" s="22">
        <f t="shared" si="121"/>
        <v>3.9806453659427267E-12</v>
      </c>
      <c r="CX143" s="62">
        <f t="shared" si="122"/>
        <v>285.42308790422834</v>
      </c>
      <c r="CY143" s="62">
        <f ca="1">AVERAGE(OFFSET($CX$3,0,0,'Données projet'!$E$13+1,1))-AVERAGE(OFFSET($H$3,0,0,'Données projet'!$E$13+1,1))</f>
        <v>304.35088214287919</v>
      </c>
      <c r="CZ143" s="62">
        <f t="shared" si="150"/>
        <v>288.72611053217599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6.5620042732916778E-14</v>
      </c>
      <c r="DQ143" s="14">
        <f t="shared" si="151"/>
        <v>1.0353460337118015E-12</v>
      </c>
      <c r="DR143" s="22">
        <f t="shared" si="124"/>
        <v>1.9175159164745509E-12</v>
      </c>
      <c r="DS143" s="62">
        <f t="shared" si="125"/>
        <v>285.42308790422629</v>
      </c>
      <c r="DT143" s="62">
        <f ca="1">AVERAGE(OFFSET($DS$3,0,0,'Données projet'!$E$14+1,1))-AVERAGE(OFFSET($H$3,0,0,'Données projet'!$E$14+1,1))</f>
        <v>172.86120068224633</v>
      </c>
      <c r="DU143" s="62">
        <f t="shared" si="152"/>
        <v>269.4995727085078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1.4666666666666666</v>
      </c>
      <c r="EJ143" s="13">
        <f>IF('Données projet'!$A$192&gt;35,EJ142+EI143-ER142,IF(A143&lt;'Données projet'!$A$192,$EG$205^A143,IF(A143='Données projet'!$A$192,'Données projet'!$B$192,EJ142+EI143-ER142)))</f>
        <v>217.33333333333351</v>
      </c>
      <c r="EK143" s="18">
        <f>EJ143*VLOOKUP('Données projet'!$B$15,Paramètres!$A$1:$I$89,3,0)*VLOOKUP('Données projet'!$B$15,Paramètres!$A$1:$I$89,5,0)</f>
        <v>183.08160000000015</v>
      </c>
      <c r="EL143" s="14">
        <f t="shared" si="153"/>
        <v>46.007106584453638</v>
      </c>
      <c r="EM143" s="22">
        <f t="shared" si="127"/>
        <v>398.99616396792368</v>
      </c>
      <c r="EN143" s="62">
        <f t="shared" si="128"/>
        <v>684.41925187214804</v>
      </c>
      <c r="EO143" s="62">
        <f ca="1">AVERAGE(OFFSET($EN$3,0,0,'Données projet'!$E$15+1,1))-AVERAGE(OFFSET($H$3,0,0,'Données projet'!$E$15+1,1))</f>
        <v>346.97972840139914</v>
      </c>
      <c r="EP143" s="62">
        <f t="shared" si="154"/>
        <v>158.41433650660613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-1.1368683772161603E-13</v>
      </c>
      <c r="FF143" s="18">
        <f>FE143*VLOOKUP('Données projet'!$B$16,Paramètres!$A$1:$I$89,3,0)*VLOOKUP('Données projet'!$B$16,Paramètres!$A$1:$I$89,5,0)</f>
        <v>-7.4487616075202823E-14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235.88453308732235</v>
      </c>
      <c r="FK143" s="62">
        <f t="shared" si="156"/>
        <v>220.72810812053521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228.62735999999936</v>
      </c>
      <c r="P144" s="14">
        <f t="shared" si="141"/>
        <v>55.985781352428546</v>
      </c>
      <c r="Q144" s="22">
        <f t="shared" si="108"/>
        <v>495.70122118881187</v>
      </c>
      <c r="R144" s="62">
        <f t="shared" si="109"/>
        <v>781.26153416657189</v>
      </c>
      <c r="S144" s="62">
        <f ca="1">AVERAGE(OFFSET($R$3,0,0,'Données projet'!$E$9+1,1))-AVERAGE(OFFSET($H$3,0,0,'Données projet'!$E$9+1,1))</f>
        <v>442.98179778678298</v>
      </c>
      <c r="T144" s="62">
        <f t="shared" si="142"/>
        <v>251.96153561746942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1.4897523215040565E-13</v>
      </c>
      <c r="AK144" s="14">
        <f t="shared" si="143"/>
        <v>2.136562777003313E-12</v>
      </c>
      <c r="AL144" s="22">
        <f t="shared" si="112"/>
        <v>3.9806453659427267E-12</v>
      </c>
      <c r="AM144" s="62">
        <f t="shared" si="113"/>
        <v>285.560312977764</v>
      </c>
      <c r="AN144" s="62">
        <f ca="1">AVERAGE(OFFSET($AM$3,0,0,'Données projet'!$E$10+1,1))-AVERAGE(OFFSET($H$3,0,0,'Données projet'!$E$10+1,1))</f>
        <v>304.35088214287919</v>
      </c>
      <c r="AO144" s="62">
        <f t="shared" si="144"/>
        <v>288.72611053217599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3.6357050703372803E-14</v>
      </c>
      <c r="BF144" s="14">
        <f t="shared" si="145"/>
        <v>6.1445232567661395E-13</v>
      </c>
      <c r="BG144" s="22">
        <f t="shared" si="115"/>
        <v>1.1334929971951436E-12</v>
      </c>
      <c r="BH144" s="62">
        <f t="shared" si="116"/>
        <v>285.56031297776116</v>
      </c>
      <c r="BI144" s="62">
        <f ca="1">AVERAGE(OFFSET($BH$3,0,0,'Données projet'!$E$11+1,1))-AVERAGE(OFFSET($H$3,0,0,'Données projet'!$E$11+1,1))</f>
        <v>285.09561428624352</v>
      </c>
      <c r="BJ144" s="62">
        <f t="shared" si="146"/>
        <v>261.05678516705564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-9.2222762759774927E-14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272.69564942740931</v>
      </c>
      <c r="CE144" s="62">
        <f t="shared" si="148"/>
        <v>316.57989180609252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2.2737367544323206E-13</v>
      </c>
      <c r="CU144" s="18">
        <f>CT144*VLOOKUP('Données projet'!$B$13,Paramètres!$A$1:$I$89,3,0)*VLOOKUP('Données projet'!$B$13,Paramètres!$A$1:$I$89,5,0)</f>
        <v>1.4897523215040565E-13</v>
      </c>
      <c r="CV144" s="14">
        <f t="shared" si="149"/>
        <v>2.136562777003313E-12</v>
      </c>
      <c r="CW144" s="22">
        <f t="shared" si="121"/>
        <v>3.9806453659427267E-12</v>
      </c>
      <c r="CX144" s="62">
        <f t="shared" si="122"/>
        <v>285.560312977764</v>
      </c>
      <c r="CY144" s="62">
        <f ca="1">AVERAGE(OFFSET($CX$3,0,0,'Données projet'!$E$13+1,1))-AVERAGE(OFFSET($H$3,0,0,'Données projet'!$E$13+1,1))</f>
        <v>304.35088214287919</v>
      </c>
      <c r="CZ144" s="62">
        <f t="shared" si="150"/>
        <v>288.72611053217599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6.5620042732916778E-14</v>
      </c>
      <c r="DQ144" s="14">
        <f t="shared" si="151"/>
        <v>1.0353460337118015E-12</v>
      </c>
      <c r="DR144" s="22">
        <f t="shared" si="124"/>
        <v>1.9175159164745509E-12</v>
      </c>
      <c r="DS144" s="62">
        <f t="shared" si="125"/>
        <v>285.56031297776195</v>
      </c>
      <c r="DT144" s="62">
        <f ca="1">AVERAGE(OFFSET($DS$3,0,0,'Données projet'!$E$14+1,1))-AVERAGE(OFFSET($H$3,0,0,'Données projet'!$E$14+1,1))</f>
        <v>172.86120068224633</v>
      </c>
      <c r="DU144" s="62">
        <f t="shared" si="152"/>
        <v>269.4995727085078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1.4666666666666666</v>
      </c>
      <c r="EJ144" s="13">
        <f>IF('Données projet'!$A$192&gt;35,EJ143+EI144-ER143,IF(A144&lt;'Données projet'!$A$192,$EG$205^A144,IF(A144='Données projet'!$A$192,'Données projet'!$B$192,EJ143+EI144-ER143)))</f>
        <v>218.80000000000018</v>
      </c>
      <c r="EK144" s="18">
        <f>EJ144*VLOOKUP('Données projet'!$B$15,Paramètres!$A$1:$I$89,3,0)*VLOOKUP('Données projet'!$B$15,Paramètres!$A$1:$I$89,5,0)</f>
        <v>184.31712000000016</v>
      </c>
      <c r="EL144" s="14">
        <f t="shared" si="153"/>
        <v>46.281336941247915</v>
      </c>
      <c r="EM144" s="22">
        <f t="shared" si="127"/>
        <v>401.62564583934039</v>
      </c>
      <c r="EN144" s="62">
        <f t="shared" si="128"/>
        <v>687.18595881710041</v>
      </c>
      <c r="EO144" s="62">
        <f ca="1">AVERAGE(OFFSET($EN$3,0,0,'Données projet'!$E$15+1,1))-AVERAGE(OFFSET($H$3,0,0,'Données projet'!$E$15+1,1))</f>
        <v>346.97972840139914</v>
      </c>
      <c r="EP144" s="62">
        <f t="shared" si="154"/>
        <v>158.41433650660613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-1.1368683772161603E-13</v>
      </c>
      <c r="FF144" s="18">
        <f>FE144*VLOOKUP('Données projet'!$B$16,Paramètres!$A$1:$I$89,3,0)*VLOOKUP('Données projet'!$B$16,Paramètres!$A$1:$I$89,5,0)</f>
        <v>-7.4487616075202823E-14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235.88453308732235</v>
      </c>
      <c r="FK144" s="62">
        <f t="shared" si="156"/>
        <v>220.72810812053521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230.64911999999936</v>
      </c>
      <c r="P145" s="14">
        <f t="shared" si="141"/>
        <v>56.423013421666433</v>
      </c>
      <c r="Q145" s="22">
        <f t="shared" si="108"/>
        <v>499.98396570940122</v>
      </c>
      <c r="R145" s="62">
        <f t="shared" si="109"/>
        <v>785.67912321246035</v>
      </c>
      <c r="S145" s="62">
        <f ca="1">AVERAGE(OFFSET($R$3,0,0,'Données projet'!$E$9+1,1))-AVERAGE(OFFSET($H$3,0,0,'Données projet'!$E$9+1,1))</f>
        <v>442.98179778678298</v>
      </c>
      <c r="T145" s="62">
        <f t="shared" si="142"/>
        <v>251.96153561746942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1.4897523215040565E-13</v>
      </c>
      <c r="AK145" s="14">
        <f t="shared" si="143"/>
        <v>2.136562777003313E-12</v>
      </c>
      <c r="AL145" s="22">
        <f t="shared" si="112"/>
        <v>3.9806453659427267E-12</v>
      </c>
      <c r="AM145" s="62">
        <f t="shared" si="113"/>
        <v>285.69515750306306</v>
      </c>
      <c r="AN145" s="62">
        <f ca="1">AVERAGE(OFFSET($AM$3,0,0,'Données projet'!$E$10+1,1))-AVERAGE(OFFSET($H$3,0,0,'Données projet'!$E$10+1,1))</f>
        <v>304.35088214287919</v>
      </c>
      <c r="AO145" s="62">
        <f t="shared" si="144"/>
        <v>288.72611053217599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3.6357050703372803E-14</v>
      </c>
      <c r="BF145" s="14">
        <f t="shared" si="145"/>
        <v>6.1445232567661395E-13</v>
      </c>
      <c r="BG145" s="22">
        <f t="shared" si="115"/>
        <v>1.1334929971951436E-12</v>
      </c>
      <c r="BH145" s="62">
        <f t="shared" si="116"/>
        <v>285.69515750306022</v>
      </c>
      <c r="BI145" s="62">
        <f ca="1">AVERAGE(OFFSET($BH$3,0,0,'Données projet'!$E$11+1,1))-AVERAGE(OFFSET($H$3,0,0,'Données projet'!$E$11+1,1))</f>
        <v>285.09561428624352</v>
      </c>
      <c r="BJ145" s="62">
        <f t="shared" si="146"/>
        <v>261.05678516705564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-9.2222762759774927E-14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272.69564942740931</v>
      </c>
      <c r="CE145" s="62">
        <f t="shared" si="148"/>
        <v>316.57989180609252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2.2737367544323206E-13</v>
      </c>
      <c r="CU145" s="18">
        <f>CT145*VLOOKUP('Données projet'!$B$13,Paramètres!$A$1:$I$89,3,0)*VLOOKUP('Données projet'!$B$13,Paramètres!$A$1:$I$89,5,0)</f>
        <v>1.4897523215040565E-13</v>
      </c>
      <c r="CV145" s="14">
        <f t="shared" si="149"/>
        <v>2.136562777003313E-12</v>
      </c>
      <c r="CW145" s="22">
        <f t="shared" si="121"/>
        <v>3.9806453659427267E-12</v>
      </c>
      <c r="CX145" s="62">
        <f t="shared" si="122"/>
        <v>285.69515750306306</v>
      </c>
      <c r="CY145" s="62">
        <f ca="1">AVERAGE(OFFSET($CX$3,0,0,'Données projet'!$E$13+1,1))-AVERAGE(OFFSET($H$3,0,0,'Données projet'!$E$13+1,1))</f>
        <v>304.35088214287919</v>
      </c>
      <c r="CZ145" s="62">
        <f t="shared" si="150"/>
        <v>288.72611053217599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6.5620042732916778E-14</v>
      </c>
      <c r="DQ145" s="14">
        <f t="shared" si="151"/>
        <v>1.0353460337118015E-12</v>
      </c>
      <c r="DR145" s="22">
        <f t="shared" si="124"/>
        <v>1.9175159164745509E-12</v>
      </c>
      <c r="DS145" s="62">
        <f t="shared" si="125"/>
        <v>285.69515750306101</v>
      </c>
      <c r="DT145" s="62">
        <f ca="1">AVERAGE(OFFSET($DS$3,0,0,'Données projet'!$E$14+1,1))-AVERAGE(OFFSET($H$3,0,0,'Données projet'!$E$14+1,1))</f>
        <v>172.86120068224633</v>
      </c>
      <c r="DU145" s="62">
        <f t="shared" si="152"/>
        <v>269.4995727085078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1.4666666666666666</v>
      </c>
      <c r="EJ145" s="13">
        <f>IF('Données projet'!$A$192&gt;35,EJ144+EI145-ER144,IF(A145&lt;'Données projet'!$A$192,$EG$205^A145,IF(A145='Données projet'!$A$192,'Données projet'!$B$192,EJ144+EI145-ER144)))</f>
        <v>220.26666666666685</v>
      </c>
      <c r="EK145" s="18">
        <f>EJ145*VLOOKUP('Données projet'!$B$15,Paramètres!$A$1:$I$89,3,0)*VLOOKUP('Données projet'!$B$15,Paramètres!$A$1:$I$89,5,0)</f>
        <v>185.55264000000017</v>
      </c>
      <c r="EL145" s="14">
        <f t="shared" si="153"/>
        <v>46.555353409936536</v>
      </c>
      <c r="EM145" s="22">
        <f t="shared" si="127"/>
        <v>404.25475518897309</v>
      </c>
      <c r="EN145" s="62">
        <f t="shared" si="128"/>
        <v>689.94991269203217</v>
      </c>
      <c r="EO145" s="62">
        <f ca="1">AVERAGE(OFFSET($EN$3,0,0,'Données projet'!$E$15+1,1))-AVERAGE(OFFSET($H$3,0,0,'Données projet'!$E$15+1,1))</f>
        <v>346.97972840139914</v>
      </c>
      <c r="EP145" s="62">
        <f t="shared" si="154"/>
        <v>158.41433650660613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-1.1368683772161603E-13</v>
      </c>
      <c r="FF145" s="18">
        <f>FE145*VLOOKUP('Données projet'!$B$16,Paramètres!$A$1:$I$89,3,0)*VLOOKUP('Données projet'!$B$16,Paramètres!$A$1:$I$89,5,0)</f>
        <v>-7.4487616075202823E-14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235.88453308732235</v>
      </c>
      <c r="FK145" s="62">
        <f t="shared" si="156"/>
        <v>220.72810812053521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232.67087999999933</v>
      </c>
      <c r="P146" s="14">
        <f t="shared" si="141"/>
        <v>56.859799601522155</v>
      </c>
      <c r="Q146" s="22">
        <f t="shared" si="108"/>
        <v>504.26593363931647</v>
      </c>
      <c r="R146" s="62">
        <f t="shared" si="109"/>
        <v>790.09359641662786</v>
      </c>
      <c r="S146" s="62">
        <f ca="1">AVERAGE(OFFSET($R$3,0,0,'Données projet'!$E$9+1,1))-AVERAGE(OFFSET($H$3,0,0,'Données projet'!$E$9+1,1))</f>
        <v>442.98179778678298</v>
      </c>
      <c r="T146" s="62">
        <f t="shared" si="142"/>
        <v>251.96153561746942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1.4897523215040565E-13</v>
      </c>
      <c r="AK146" s="14">
        <f t="shared" si="143"/>
        <v>2.136562777003313E-12</v>
      </c>
      <c r="AL146" s="22">
        <f t="shared" si="112"/>
        <v>3.9806453659427267E-12</v>
      </c>
      <c r="AM146" s="62">
        <f t="shared" si="113"/>
        <v>285.82766277731542</v>
      </c>
      <c r="AN146" s="62">
        <f ca="1">AVERAGE(OFFSET($AM$3,0,0,'Données projet'!$E$10+1,1))-AVERAGE(OFFSET($H$3,0,0,'Données projet'!$E$10+1,1))</f>
        <v>304.35088214287919</v>
      </c>
      <c r="AO146" s="62">
        <f t="shared" si="144"/>
        <v>288.72611053217599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3.6357050703372803E-14</v>
      </c>
      <c r="BF146" s="14">
        <f t="shared" si="145"/>
        <v>6.1445232567661395E-13</v>
      </c>
      <c r="BG146" s="22">
        <f t="shared" si="115"/>
        <v>1.1334929971951436E-12</v>
      </c>
      <c r="BH146" s="62">
        <f t="shared" si="116"/>
        <v>285.82766277731258</v>
      </c>
      <c r="BI146" s="62">
        <f ca="1">AVERAGE(OFFSET($BH$3,0,0,'Données projet'!$E$11+1,1))-AVERAGE(OFFSET($H$3,0,0,'Données projet'!$E$11+1,1))</f>
        <v>285.09561428624352</v>
      </c>
      <c r="BJ146" s="62">
        <f t="shared" si="146"/>
        <v>261.05678516705564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-9.2222762759774927E-14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272.69564942740931</v>
      </c>
      <c r="CE146" s="62">
        <f t="shared" si="148"/>
        <v>316.57989180609252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2.2737367544323206E-13</v>
      </c>
      <c r="CU146" s="18">
        <f>CT146*VLOOKUP('Données projet'!$B$13,Paramètres!$A$1:$I$89,3,0)*VLOOKUP('Données projet'!$B$13,Paramètres!$A$1:$I$89,5,0)</f>
        <v>1.4897523215040565E-13</v>
      </c>
      <c r="CV146" s="14">
        <f t="shared" si="149"/>
        <v>2.136562777003313E-12</v>
      </c>
      <c r="CW146" s="22">
        <f t="shared" si="121"/>
        <v>3.9806453659427267E-12</v>
      </c>
      <c r="CX146" s="62">
        <f t="shared" si="122"/>
        <v>285.82766277731542</v>
      </c>
      <c r="CY146" s="62">
        <f ca="1">AVERAGE(OFFSET($CX$3,0,0,'Données projet'!$E$13+1,1))-AVERAGE(OFFSET($H$3,0,0,'Données projet'!$E$13+1,1))</f>
        <v>304.35088214287919</v>
      </c>
      <c r="CZ146" s="62">
        <f t="shared" si="150"/>
        <v>288.72611053217599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6.5620042732916778E-14</v>
      </c>
      <c r="DQ146" s="14">
        <f t="shared" si="151"/>
        <v>1.0353460337118015E-12</v>
      </c>
      <c r="DR146" s="22">
        <f t="shared" si="124"/>
        <v>1.9175159164745509E-12</v>
      </c>
      <c r="DS146" s="62">
        <f t="shared" si="125"/>
        <v>285.82766277731338</v>
      </c>
      <c r="DT146" s="62">
        <f ca="1">AVERAGE(OFFSET($DS$3,0,0,'Données projet'!$E$14+1,1))-AVERAGE(OFFSET($H$3,0,0,'Données projet'!$E$14+1,1))</f>
        <v>172.86120068224633</v>
      </c>
      <c r="DU146" s="62">
        <f t="shared" si="152"/>
        <v>269.4995727085078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1.4666666666666666</v>
      </c>
      <c r="EJ146" s="13">
        <f>IF('Données projet'!$A$192&gt;35,EJ145+EI146-ER145,IF(A146&lt;'Données projet'!$A$192,$EG$205^A146,IF(A146='Données projet'!$A$192,'Données projet'!$B$192,EJ145+EI146-ER145)))</f>
        <v>221.73333333333352</v>
      </c>
      <c r="EK146" s="18">
        <f>EJ146*VLOOKUP('Données projet'!$B$15,Paramètres!$A$1:$I$89,3,0)*VLOOKUP('Données projet'!$B$15,Paramètres!$A$1:$I$89,5,0)</f>
        <v>186.78816000000018</v>
      </c>
      <c r="EL146" s="14">
        <f t="shared" si="153"/>
        <v>46.829157579897618</v>
      </c>
      <c r="EM146" s="22">
        <f t="shared" si="127"/>
        <v>406.88349478498867</v>
      </c>
      <c r="EN146" s="62">
        <f t="shared" si="128"/>
        <v>692.71115756230006</v>
      </c>
      <c r="EO146" s="62">
        <f ca="1">AVERAGE(OFFSET($EN$3,0,0,'Données projet'!$E$15+1,1))-AVERAGE(OFFSET($H$3,0,0,'Données projet'!$E$15+1,1))</f>
        <v>346.97972840139914</v>
      </c>
      <c r="EP146" s="62">
        <f t="shared" si="154"/>
        <v>158.41433650660613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-1.1368683772161603E-13</v>
      </c>
      <c r="FF146" s="18">
        <f>FE146*VLOOKUP('Données projet'!$B$16,Paramètres!$A$1:$I$89,3,0)*VLOOKUP('Données projet'!$B$16,Paramètres!$A$1:$I$89,5,0)</f>
        <v>-7.4487616075202823E-14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235.88453308732235</v>
      </c>
      <c r="FK146" s="62">
        <f t="shared" si="156"/>
        <v>220.72810812053521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234.69263999999933</v>
      </c>
      <c r="P147" s="14">
        <f t="shared" si="141"/>
        <v>57.296144215400361</v>
      </c>
      <c r="Q147" s="22">
        <f t="shared" si="108"/>
        <v>508.54713250848772</v>
      </c>
      <c r="R147" s="62">
        <f t="shared" si="109"/>
        <v>794.5050018897806</v>
      </c>
      <c r="S147" s="62">
        <f ca="1">AVERAGE(OFFSET($R$3,0,0,'Données projet'!$E$9+1,1))-AVERAGE(OFFSET($H$3,0,0,'Données projet'!$E$9+1,1))</f>
        <v>442.98179778678298</v>
      </c>
      <c r="T147" s="62">
        <f t="shared" si="142"/>
        <v>251.96153561746942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1.4897523215040565E-13</v>
      </c>
      <c r="AK147" s="14">
        <f t="shared" si="143"/>
        <v>2.136562777003313E-12</v>
      </c>
      <c r="AL147" s="22">
        <f t="shared" si="112"/>
        <v>3.9806453659427267E-12</v>
      </c>
      <c r="AM147" s="62">
        <f t="shared" si="113"/>
        <v>285.95786938129686</v>
      </c>
      <c r="AN147" s="62">
        <f ca="1">AVERAGE(OFFSET($AM$3,0,0,'Données projet'!$E$10+1,1))-AVERAGE(OFFSET($H$3,0,0,'Données projet'!$E$10+1,1))</f>
        <v>304.35088214287919</v>
      </c>
      <c r="AO147" s="62">
        <f t="shared" si="144"/>
        <v>288.72611053217599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3.6357050703372803E-14</v>
      </c>
      <c r="BF147" s="14">
        <f t="shared" si="145"/>
        <v>6.1445232567661395E-13</v>
      </c>
      <c r="BG147" s="22">
        <f t="shared" si="115"/>
        <v>1.1334929971951436E-12</v>
      </c>
      <c r="BH147" s="62">
        <f t="shared" si="116"/>
        <v>285.95786938129402</v>
      </c>
      <c r="BI147" s="62">
        <f ca="1">AVERAGE(OFFSET($BH$3,0,0,'Données projet'!$E$11+1,1))-AVERAGE(OFFSET($H$3,0,0,'Données projet'!$E$11+1,1))</f>
        <v>285.09561428624352</v>
      </c>
      <c r="BJ147" s="62">
        <f t="shared" si="146"/>
        <v>261.05678516705564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-9.2222762759774927E-14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272.69564942740931</v>
      </c>
      <c r="CE147" s="62">
        <f t="shared" si="148"/>
        <v>316.57989180609252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2.2737367544323206E-13</v>
      </c>
      <c r="CU147" s="18">
        <f>CT147*VLOOKUP('Données projet'!$B$13,Paramètres!$A$1:$I$89,3,0)*VLOOKUP('Données projet'!$B$13,Paramètres!$A$1:$I$89,5,0)</f>
        <v>1.4897523215040565E-13</v>
      </c>
      <c r="CV147" s="14">
        <f t="shared" si="149"/>
        <v>2.136562777003313E-12</v>
      </c>
      <c r="CW147" s="22">
        <f t="shared" si="121"/>
        <v>3.9806453659427267E-12</v>
      </c>
      <c r="CX147" s="62">
        <f t="shared" si="122"/>
        <v>285.95786938129686</v>
      </c>
      <c r="CY147" s="62">
        <f ca="1">AVERAGE(OFFSET($CX$3,0,0,'Données projet'!$E$13+1,1))-AVERAGE(OFFSET($H$3,0,0,'Données projet'!$E$13+1,1))</f>
        <v>304.35088214287919</v>
      </c>
      <c r="CZ147" s="62">
        <f t="shared" si="150"/>
        <v>288.72611053217599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6.5620042732916778E-14</v>
      </c>
      <c r="DQ147" s="14">
        <f t="shared" si="151"/>
        <v>1.0353460337118015E-12</v>
      </c>
      <c r="DR147" s="22">
        <f t="shared" si="124"/>
        <v>1.9175159164745509E-12</v>
      </c>
      <c r="DS147" s="62">
        <f t="shared" si="125"/>
        <v>285.95786938129481</v>
      </c>
      <c r="DT147" s="62">
        <f ca="1">AVERAGE(OFFSET($DS$3,0,0,'Données projet'!$E$14+1,1))-AVERAGE(OFFSET($H$3,0,0,'Données projet'!$E$14+1,1))</f>
        <v>172.86120068224633</v>
      </c>
      <c r="DU147" s="62">
        <f t="shared" si="152"/>
        <v>269.4995727085078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1.4666666666666666</v>
      </c>
      <c r="EJ147" s="13">
        <f>IF('Données projet'!$A$192&gt;35,EJ146+EI147-ER146,IF(A147&lt;'Données projet'!$A$192,$EG$205^A147,IF(A147='Données projet'!$A$192,'Données projet'!$B$192,EJ146+EI147-ER146)))</f>
        <v>223.20000000000019</v>
      </c>
      <c r="EK147" s="18">
        <f>EJ147*VLOOKUP('Données projet'!$B$15,Paramètres!$A$1:$I$89,3,0)*VLOOKUP('Données projet'!$B$15,Paramètres!$A$1:$I$89,5,0)</f>
        <v>188.02368000000018</v>
      </c>
      <c r="EL147" s="14">
        <f t="shared" si="153"/>
        <v>47.102751018267789</v>
      </c>
      <c r="EM147" s="22">
        <f t="shared" si="127"/>
        <v>409.51186735681671</v>
      </c>
      <c r="EN147" s="62">
        <f t="shared" si="128"/>
        <v>695.46973673810953</v>
      </c>
      <c r="EO147" s="62">
        <f ca="1">AVERAGE(OFFSET($EN$3,0,0,'Données projet'!$E$15+1,1))-AVERAGE(OFFSET($H$3,0,0,'Données projet'!$E$15+1,1))</f>
        <v>346.97972840139914</v>
      </c>
      <c r="EP147" s="62">
        <f t="shared" si="154"/>
        <v>158.41433650660613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-1.1368683772161603E-13</v>
      </c>
      <c r="FF147" s="18">
        <f>FE147*VLOOKUP('Données projet'!$B$16,Paramètres!$A$1:$I$89,3,0)*VLOOKUP('Données projet'!$B$16,Paramètres!$A$1:$I$89,5,0)</f>
        <v>-7.4487616075202823E-14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235.88453308732235</v>
      </c>
      <c r="FK147" s="62">
        <f t="shared" si="156"/>
        <v>220.72810812053521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236.7143999999993</v>
      </c>
      <c r="P148" s="14">
        <f t="shared" si="141"/>
        <v>57.732051507919145</v>
      </c>
      <c r="Q148" s="22">
        <f t="shared" si="108"/>
        <v>512.82756970962453</v>
      </c>
      <c r="R148" s="62">
        <f t="shared" si="109"/>
        <v>798.91338690141811</v>
      </c>
      <c r="S148" s="62">
        <f ca="1">AVERAGE(OFFSET($R$3,0,0,'Données projet'!$E$9+1,1))-AVERAGE(OFFSET($H$3,0,0,'Données projet'!$E$9+1,1))</f>
        <v>442.98179778678298</v>
      </c>
      <c r="T148" s="62">
        <f t="shared" si="142"/>
        <v>251.96153561746942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1.4897523215040565E-13</v>
      </c>
      <c r="AK148" s="14">
        <f t="shared" si="143"/>
        <v>2.136562777003313E-12</v>
      </c>
      <c r="AL148" s="22">
        <f t="shared" si="112"/>
        <v>3.9806453659427267E-12</v>
      </c>
      <c r="AM148" s="62">
        <f t="shared" si="113"/>
        <v>286.08581719179756</v>
      </c>
      <c r="AN148" s="62">
        <f ca="1">AVERAGE(OFFSET($AM$3,0,0,'Données projet'!$E$10+1,1))-AVERAGE(OFFSET($H$3,0,0,'Données projet'!$E$10+1,1))</f>
        <v>304.35088214287919</v>
      </c>
      <c r="AO148" s="62">
        <f t="shared" si="144"/>
        <v>288.72611053217599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3.6357050703372803E-14</v>
      </c>
      <c r="BF148" s="14">
        <f t="shared" si="145"/>
        <v>6.1445232567661395E-13</v>
      </c>
      <c r="BG148" s="22">
        <f t="shared" si="115"/>
        <v>1.1334929971951436E-12</v>
      </c>
      <c r="BH148" s="62">
        <f t="shared" si="116"/>
        <v>286.08581719179472</v>
      </c>
      <c r="BI148" s="62">
        <f ca="1">AVERAGE(OFFSET($BH$3,0,0,'Données projet'!$E$11+1,1))-AVERAGE(OFFSET($H$3,0,0,'Données projet'!$E$11+1,1))</f>
        <v>285.09561428624352</v>
      </c>
      <c r="BJ148" s="62">
        <f t="shared" si="146"/>
        <v>261.05678516705564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-9.2222762759774927E-14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272.69564942740931</v>
      </c>
      <c r="CE148" s="62">
        <f t="shared" si="148"/>
        <v>316.57989180609252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2.2737367544323206E-13</v>
      </c>
      <c r="CU148" s="18">
        <f>CT148*VLOOKUP('Données projet'!$B$13,Paramètres!$A$1:$I$89,3,0)*VLOOKUP('Données projet'!$B$13,Paramètres!$A$1:$I$89,5,0)</f>
        <v>1.4897523215040565E-13</v>
      </c>
      <c r="CV148" s="14">
        <f t="shared" si="149"/>
        <v>2.136562777003313E-12</v>
      </c>
      <c r="CW148" s="22">
        <f t="shared" si="121"/>
        <v>3.9806453659427267E-12</v>
      </c>
      <c r="CX148" s="62">
        <f t="shared" si="122"/>
        <v>286.08581719179756</v>
      </c>
      <c r="CY148" s="62">
        <f ca="1">AVERAGE(OFFSET($CX$3,0,0,'Données projet'!$E$13+1,1))-AVERAGE(OFFSET($H$3,0,0,'Données projet'!$E$13+1,1))</f>
        <v>304.35088214287919</v>
      </c>
      <c r="CZ148" s="62">
        <f t="shared" si="150"/>
        <v>288.72611053217599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6.5620042732916778E-14</v>
      </c>
      <c r="DQ148" s="14">
        <f t="shared" si="151"/>
        <v>1.0353460337118015E-12</v>
      </c>
      <c r="DR148" s="22">
        <f t="shared" si="124"/>
        <v>1.9175159164745509E-12</v>
      </c>
      <c r="DS148" s="62">
        <f t="shared" si="125"/>
        <v>286.08581719179551</v>
      </c>
      <c r="DT148" s="62">
        <f ca="1">AVERAGE(OFFSET($DS$3,0,0,'Données projet'!$E$14+1,1))-AVERAGE(OFFSET($H$3,0,0,'Données projet'!$E$14+1,1))</f>
        <v>172.86120068224633</v>
      </c>
      <c r="DU148" s="62">
        <f t="shared" si="152"/>
        <v>269.4995727085078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1.4666666666666666</v>
      </c>
      <c r="EJ148" s="13">
        <f>IF('Données projet'!$A$192&gt;35,EJ147+EI148-ER147,IF(A148&lt;'Données projet'!$A$192,$EG$205^A148,IF(A148='Données projet'!$A$192,'Données projet'!$B$192,EJ147+EI148-ER147)))</f>
        <v>224.66666666666686</v>
      </c>
      <c r="EK148" s="18">
        <f>EJ148*VLOOKUP('Données projet'!$B$15,Paramètres!$A$1:$I$89,3,0)*VLOOKUP('Données projet'!$B$15,Paramètres!$A$1:$I$89,5,0)</f>
        <v>189.25920000000016</v>
      </c>
      <c r="EL148" s="14">
        <f t="shared" si="153"/>
        <v>47.376135270397079</v>
      </c>
      <c r="EM148" s="22">
        <f t="shared" si="127"/>
        <v>412.13987559594187</v>
      </c>
      <c r="EN148" s="62">
        <f t="shared" si="128"/>
        <v>698.2256927877354</v>
      </c>
      <c r="EO148" s="62">
        <f ca="1">AVERAGE(OFFSET($EN$3,0,0,'Données projet'!$E$15+1,1))-AVERAGE(OFFSET($H$3,0,0,'Données projet'!$E$15+1,1))</f>
        <v>346.97972840139914</v>
      </c>
      <c r="EP148" s="62">
        <f t="shared" si="154"/>
        <v>158.41433650660613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-1.1368683772161603E-13</v>
      </c>
      <c r="FF148" s="18">
        <f>FE148*VLOOKUP('Données projet'!$B$16,Paramètres!$A$1:$I$89,3,0)*VLOOKUP('Données projet'!$B$16,Paramètres!$A$1:$I$89,5,0)</f>
        <v>-7.4487616075202823E-14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235.88453308732235</v>
      </c>
      <c r="FK148" s="62">
        <f t="shared" si="156"/>
        <v>220.72810812053521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238.7361599999993</v>
      </c>
      <c r="P149" s="14">
        <f t="shared" si="141"/>
        <v>58.167525647006187</v>
      </c>
      <c r="Q149" s="22">
        <f t="shared" si="108"/>
        <v>517.10725250186795</v>
      </c>
      <c r="R149" s="62">
        <f t="shared" si="109"/>
        <v>803.31879789569859</v>
      </c>
      <c r="S149" s="62">
        <f ca="1">AVERAGE(OFFSET($R$3,0,0,'Données projet'!$E$9+1,1))-AVERAGE(OFFSET($H$3,0,0,'Données projet'!$E$9+1,1))</f>
        <v>442.98179778678298</v>
      </c>
      <c r="T149" s="62">
        <f t="shared" si="142"/>
        <v>251.96153561746942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1.4897523215040565E-13</v>
      </c>
      <c r="AK149" s="14">
        <f t="shared" si="143"/>
        <v>2.136562777003313E-12</v>
      </c>
      <c r="AL149" s="22">
        <f t="shared" si="112"/>
        <v>3.9806453659427267E-12</v>
      </c>
      <c r="AM149" s="62">
        <f t="shared" si="113"/>
        <v>286.21154539383463</v>
      </c>
      <c r="AN149" s="62">
        <f ca="1">AVERAGE(OFFSET($AM$3,0,0,'Données projet'!$E$10+1,1))-AVERAGE(OFFSET($H$3,0,0,'Données projet'!$E$10+1,1))</f>
        <v>304.35088214287919</v>
      </c>
      <c r="AO149" s="62">
        <f t="shared" si="144"/>
        <v>288.72611053217599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3.6357050703372803E-14</v>
      </c>
      <c r="BF149" s="14">
        <f t="shared" si="145"/>
        <v>6.1445232567661395E-13</v>
      </c>
      <c r="BG149" s="22">
        <f t="shared" si="115"/>
        <v>1.1334929971951436E-12</v>
      </c>
      <c r="BH149" s="62">
        <f t="shared" si="116"/>
        <v>286.21154539383178</v>
      </c>
      <c r="BI149" s="62">
        <f ca="1">AVERAGE(OFFSET($BH$3,0,0,'Données projet'!$E$11+1,1))-AVERAGE(OFFSET($H$3,0,0,'Données projet'!$E$11+1,1))</f>
        <v>285.09561428624352</v>
      </c>
      <c r="BJ149" s="62">
        <f t="shared" si="146"/>
        <v>261.05678516705564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-9.2222762759774927E-14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272.69564942740931</v>
      </c>
      <c r="CE149" s="62">
        <f t="shared" si="148"/>
        <v>316.57989180609252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2.2737367544323206E-13</v>
      </c>
      <c r="CU149" s="18">
        <f>CT149*VLOOKUP('Données projet'!$B$13,Paramètres!$A$1:$I$89,3,0)*VLOOKUP('Données projet'!$B$13,Paramètres!$A$1:$I$89,5,0)</f>
        <v>1.4897523215040565E-13</v>
      </c>
      <c r="CV149" s="14">
        <f t="shared" si="149"/>
        <v>2.136562777003313E-12</v>
      </c>
      <c r="CW149" s="22">
        <f t="shared" si="121"/>
        <v>3.9806453659427267E-12</v>
      </c>
      <c r="CX149" s="62">
        <f t="shared" si="122"/>
        <v>286.21154539383463</v>
      </c>
      <c r="CY149" s="62">
        <f ca="1">AVERAGE(OFFSET($CX$3,0,0,'Données projet'!$E$13+1,1))-AVERAGE(OFFSET($H$3,0,0,'Données projet'!$E$13+1,1))</f>
        <v>304.35088214287919</v>
      </c>
      <c r="CZ149" s="62">
        <f t="shared" si="150"/>
        <v>288.72611053217599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6.5620042732916778E-14</v>
      </c>
      <c r="DQ149" s="14">
        <f t="shared" si="151"/>
        <v>1.0353460337118015E-12</v>
      </c>
      <c r="DR149" s="22">
        <f t="shared" si="124"/>
        <v>1.9175159164745509E-12</v>
      </c>
      <c r="DS149" s="62">
        <f t="shared" si="125"/>
        <v>286.21154539383258</v>
      </c>
      <c r="DT149" s="62">
        <f ca="1">AVERAGE(OFFSET($DS$3,0,0,'Données projet'!$E$14+1,1))-AVERAGE(OFFSET($H$3,0,0,'Données projet'!$E$14+1,1))</f>
        <v>172.86120068224633</v>
      </c>
      <c r="DU149" s="62">
        <f t="shared" si="152"/>
        <v>269.4995727085078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1.4666666666666666</v>
      </c>
      <c r="EJ149" s="13">
        <f>IF('Données projet'!$A$192&gt;35,EJ148+EI149-ER148,IF(A149&lt;'Données projet'!$A$192,$EG$205^A149,IF(A149='Données projet'!$A$192,'Données projet'!$B$192,EJ148+EI149-ER148)))</f>
        <v>226.13333333333352</v>
      </c>
      <c r="EK149" s="18">
        <f>EJ149*VLOOKUP('Données projet'!$B$15,Paramètres!$A$1:$I$89,3,0)*VLOOKUP('Données projet'!$B$15,Paramètres!$A$1:$I$89,5,0)</f>
        <v>190.49472000000017</v>
      </c>
      <c r="EL149" s="14">
        <f t="shared" si="153"/>
        <v>47.649311860292443</v>
      </c>
      <c r="EM149" s="22">
        <f t="shared" si="127"/>
        <v>414.76752215667631</v>
      </c>
      <c r="EN149" s="62">
        <f t="shared" si="128"/>
        <v>700.9790675505069</v>
      </c>
      <c r="EO149" s="62">
        <f ca="1">AVERAGE(OFFSET($EN$3,0,0,'Données projet'!$E$15+1,1))-AVERAGE(OFFSET($H$3,0,0,'Données projet'!$E$15+1,1))</f>
        <v>346.97972840139914</v>
      </c>
      <c r="EP149" s="62">
        <f t="shared" si="154"/>
        <v>158.41433650660613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-1.1368683772161603E-13</v>
      </c>
      <c r="FF149" s="18">
        <f>FE149*VLOOKUP('Données projet'!$B$16,Paramètres!$A$1:$I$89,3,0)*VLOOKUP('Données projet'!$B$16,Paramètres!$A$1:$I$89,5,0)</f>
        <v>-7.4487616075202823E-14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235.88453308732235</v>
      </c>
      <c r="FK149" s="62">
        <f t="shared" si="156"/>
        <v>220.72810812053521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240.7579199999993</v>
      </c>
      <c r="P150" s="14">
        <f t="shared" si="141"/>
        <v>58.602570725922028</v>
      </c>
      <c r="Q150" s="22">
        <f t="shared" si="108"/>
        <v>521.38618801431301</v>
      </c>
      <c r="R150" s="62">
        <f t="shared" si="109"/>
        <v>807.72128050696142</v>
      </c>
      <c r="S150" s="62">
        <f ca="1">AVERAGE(OFFSET($R$3,0,0,'Données projet'!$E$9+1,1))-AVERAGE(OFFSET($H$3,0,0,'Données projet'!$E$9+1,1))</f>
        <v>442.98179778678298</v>
      </c>
      <c r="T150" s="62">
        <f t="shared" si="142"/>
        <v>251.96153561746942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1.4897523215040565E-13</v>
      </c>
      <c r="AK150" s="14">
        <f t="shared" si="143"/>
        <v>2.136562777003313E-12</v>
      </c>
      <c r="AL150" s="22">
        <f t="shared" si="112"/>
        <v>3.9806453659427267E-12</v>
      </c>
      <c r="AM150" s="62">
        <f t="shared" si="113"/>
        <v>286.33509249265239</v>
      </c>
      <c r="AN150" s="62">
        <f ca="1">AVERAGE(OFFSET($AM$3,0,0,'Données projet'!$E$10+1,1))-AVERAGE(OFFSET($H$3,0,0,'Données projet'!$E$10+1,1))</f>
        <v>304.35088214287919</v>
      </c>
      <c r="AO150" s="62">
        <f t="shared" si="144"/>
        <v>288.72611053217599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3.6357050703372803E-14</v>
      </c>
      <c r="BF150" s="14">
        <f t="shared" si="145"/>
        <v>6.1445232567661395E-13</v>
      </c>
      <c r="BG150" s="22">
        <f t="shared" si="115"/>
        <v>1.1334929971951436E-12</v>
      </c>
      <c r="BH150" s="62">
        <f t="shared" si="116"/>
        <v>286.33509249264955</v>
      </c>
      <c r="BI150" s="62">
        <f ca="1">AVERAGE(OFFSET($BH$3,0,0,'Données projet'!$E$11+1,1))-AVERAGE(OFFSET($H$3,0,0,'Données projet'!$E$11+1,1))</f>
        <v>285.09561428624352</v>
      </c>
      <c r="BJ150" s="62">
        <f t="shared" si="146"/>
        <v>261.05678516705564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-9.2222762759774927E-14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272.69564942740931</v>
      </c>
      <c r="CE150" s="62">
        <f t="shared" si="148"/>
        <v>316.57989180609252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2.2737367544323206E-13</v>
      </c>
      <c r="CU150" s="18">
        <f>CT150*VLOOKUP('Données projet'!$B$13,Paramètres!$A$1:$I$89,3,0)*VLOOKUP('Données projet'!$B$13,Paramètres!$A$1:$I$89,5,0)</f>
        <v>1.4897523215040565E-13</v>
      </c>
      <c r="CV150" s="14">
        <f t="shared" si="149"/>
        <v>2.136562777003313E-12</v>
      </c>
      <c r="CW150" s="22">
        <f t="shared" si="121"/>
        <v>3.9806453659427267E-12</v>
      </c>
      <c r="CX150" s="62">
        <f t="shared" si="122"/>
        <v>286.33509249265239</v>
      </c>
      <c r="CY150" s="62">
        <f ca="1">AVERAGE(OFFSET($CX$3,0,0,'Données projet'!$E$13+1,1))-AVERAGE(OFFSET($H$3,0,0,'Données projet'!$E$13+1,1))</f>
        <v>304.35088214287919</v>
      </c>
      <c r="CZ150" s="62">
        <f t="shared" si="150"/>
        <v>288.72611053217599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6.5620042732916778E-14</v>
      </c>
      <c r="DQ150" s="14">
        <f t="shared" si="151"/>
        <v>1.0353460337118015E-12</v>
      </c>
      <c r="DR150" s="22">
        <f t="shared" si="124"/>
        <v>1.9175159164745509E-12</v>
      </c>
      <c r="DS150" s="62">
        <f t="shared" si="125"/>
        <v>286.33509249265035</v>
      </c>
      <c r="DT150" s="62">
        <f ca="1">AVERAGE(OFFSET($DS$3,0,0,'Données projet'!$E$14+1,1))-AVERAGE(OFFSET($H$3,0,0,'Données projet'!$E$14+1,1))</f>
        <v>172.86120068224633</v>
      </c>
      <c r="DU150" s="62">
        <f t="shared" si="152"/>
        <v>269.4995727085078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1.4666666666666666</v>
      </c>
      <c r="EJ150" s="13">
        <f>IF('Données projet'!$A$192&gt;35,EJ149+EI150-ER149,IF(A150&lt;'Données projet'!$A$192,$EG$205^A150,IF(A150='Données projet'!$A$192,'Données projet'!$B$192,EJ149+EI150-ER149)))</f>
        <v>227.60000000000019</v>
      </c>
      <c r="EK150" s="18">
        <f>EJ150*VLOOKUP('Données projet'!$B$15,Paramètres!$A$1:$I$89,3,0)*VLOOKUP('Données projet'!$B$15,Paramètres!$A$1:$I$89,5,0)</f>
        <v>191.73024000000018</v>
      </c>
      <c r="EL150" s="14">
        <f t="shared" si="153"/>
        <v>47.922282291048582</v>
      </c>
      <c r="EM150" s="22">
        <f t="shared" si="127"/>
        <v>417.3948096569099</v>
      </c>
      <c r="EN150" s="62">
        <f t="shared" si="128"/>
        <v>703.72990214955826</v>
      </c>
      <c r="EO150" s="62">
        <f ca="1">AVERAGE(OFFSET($EN$3,0,0,'Données projet'!$E$15+1,1))-AVERAGE(OFFSET($H$3,0,0,'Données projet'!$E$15+1,1))</f>
        <v>346.97972840139914</v>
      </c>
      <c r="EP150" s="62">
        <f t="shared" si="154"/>
        <v>158.41433650660613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-1.1368683772161603E-13</v>
      </c>
      <c r="FF150" s="18">
        <f>FE150*VLOOKUP('Données projet'!$B$16,Paramètres!$A$1:$I$89,3,0)*VLOOKUP('Données projet'!$B$16,Paramètres!$A$1:$I$89,5,0)</f>
        <v>-7.4487616075202823E-14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235.88453308732235</v>
      </c>
      <c r="FK150" s="62">
        <f t="shared" si="156"/>
        <v>220.72810812053521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242.77967999999925</v>
      </c>
      <c r="P151" s="14">
        <f t="shared" si="141"/>
        <v>59.0371907652126</v>
      </c>
      <c r="Q151" s="22">
        <f t="shared" si="108"/>
        <v>525.66438324941055</v>
      </c>
      <c r="R151" s="62">
        <f t="shared" si="109"/>
        <v>812.12087957492224</v>
      </c>
      <c r="S151" s="62">
        <f ca="1">AVERAGE(OFFSET($R$3,0,0,'Données projet'!$E$9+1,1))-AVERAGE(OFFSET($H$3,0,0,'Données projet'!$E$9+1,1))</f>
        <v>442.98179778678298</v>
      </c>
      <c r="T151" s="62">
        <f t="shared" si="142"/>
        <v>251.96153561746942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1.4897523215040565E-13</v>
      </c>
      <c r="AK151" s="14">
        <f t="shared" si="143"/>
        <v>2.136562777003313E-12</v>
      </c>
      <c r="AL151" s="22">
        <f t="shared" si="112"/>
        <v>3.9806453659427267E-12</v>
      </c>
      <c r="AM151" s="62">
        <f t="shared" si="113"/>
        <v>286.45649632551567</v>
      </c>
      <c r="AN151" s="62">
        <f ca="1">AVERAGE(OFFSET($AM$3,0,0,'Données projet'!$E$10+1,1))-AVERAGE(OFFSET($H$3,0,0,'Données projet'!$E$10+1,1))</f>
        <v>304.35088214287919</v>
      </c>
      <c r="AO151" s="62">
        <f t="shared" si="144"/>
        <v>288.72611053217599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3.6357050703372803E-14</v>
      </c>
      <c r="BF151" s="14">
        <f t="shared" si="145"/>
        <v>6.1445232567661395E-13</v>
      </c>
      <c r="BG151" s="22">
        <f t="shared" si="115"/>
        <v>1.1334929971951436E-12</v>
      </c>
      <c r="BH151" s="62">
        <f t="shared" si="116"/>
        <v>286.45649632551283</v>
      </c>
      <c r="BI151" s="62">
        <f ca="1">AVERAGE(OFFSET($BH$3,0,0,'Données projet'!$E$11+1,1))-AVERAGE(OFFSET($H$3,0,0,'Données projet'!$E$11+1,1))</f>
        <v>285.09561428624352</v>
      </c>
      <c r="BJ151" s="62">
        <f t="shared" si="146"/>
        <v>261.05678516705564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-9.2222762759774927E-14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272.69564942740931</v>
      </c>
      <c r="CE151" s="62">
        <f t="shared" si="148"/>
        <v>316.57989180609252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2.2737367544323206E-13</v>
      </c>
      <c r="CU151" s="18">
        <f>CT151*VLOOKUP('Données projet'!$B$13,Paramètres!$A$1:$I$89,3,0)*VLOOKUP('Données projet'!$B$13,Paramètres!$A$1:$I$89,5,0)</f>
        <v>1.4897523215040565E-13</v>
      </c>
      <c r="CV151" s="14">
        <f t="shared" si="149"/>
        <v>2.136562777003313E-12</v>
      </c>
      <c r="CW151" s="22">
        <f t="shared" si="121"/>
        <v>3.9806453659427267E-12</v>
      </c>
      <c r="CX151" s="62">
        <f t="shared" si="122"/>
        <v>286.45649632551567</v>
      </c>
      <c r="CY151" s="62">
        <f ca="1">AVERAGE(OFFSET($CX$3,0,0,'Données projet'!$E$13+1,1))-AVERAGE(OFFSET($H$3,0,0,'Données projet'!$E$13+1,1))</f>
        <v>304.35088214287919</v>
      </c>
      <c r="CZ151" s="62">
        <f t="shared" si="150"/>
        <v>288.72611053217599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6.5620042732916778E-14</v>
      </c>
      <c r="DQ151" s="14">
        <f t="shared" si="151"/>
        <v>1.0353460337118015E-12</v>
      </c>
      <c r="DR151" s="22">
        <f t="shared" si="124"/>
        <v>1.9175159164745509E-12</v>
      </c>
      <c r="DS151" s="62">
        <f t="shared" si="125"/>
        <v>286.45649632551363</v>
      </c>
      <c r="DT151" s="62">
        <f ca="1">AVERAGE(OFFSET($DS$3,0,0,'Données projet'!$E$14+1,1))-AVERAGE(OFFSET($H$3,0,0,'Données projet'!$E$14+1,1))</f>
        <v>172.86120068224633</v>
      </c>
      <c r="DU151" s="62">
        <f t="shared" si="152"/>
        <v>269.4995727085078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1.4666666666666666</v>
      </c>
      <c r="EJ151" s="13">
        <f>IF('Données projet'!$A$192&gt;35,EJ150+EI151-ER150,IF(A151&lt;'Données projet'!$A$192,$EG$205^A151,IF(A151='Données projet'!$A$192,'Données projet'!$B$192,EJ150+EI151-ER150)))</f>
        <v>229.06666666666686</v>
      </c>
      <c r="EK151" s="18">
        <f>EJ151*VLOOKUP('Données projet'!$B$15,Paramètres!$A$1:$I$89,3,0)*VLOOKUP('Données projet'!$B$15,Paramètres!$A$1:$I$89,5,0)</f>
        <v>192.96576000000019</v>
      </c>
      <c r="EL151" s="14">
        <f t="shared" si="153"/>
        <v>48.195048045268052</v>
      </c>
      <c r="EM151" s="22">
        <f t="shared" si="127"/>
        <v>420.02174067884221</v>
      </c>
      <c r="EN151" s="62">
        <f t="shared" si="128"/>
        <v>706.4782370043539</v>
      </c>
      <c r="EO151" s="62">
        <f ca="1">AVERAGE(OFFSET($EN$3,0,0,'Données projet'!$E$15+1,1))-AVERAGE(OFFSET($H$3,0,0,'Données projet'!$E$15+1,1))</f>
        <v>346.97972840139914</v>
      </c>
      <c r="EP151" s="62">
        <f t="shared" si="154"/>
        <v>158.41433650660613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-1.1368683772161603E-13</v>
      </c>
      <c r="FF151" s="18">
        <f>FE151*VLOOKUP('Données projet'!$B$16,Paramètres!$A$1:$I$89,3,0)*VLOOKUP('Données projet'!$B$16,Paramètres!$A$1:$I$89,5,0)</f>
        <v>-7.4487616075202823E-14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235.88453308732235</v>
      </c>
      <c r="FK151" s="62">
        <f t="shared" si="156"/>
        <v>220.72810812053521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244.80143999999922</v>
      </c>
      <c r="P152" s="14">
        <f t="shared" si="141"/>
        <v>59.471389714596413</v>
      </c>
      <c r="Q152" s="22">
        <f t="shared" si="108"/>
        <v>529.94184508625403</v>
      </c>
      <c r="R152" s="62">
        <f t="shared" si="109"/>
        <v>816.51763915954712</v>
      </c>
      <c r="S152" s="62">
        <f ca="1">AVERAGE(OFFSET($R$3,0,0,'Données projet'!$E$9+1,1))-AVERAGE(OFFSET($H$3,0,0,'Données projet'!$E$9+1,1))</f>
        <v>442.98179778678298</v>
      </c>
      <c r="T152" s="62">
        <f t="shared" si="142"/>
        <v>251.96153561746942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1.4897523215040565E-13</v>
      </c>
      <c r="AK152" s="14">
        <f t="shared" si="143"/>
        <v>2.136562777003313E-12</v>
      </c>
      <c r="AL152" s="22">
        <f t="shared" si="112"/>
        <v>3.9806453659427267E-12</v>
      </c>
      <c r="AM152" s="62">
        <f t="shared" si="113"/>
        <v>286.57579407329706</v>
      </c>
      <c r="AN152" s="62">
        <f ca="1">AVERAGE(OFFSET($AM$3,0,0,'Données projet'!$E$10+1,1))-AVERAGE(OFFSET($H$3,0,0,'Données projet'!$E$10+1,1))</f>
        <v>304.35088214287919</v>
      </c>
      <c r="AO152" s="62">
        <f t="shared" si="144"/>
        <v>288.72611053217599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3.6357050703372803E-14</v>
      </c>
      <c r="BF152" s="14">
        <f t="shared" si="145"/>
        <v>6.1445232567661395E-13</v>
      </c>
      <c r="BG152" s="22">
        <f t="shared" si="115"/>
        <v>1.1334929971951436E-12</v>
      </c>
      <c r="BH152" s="62">
        <f t="shared" si="116"/>
        <v>286.57579407329422</v>
      </c>
      <c r="BI152" s="62">
        <f ca="1">AVERAGE(OFFSET($BH$3,0,0,'Données projet'!$E$11+1,1))-AVERAGE(OFFSET($H$3,0,0,'Données projet'!$E$11+1,1))</f>
        <v>285.09561428624352</v>
      </c>
      <c r="BJ152" s="62">
        <f t="shared" si="146"/>
        <v>261.05678516705564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-9.2222762759774927E-14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272.69564942740931</v>
      </c>
      <c r="CE152" s="62">
        <f t="shared" si="148"/>
        <v>316.57989180609252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2.2737367544323206E-13</v>
      </c>
      <c r="CU152" s="18">
        <f>CT152*VLOOKUP('Données projet'!$B$13,Paramètres!$A$1:$I$89,3,0)*VLOOKUP('Données projet'!$B$13,Paramètres!$A$1:$I$89,5,0)</f>
        <v>1.4897523215040565E-13</v>
      </c>
      <c r="CV152" s="14">
        <f t="shared" si="149"/>
        <v>2.136562777003313E-12</v>
      </c>
      <c r="CW152" s="22">
        <f t="shared" si="121"/>
        <v>3.9806453659427267E-12</v>
      </c>
      <c r="CX152" s="62">
        <f t="shared" si="122"/>
        <v>286.57579407329706</v>
      </c>
      <c r="CY152" s="62">
        <f ca="1">AVERAGE(OFFSET($CX$3,0,0,'Données projet'!$E$13+1,1))-AVERAGE(OFFSET($H$3,0,0,'Données projet'!$E$13+1,1))</f>
        <v>304.35088214287919</v>
      </c>
      <c r="CZ152" s="62">
        <f t="shared" si="150"/>
        <v>288.72611053217599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6.5620042732916778E-14</v>
      </c>
      <c r="DQ152" s="14">
        <f t="shared" si="151"/>
        <v>1.0353460337118015E-12</v>
      </c>
      <c r="DR152" s="22">
        <f t="shared" si="124"/>
        <v>1.9175159164745509E-12</v>
      </c>
      <c r="DS152" s="62">
        <f t="shared" si="125"/>
        <v>286.57579407329501</v>
      </c>
      <c r="DT152" s="62">
        <f ca="1">AVERAGE(OFFSET($DS$3,0,0,'Données projet'!$E$14+1,1))-AVERAGE(OFFSET($H$3,0,0,'Données projet'!$E$14+1,1))</f>
        <v>172.86120068224633</v>
      </c>
      <c r="DU152" s="62">
        <f t="shared" si="152"/>
        <v>269.4995727085078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1.4666666666666666</v>
      </c>
      <c r="EJ152" s="13">
        <f>IF('Données projet'!$A$192&gt;35,EJ151+EI152-ER151,IF(A152&lt;'Données projet'!$A$192,$EG$205^A152,IF(A152='Données projet'!$A$192,'Données projet'!$B$192,EJ151+EI152-ER151)))</f>
        <v>230.53333333333353</v>
      </c>
      <c r="EK152" s="18">
        <f>EJ152*VLOOKUP('Données projet'!$B$15,Paramètres!$A$1:$I$89,3,0)*VLOOKUP('Données projet'!$B$15,Paramètres!$A$1:$I$89,5,0)</f>
        <v>194.2012800000002</v>
      </c>
      <c r="EL152" s="14">
        <f t="shared" si="153"/>
        <v>48.467610585469941</v>
      </c>
      <c r="EM152" s="22">
        <f t="shared" si="127"/>
        <v>422.64831776969385</v>
      </c>
      <c r="EN152" s="62">
        <f t="shared" si="128"/>
        <v>709.22411184298699</v>
      </c>
      <c r="EO152" s="62">
        <f ca="1">AVERAGE(OFFSET($EN$3,0,0,'Données projet'!$E$15+1,1))-AVERAGE(OFFSET($H$3,0,0,'Données projet'!$E$15+1,1))</f>
        <v>346.97972840139914</v>
      </c>
      <c r="EP152" s="62">
        <f t="shared" si="154"/>
        <v>158.41433650660613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-1.1368683772161603E-13</v>
      </c>
      <c r="FF152" s="18">
        <f>FE152*VLOOKUP('Données projet'!$B$16,Paramètres!$A$1:$I$89,3,0)*VLOOKUP('Données projet'!$B$16,Paramètres!$A$1:$I$89,5,0)</f>
        <v>-7.4487616075202823E-14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235.88453308732235</v>
      </c>
      <c r="FK152" s="62">
        <f t="shared" si="156"/>
        <v>220.72810812053521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246.82319999999922</v>
      </c>
      <c r="P153" s="14">
        <f t="shared" si="141"/>
        <v>59.905171454785851</v>
      </c>
      <c r="Q153" s="22">
        <f t="shared" si="108"/>
        <v>534.21858028375061</v>
      </c>
      <c r="R153" s="62">
        <f t="shared" si="109"/>
        <v>820.9116025556109</v>
      </c>
      <c r="S153" s="62">
        <f ca="1">AVERAGE(OFFSET($R$3,0,0,'Données projet'!$E$9+1,1))-AVERAGE(OFFSET($H$3,0,0,'Données projet'!$E$9+1,1))</f>
        <v>442.98179778678298</v>
      </c>
      <c r="T153" s="62">
        <f t="shared" si="142"/>
        <v>251.96153561746942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1.4897523215040565E-13</v>
      </c>
      <c r="AK153" s="14">
        <f t="shared" si="143"/>
        <v>2.136562777003313E-12</v>
      </c>
      <c r="AL153" s="22">
        <f t="shared" si="112"/>
        <v>3.9806453659427267E-12</v>
      </c>
      <c r="AM153" s="62">
        <f t="shared" si="113"/>
        <v>286.69302227186432</v>
      </c>
      <c r="AN153" s="62">
        <f ca="1">AVERAGE(OFFSET($AM$3,0,0,'Données projet'!$E$10+1,1))-AVERAGE(OFFSET($H$3,0,0,'Données projet'!$E$10+1,1))</f>
        <v>304.35088214287919</v>
      </c>
      <c r="AO153" s="62">
        <f t="shared" si="144"/>
        <v>288.72611053217599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3.6357050703372803E-14</v>
      </c>
      <c r="BF153" s="14">
        <f t="shared" si="145"/>
        <v>6.1445232567661395E-13</v>
      </c>
      <c r="BG153" s="22">
        <f t="shared" si="115"/>
        <v>1.1334929971951436E-12</v>
      </c>
      <c r="BH153" s="62">
        <f t="shared" si="116"/>
        <v>286.69302227186148</v>
      </c>
      <c r="BI153" s="62">
        <f ca="1">AVERAGE(OFFSET($BH$3,0,0,'Données projet'!$E$11+1,1))-AVERAGE(OFFSET($H$3,0,0,'Données projet'!$E$11+1,1))</f>
        <v>285.09561428624352</v>
      </c>
      <c r="BJ153" s="62">
        <f t="shared" si="146"/>
        <v>261.05678516705564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-9.2222762759774927E-14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272.69564942740931</v>
      </c>
      <c r="CE153" s="62">
        <f t="shared" si="148"/>
        <v>316.57989180609252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2.2737367544323206E-13</v>
      </c>
      <c r="CU153" s="18">
        <f>CT153*VLOOKUP('Données projet'!$B$13,Paramètres!$A$1:$I$89,3,0)*VLOOKUP('Données projet'!$B$13,Paramètres!$A$1:$I$89,5,0)</f>
        <v>1.4897523215040565E-13</v>
      </c>
      <c r="CV153" s="14">
        <f t="shared" si="149"/>
        <v>2.136562777003313E-12</v>
      </c>
      <c r="CW153" s="22">
        <f t="shared" si="121"/>
        <v>3.9806453659427267E-12</v>
      </c>
      <c r="CX153" s="62">
        <f t="shared" si="122"/>
        <v>286.69302227186432</v>
      </c>
      <c r="CY153" s="62">
        <f ca="1">AVERAGE(OFFSET($CX$3,0,0,'Données projet'!$E$13+1,1))-AVERAGE(OFFSET($H$3,0,0,'Données projet'!$E$13+1,1))</f>
        <v>304.35088214287919</v>
      </c>
      <c r="CZ153" s="62">
        <f t="shared" si="150"/>
        <v>288.72611053217599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6.5620042732916778E-14</v>
      </c>
      <c r="DQ153" s="14">
        <f t="shared" si="151"/>
        <v>1.0353460337118015E-12</v>
      </c>
      <c r="DR153" s="22">
        <f t="shared" si="124"/>
        <v>1.9175159164745509E-12</v>
      </c>
      <c r="DS153" s="62">
        <f t="shared" si="125"/>
        <v>286.69302227186228</v>
      </c>
      <c r="DT153" s="62">
        <f ca="1">AVERAGE(OFFSET($DS$3,0,0,'Données projet'!$E$14+1,1))-AVERAGE(OFFSET($H$3,0,0,'Données projet'!$E$14+1,1))</f>
        <v>172.86120068224633</v>
      </c>
      <c r="DU153" s="62">
        <f t="shared" si="152"/>
        <v>269.4995727085078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232</v>
      </c>
      <c r="EH153" s="13">
        <f>VLOOKUP(A153,'Données projet'!$A$191:$I$211,9,0)</f>
        <v>1.4666666666666666</v>
      </c>
      <c r="EI153" s="13">
        <f t="array" ref="EI153">INDEX(EH:EH,MIN(IF(ISNUMBER(EH153:EH349),ROW(EH153:EH349),"")))</f>
        <v>1.4666666666666666</v>
      </c>
      <c r="EJ153" s="13">
        <f>IF('Données projet'!$A$192&gt;35,EJ152+EI153-ER152,IF(A153&lt;'Données projet'!$A$192,$EG$205^A153,IF(A153='Données projet'!$A$192,'Données projet'!$B$192,EJ152+EI153-ER152)))</f>
        <v>232.0000000000002</v>
      </c>
      <c r="EK153" s="18">
        <f>EJ153*VLOOKUP('Données projet'!$B$15,Paramètres!$A$1:$I$89,3,0)*VLOOKUP('Données projet'!$B$15,Paramètres!$A$1:$I$89,5,0)</f>
        <v>195.43680000000018</v>
      </c>
      <c r="EL153" s="14">
        <f t="shared" si="153"/>
        <v>48.739971354487892</v>
      </c>
      <c r="EM153" s="22">
        <f t="shared" si="127"/>
        <v>425.27454344240005</v>
      </c>
      <c r="EN153" s="62">
        <f t="shared" si="128"/>
        <v>711.96756571426045</v>
      </c>
      <c r="EO153" s="62">
        <f ca="1">AVERAGE(OFFSET($EN$3,0,0,'Données projet'!$E$15+1,1))-AVERAGE(OFFSET($H$3,0,0,'Données projet'!$E$15+1,1))</f>
        <v>346.97972840139914</v>
      </c>
      <c r="EP153" s="62">
        <f t="shared" si="154"/>
        <v>158.41433650660613</v>
      </c>
      <c r="EQ153" s="16">
        <f>IF(ISNA(VLOOKUP(A153,'Données projet'!$A$191:$I$211,3,0)),0,VLOOKUP(A153,'Données projet'!$A$191:$I$211,3,0))</f>
        <v>12</v>
      </c>
      <c r="ER153" s="16">
        <f>IF(ISNA(VLOOKUP(A153,'Données projet'!$A$191:$I$211,4,0)),0,VLOOKUP(A153,'Données projet'!$A$191:$I$211,4,0))</f>
        <v>232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-1.1368683772161603E-13</v>
      </c>
      <c r="FF153" s="18">
        <f>FE153*VLOOKUP('Données projet'!$B$16,Paramètres!$A$1:$I$89,3,0)*VLOOKUP('Données projet'!$B$16,Paramètres!$A$1:$I$89,5,0)</f>
        <v>-7.4487616075202823E-14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235.88453308732235</v>
      </c>
      <c r="FK153" s="62">
        <f t="shared" si="156"/>
        <v>220.72810812053521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-8.1404323282185943E-13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442.98179778678298</v>
      </c>
      <c r="T154" s="62">
        <f t="shared" si="142"/>
        <v>251.96153561746942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1.4897523215040565E-13</v>
      </c>
      <c r="AK154" s="14">
        <f t="shared" ref="AK154:AK203" si="164">EXP(-1.0587+0.8836*LN(AJ154)+0.284)</f>
        <v>2.136562777003313E-12</v>
      </c>
      <c r="AL154" s="22">
        <f t="shared" ref="AL154:AL203" si="165">(AJ154+AK154)*0.475*44/12</f>
        <v>3.9806453659427267E-12</v>
      </c>
      <c r="AM154" s="62">
        <f t="shared" si="113"/>
        <v>286.80821682326933</v>
      </c>
      <c r="AN154" s="62">
        <f ca="1">AVERAGE(OFFSET($AM$3,0,0,'Données projet'!$E$10+1,1))-AVERAGE(OFFSET($H$3,0,0,'Données projet'!$E$10+1,1))</f>
        <v>304.35088214287919</v>
      </c>
      <c r="AO154" s="62">
        <f t="shared" si="144"/>
        <v>288.72611053217599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3.6357050703372803E-14</v>
      </c>
      <c r="BF154" s="14">
        <f t="shared" ref="BF154:BF203" si="167">EXP(-1.0587+0.8836*LN(BE154)+0.284)</f>
        <v>6.1445232567661395E-13</v>
      </c>
      <c r="BG154" s="22">
        <f t="shared" ref="BG154:BG203" si="168">(BE154+BF154)*0.475*44/12</f>
        <v>1.1334929971951436E-12</v>
      </c>
      <c r="BH154" s="62">
        <f t="shared" si="116"/>
        <v>286.80821682326649</v>
      </c>
      <c r="BI154" s="62">
        <f ca="1">AVERAGE(OFFSET($BH$3,0,0,'Données projet'!$E$11+1,1))-AVERAGE(OFFSET($H$3,0,0,'Données projet'!$E$11+1,1))</f>
        <v>285.09561428624352</v>
      </c>
      <c r="BJ154" s="62">
        <f t="shared" si="146"/>
        <v>261.05678516705564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-9.2222762759774927E-14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272.69564942740931</v>
      </c>
      <c r="CE154" s="62">
        <f t="shared" si="148"/>
        <v>316.57989180609252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2.2737367544323206E-13</v>
      </c>
      <c r="CU154" s="18">
        <f>CT154*VLOOKUP('Données projet'!$B$13,Paramètres!$A$1:$I$89,3,0)*VLOOKUP('Données projet'!$B$13,Paramètres!$A$1:$I$89,5,0)</f>
        <v>1.4897523215040565E-13</v>
      </c>
      <c r="CV154" s="14">
        <f t="shared" ref="CV154:CV203" si="173">EXP(-1.0587+0.8836*LN(CU154)+0.284)</f>
        <v>2.136562777003313E-12</v>
      </c>
      <c r="CW154" s="22">
        <f t="shared" ref="CW154:CW203" si="174">(CU154+CV154)*0.475*44/12</f>
        <v>3.9806453659427267E-12</v>
      </c>
      <c r="CX154" s="62">
        <f t="shared" si="122"/>
        <v>286.80821682326933</v>
      </c>
      <c r="CY154" s="62">
        <f ca="1">AVERAGE(OFFSET($CX$3,0,0,'Données projet'!$E$13+1,1))-AVERAGE(OFFSET($H$3,0,0,'Données projet'!$E$13+1,1))</f>
        <v>304.35088214287919</v>
      </c>
      <c r="CZ154" s="62">
        <f t="shared" si="150"/>
        <v>288.72611053217599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6.5620042732916778E-14</v>
      </c>
      <c r="DQ154" s="14">
        <f t="shared" ref="DQ154:DQ203" si="176">EXP(-1.0587+0.8836*LN(DP154)+0.284)</f>
        <v>1.0353460337118015E-12</v>
      </c>
      <c r="DR154" s="22">
        <f t="shared" ref="DR154:DR203" si="177">(DP154+DQ154)*0.475*44/12</f>
        <v>1.9175159164745509E-12</v>
      </c>
      <c r="DS154" s="62">
        <f t="shared" si="125"/>
        <v>286.80821682326729</v>
      </c>
      <c r="DT154" s="62">
        <f ca="1">AVERAGE(OFFSET($DS$3,0,0,'Données projet'!$E$14+1,1))-AVERAGE(OFFSET($H$3,0,0,'Données projet'!$E$14+1,1))</f>
        <v>172.86120068224633</v>
      </c>
      <c r="DU154" s="62">
        <f t="shared" si="152"/>
        <v>269.4995727085078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1.9895196601282805E-13</v>
      </c>
      <c r="EK154" s="18">
        <f>EJ154*VLOOKUP('Données projet'!$B$15,Paramètres!$A$1:$I$89,3,0)*VLOOKUP('Données projet'!$B$15,Paramètres!$A$1:$I$89,5,0)</f>
        <v>1.6759713616920637E-13</v>
      </c>
      <c r="EL154" s="14">
        <f t="shared" ref="EL154:EL203" si="179">EXP(-1.0587+0.8836*LN(EK154)+0.284)</f>
        <v>2.3709043131075133E-12</v>
      </c>
      <c r="EM154" s="22">
        <f t="shared" ref="EM154:EM203" si="180">(EK154+EL154)*0.475*44/12</f>
        <v>4.4212233574902864E-12</v>
      </c>
      <c r="EN154" s="62">
        <f t="shared" si="128"/>
        <v>286.80821682326979</v>
      </c>
      <c r="EO154" s="62">
        <f ca="1">AVERAGE(OFFSET($EN$3,0,0,'Données projet'!$E$15+1,1))-AVERAGE(OFFSET($H$3,0,0,'Données projet'!$E$15+1,1))</f>
        <v>346.97972840139914</v>
      </c>
      <c r="EP154" s="62">
        <f t="shared" si="154"/>
        <v>158.41433650660613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-1.1368683772161603E-13</v>
      </c>
      <c r="FF154" s="18">
        <f>FE154*VLOOKUP('Données projet'!$B$16,Paramètres!$A$1:$I$89,3,0)*VLOOKUP('Données projet'!$B$16,Paramètres!$A$1:$I$89,5,0)</f>
        <v>-7.4487616075202823E-14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235.88453308732235</v>
      </c>
      <c r="FK154" s="62">
        <f t="shared" si="156"/>
        <v>220.72810812053521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-8.1404323282185943E-13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442.98179778678298</v>
      </c>
      <c r="T155" s="62">
        <f t="shared" si="142"/>
        <v>251.96153561746942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1.4897523215040565E-13</v>
      </c>
      <c r="AK155" s="14">
        <f t="shared" si="164"/>
        <v>2.136562777003313E-12</v>
      </c>
      <c r="AL155" s="22">
        <f t="shared" si="165"/>
        <v>3.9806453659427267E-12</v>
      </c>
      <c r="AM155" s="62">
        <f t="shared" si="113"/>
        <v>286.92141300674388</v>
      </c>
      <c r="AN155" s="62">
        <f ca="1">AVERAGE(OFFSET($AM$3,0,0,'Données projet'!$E$10+1,1))-AVERAGE(OFFSET($H$3,0,0,'Données projet'!$E$10+1,1))</f>
        <v>304.35088214287919</v>
      </c>
      <c r="AO155" s="62">
        <f t="shared" si="144"/>
        <v>288.72611053217599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3.6357050703372803E-14</v>
      </c>
      <c r="BF155" s="14">
        <f t="shared" si="167"/>
        <v>6.1445232567661395E-13</v>
      </c>
      <c r="BG155" s="22">
        <f t="shared" si="168"/>
        <v>1.1334929971951436E-12</v>
      </c>
      <c r="BH155" s="62">
        <f t="shared" si="116"/>
        <v>286.92141300674103</v>
      </c>
      <c r="BI155" s="62">
        <f ca="1">AVERAGE(OFFSET($BH$3,0,0,'Données projet'!$E$11+1,1))-AVERAGE(OFFSET($H$3,0,0,'Données projet'!$E$11+1,1))</f>
        <v>285.09561428624352</v>
      </c>
      <c r="BJ155" s="62">
        <f t="shared" si="146"/>
        <v>261.05678516705564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-9.2222762759774927E-14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272.69564942740931</v>
      </c>
      <c r="CE155" s="62">
        <f t="shared" si="148"/>
        <v>316.57989180609252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2.2737367544323206E-13</v>
      </c>
      <c r="CU155" s="18">
        <f>CT155*VLOOKUP('Données projet'!$B$13,Paramètres!$A$1:$I$89,3,0)*VLOOKUP('Données projet'!$B$13,Paramètres!$A$1:$I$89,5,0)</f>
        <v>1.4897523215040565E-13</v>
      </c>
      <c r="CV155" s="14">
        <f t="shared" si="173"/>
        <v>2.136562777003313E-12</v>
      </c>
      <c r="CW155" s="22">
        <f t="shared" si="174"/>
        <v>3.9806453659427267E-12</v>
      </c>
      <c r="CX155" s="62">
        <f t="shared" si="122"/>
        <v>286.92141300674388</v>
      </c>
      <c r="CY155" s="62">
        <f ca="1">AVERAGE(OFFSET($CX$3,0,0,'Données projet'!$E$13+1,1))-AVERAGE(OFFSET($H$3,0,0,'Données projet'!$E$13+1,1))</f>
        <v>304.35088214287919</v>
      </c>
      <c r="CZ155" s="62">
        <f t="shared" si="150"/>
        <v>288.72611053217599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6.5620042732916778E-14</v>
      </c>
      <c r="DQ155" s="14">
        <f t="shared" si="176"/>
        <v>1.0353460337118015E-12</v>
      </c>
      <c r="DR155" s="22">
        <f t="shared" si="177"/>
        <v>1.9175159164745509E-12</v>
      </c>
      <c r="DS155" s="62">
        <f t="shared" si="125"/>
        <v>286.92141300674183</v>
      </c>
      <c r="DT155" s="62">
        <f ca="1">AVERAGE(OFFSET($DS$3,0,0,'Données projet'!$E$14+1,1))-AVERAGE(OFFSET($H$3,0,0,'Données projet'!$E$14+1,1))</f>
        <v>172.86120068224633</v>
      </c>
      <c r="DU155" s="62">
        <f t="shared" si="152"/>
        <v>269.4995727085078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1.9895196601282805E-13</v>
      </c>
      <c r="EK155" s="18">
        <f>EJ155*VLOOKUP('Données projet'!$B$15,Paramètres!$A$1:$I$89,3,0)*VLOOKUP('Données projet'!$B$15,Paramètres!$A$1:$I$89,5,0)</f>
        <v>1.6759713616920637E-13</v>
      </c>
      <c r="EL155" s="14">
        <f t="shared" si="179"/>
        <v>2.3709043131075133E-12</v>
      </c>
      <c r="EM155" s="22">
        <f t="shared" si="180"/>
        <v>4.4212233574902864E-12</v>
      </c>
      <c r="EN155" s="62">
        <f t="shared" si="128"/>
        <v>286.92141300674433</v>
      </c>
      <c r="EO155" s="62">
        <f ca="1">AVERAGE(OFFSET($EN$3,0,0,'Données projet'!$E$15+1,1))-AVERAGE(OFFSET($H$3,0,0,'Données projet'!$E$15+1,1))</f>
        <v>346.97972840139914</v>
      </c>
      <c r="EP155" s="62">
        <f t="shared" si="154"/>
        <v>158.41433650660613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-1.1368683772161603E-13</v>
      </c>
      <c r="FF155" s="18">
        <f>FE155*VLOOKUP('Données projet'!$B$16,Paramètres!$A$1:$I$89,3,0)*VLOOKUP('Données projet'!$B$16,Paramètres!$A$1:$I$89,5,0)</f>
        <v>-7.4487616075202823E-14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235.88453308732235</v>
      </c>
      <c r="FK155" s="62">
        <f t="shared" si="156"/>
        <v>220.72810812053521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-8.1404323282185943E-13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442.98179778678298</v>
      </c>
      <c r="T156" s="62">
        <f t="shared" si="142"/>
        <v>251.96153561746942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1.4897523215040565E-13</v>
      </c>
      <c r="AK156" s="14">
        <f t="shared" si="164"/>
        <v>2.136562777003313E-12</v>
      </c>
      <c r="AL156" s="22">
        <f t="shared" si="165"/>
        <v>3.9806453659427267E-12</v>
      </c>
      <c r="AM156" s="62">
        <f t="shared" si="113"/>
        <v>287.03264548950398</v>
      </c>
      <c r="AN156" s="62">
        <f ca="1">AVERAGE(OFFSET($AM$3,0,0,'Données projet'!$E$10+1,1))-AVERAGE(OFFSET($H$3,0,0,'Données projet'!$E$10+1,1))</f>
        <v>304.35088214287919</v>
      </c>
      <c r="AO156" s="62">
        <f t="shared" si="144"/>
        <v>288.72611053217599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3.6357050703372803E-14</v>
      </c>
      <c r="BF156" s="14">
        <f t="shared" si="167"/>
        <v>6.1445232567661395E-13</v>
      </c>
      <c r="BG156" s="22">
        <f t="shared" si="168"/>
        <v>1.1334929971951436E-12</v>
      </c>
      <c r="BH156" s="62">
        <f t="shared" si="116"/>
        <v>287.03264548950114</v>
      </c>
      <c r="BI156" s="62">
        <f ca="1">AVERAGE(OFFSET($BH$3,0,0,'Données projet'!$E$11+1,1))-AVERAGE(OFFSET($H$3,0,0,'Données projet'!$E$11+1,1))</f>
        <v>285.09561428624352</v>
      </c>
      <c r="BJ156" s="62">
        <f t="shared" si="146"/>
        <v>261.05678516705564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-9.2222762759774927E-14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272.69564942740931</v>
      </c>
      <c r="CE156" s="62">
        <f t="shared" si="148"/>
        <v>316.57989180609252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2.2737367544323206E-13</v>
      </c>
      <c r="CU156" s="18">
        <f>CT156*VLOOKUP('Données projet'!$B$13,Paramètres!$A$1:$I$89,3,0)*VLOOKUP('Données projet'!$B$13,Paramètres!$A$1:$I$89,5,0)</f>
        <v>1.4897523215040565E-13</v>
      </c>
      <c r="CV156" s="14">
        <f t="shared" si="173"/>
        <v>2.136562777003313E-12</v>
      </c>
      <c r="CW156" s="22">
        <f t="shared" si="174"/>
        <v>3.9806453659427267E-12</v>
      </c>
      <c r="CX156" s="62">
        <f t="shared" si="122"/>
        <v>287.03264548950398</v>
      </c>
      <c r="CY156" s="62">
        <f ca="1">AVERAGE(OFFSET($CX$3,0,0,'Données projet'!$E$13+1,1))-AVERAGE(OFFSET($H$3,0,0,'Données projet'!$E$13+1,1))</f>
        <v>304.35088214287919</v>
      </c>
      <c r="CZ156" s="62">
        <f t="shared" si="150"/>
        <v>288.72611053217599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6.5620042732916778E-14</v>
      </c>
      <c r="DQ156" s="14">
        <f t="shared" si="176"/>
        <v>1.0353460337118015E-12</v>
      </c>
      <c r="DR156" s="22">
        <f t="shared" si="177"/>
        <v>1.9175159164745509E-12</v>
      </c>
      <c r="DS156" s="62">
        <f t="shared" si="125"/>
        <v>287.03264548950193</v>
      </c>
      <c r="DT156" s="62">
        <f ca="1">AVERAGE(OFFSET($DS$3,0,0,'Données projet'!$E$14+1,1))-AVERAGE(OFFSET($H$3,0,0,'Données projet'!$E$14+1,1))</f>
        <v>172.86120068224633</v>
      </c>
      <c r="DU156" s="62">
        <f t="shared" si="152"/>
        <v>269.4995727085078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1.9895196601282805E-13</v>
      </c>
      <c r="EK156" s="18">
        <f>EJ156*VLOOKUP('Données projet'!$B$15,Paramètres!$A$1:$I$89,3,0)*VLOOKUP('Données projet'!$B$15,Paramètres!$A$1:$I$89,5,0)</f>
        <v>1.6759713616920637E-13</v>
      </c>
      <c r="EL156" s="14">
        <f t="shared" si="179"/>
        <v>2.3709043131075133E-12</v>
      </c>
      <c r="EM156" s="22">
        <f t="shared" si="180"/>
        <v>4.4212233574902864E-12</v>
      </c>
      <c r="EN156" s="62">
        <f t="shared" si="128"/>
        <v>287.03264548950443</v>
      </c>
      <c r="EO156" s="62">
        <f ca="1">AVERAGE(OFFSET($EN$3,0,0,'Données projet'!$E$15+1,1))-AVERAGE(OFFSET($H$3,0,0,'Données projet'!$E$15+1,1))</f>
        <v>346.97972840139914</v>
      </c>
      <c r="EP156" s="62">
        <f t="shared" si="154"/>
        <v>158.41433650660613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-1.1368683772161603E-13</v>
      </c>
      <c r="FF156" s="18">
        <f>FE156*VLOOKUP('Données projet'!$B$16,Paramètres!$A$1:$I$89,3,0)*VLOOKUP('Données projet'!$B$16,Paramètres!$A$1:$I$89,5,0)</f>
        <v>-7.4487616075202823E-14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235.88453308732235</v>
      </c>
      <c r="FK156" s="62">
        <f t="shared" si="156"/>
        <v>220.72810812053521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-8.1404323282185943E-13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442.98179778678298</v>
      </c>
      <c r="T157" s="62">
        <f t="shared" si="142"/>
        <v>251.96153561746942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1.4897523215040565E-13</v>
      </c>
      <c r="AK157" s="14">
        <f t="shared" si="164"/>
        <v>2.136562777003313E-12</v>
      </c>
      <c r="AL157" s="22">
        <f t="shared" si="165"/>
        <v>3.9806453659427267E-12</v>
      </c>
      <c r="AM157" s="62">
        <f t="shared" si="113"/>
        <v>287.14194833736673</v>
      </c>
      <c r="AN157" s="62">
        <f ca="1">AVERAGE(OFFSET($AM$3,0,0,'Données projet'!$E$10+1,1))-AVERAGE(OFFSET($H$3,0,0,'Données projet'!$E$10+1,1))</f>
        <v>304.35088214287919</v>
      </c>
      <c r="AO157" s="62">
        <f t="shared" si="144"/>
        <v>288.72611053217599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3.6357050703372803E-14</v>
      </c>
      <c r="BF157" s="14">
        <f t="shared" si="167"/>
        <v>6.1445232567661395E-13</v>
      </c>
      <c r="BG157" s="22">
        <f t="shared" si="168"/>
        <v>1.1334929971951436E-12</v>
      </c>
      <c r="BH157" s="62">
        <f t="shared" si="116"/>
        <v>287.14194833736389</v>
      </c>
      <c r="BI157" s="62">
        <f ca="1">AVERAGE(OFFSET($BH$3,0,0,'Données projet'!$E$11+1,1))-AVERAGE(OFFSET($H$3,0,0,'Données projet'!$E$11+1,1))</f>
        <v>285.09561428624352</v>
      </c>
      <c r="BJ157" s="62">
        <f t="shared" si="146"/>
        <v>261.05678516705564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-9.2222762759774927E-14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272.69564942740931</v>
      </c>
      <c r="CE157" s="62">
        <f t="shared" si="148"/>
        <v>316.57989180609252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2.2737367544323206E-13</v>
      </c>
      <c r="CU157" s="18">
        <f>CT157*VLOOKUP('Données projet'!$B$13,Paramètres!$A$1:$I$89,3,0)*VLOOKUP('Données projet'!$B$13,Paramètres!$A$1:$I$89,5,0)</f>
        <v>1.4897523215040565E-13</v>
      </c>
      <c r="CV157" s="14">
        <f t="shared" si="173"/>
        <v>2.136562777003313E-12</v>
      </c>
      <c r="CW157" s="22">
        <f t="shared" si="174"/>
        <v>3.9806453659427267E-12</v>
      </c>
      <c r="CX157" s="62">
        <f t="shared" si="122"/>
        <v>287.14194833736673</v>
      </c>
      <c r="CY157" s="62">
        <f ca="1">AVERAGE(OFFSET($CX$3,0,0,'Données projet'!$E$13+1,1))-AVERAGE(OFFSET($H$3,0,0,'Données projet'!$E$13+1,1))</f>
        <v>304.35088214287919</v>
      </c>
      <c r="CZ157" s="62">
        <f t="shared" si="150"/>
        <v>288.72611053217599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6.5620042732916778E-14</v>
      </c>
      <c r="DQ157" s="14">
        <f t="shared" si="176"/>
        <v>1.0353460337118015E-12</v>
      </c>
      <c r="DR157" s="22">
        <f t="shared" si="177"/>
        <v>1.9175159164745509E-12</v>
      </c>
      <c r="DS157" s="62">
        <f t="shared" si="125"/>
        <v>287.14194833736468</v>
      </c>
      <c r="DT157" s="62">
        <f ca="1">AVERAGE(OFFSET($DS$3,0,0,'Données projet'!$E$14+1,1))-AVERAGE(OFFSET($H$3,0,0,'Données projet'!$E$14+1,1))</f>
        <v>172.86120068224633</v>
      </c>
      <c r="DU157" s="62">
        <f t="shared" si="152"/>
        <v>269.4995727085078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1.9895196601282805E-13</v>
      </c>
      <c r="EK157" s="18">
        <f>EJ157*VLOOKUP('Données projet'!$B$15,Paramètres!$A$1:$I$89,3,0)*VLOOKUP('Données projet'!$B$15,Paramètres!$A$1:$I$89,5,0)</f>
        <v>1.6759713616920637E-13</v>
      </c>
      <c r="EL157" s="14">
        <f t="shared" si="179"/>
        <v>2.3709043131075133E-12</v>
      </c>
      <c r="EM157" s="22">
        <f t="shared" si="180"/>
        <v>4.4212233574902864E-12</v>
      </c>
      <c r="EN157" s="62">
        <f t="shared" si="128"/>
        <v>287.14194833736718</v>
      </c>
      <c r="EO157" s="62">
        <f ca="1">AVERAGE(OFFSET($EN$3,0,0,'Données projet'!$E$15+1,1))-AVERAGE(OFFSET($H$3,0,0,'Données projet'!$E$15+1,1))</f>
        <v>346.97972840139914</v>
      </c>
      <c r="EP157" s="62">
        <f t="shared" si="154"/>
        <v>158.41433650660613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-1.1368683772161603E-13</v>
      </c>
      <c r="FF157" s="18">
        <f>FE157*VLOOKUP('Données projet'!$B$16,Paramètres!$A$1:$I$89,3,0)*VLOOKUP('Données projet'!$B$16,Paramètres!$A$1:$I$89,5,0)</f>
        <v>-7.4487616075202823E-14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235.88453308732235</v>
      </c>
      <c r="FK157" s="62">
        <f t="shared" si="156"/>
        <v>220.72810812053521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-8.1404323282185943E-13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442.98179778678298</v>
      </c>
      <c r="T158" s="62">
        <f t="shared" si="142"/>
        <v>251.96153561746942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1.4897523215040565E-13</v>
      </c>
      <c r="AK158" s="14">
        <f t="shared" si="164"/>
        <v>2.136562777003313E-12</v>
      </c>
      <c r="AL158" s="22">
        <f t="shared" si="165"/>
        <v>3.9806453659427267E-12</v>
      </c>
      <c r="AM158" s="62">
        <f t="shared" si="113"/>
        <v>287.24935502518366</v>
      </c>
      <c r="AN158" s="62">
        <f ca="1">AVERAGE(OFFSET($AM$3,0,0,'Données projet'!$E$10+1,1))-AVERAGE(OFFSET($H$3,0,0,'Données projet'!$E$10+1,1))</f>
        <v>304.35088214287919</v>
      </c>
      <c r="AO158" s="62">
        <f t="shared" si="144"/>
        <v>288.72611053217599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3.6357050703372803E-14</v>
      </c>
      <c r="BF158" s="14">
        <f t="shared" si="167"/>
        <v>6.1445232567661395E-13</v>
      </c>
      <c r="BG158" s="22">
        <f t="shared" si="168"/>
        <v>1.1334929971951436E-12</v>
      </c>
      <c r="BH158" s="62">
        <f t="shared" si="116"/>
        <v>287.24935502518082</v>
      </c>
      <c r="BI158" s="62">
        <f ca="1">AVERAGE(OFFSET($BH$3,0,0,'Données projet'!$E$11+1,1))-AVERAGE(OFFSET($H$3,0,0,'Données projet'!$E$11+1,1))</f>
        <v>285.09561428624352</v>
      </c>
      <c r="BJ158" s="62">
        <f t="shared" si="146"/>
        <v>261.05678516705564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-9.2222762759774927E-14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272.69564942740931</v>
      </c>
      <c r="CE158" s="62">
        <f t="shared" si="148"/>
        <v>316.57989180609252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2.2737367544323206E-13</v>
      </c>
      <c r="CU158" s="18">
        <f>CT158*VLOOKUP('Données projet'!$B$13,Paramètres!$A$1:$I$89,3,0)*VLOOKUP('Données projet'!$B$13,Paramètres!$A$1:$I$89,5,0)</f>
        <v>1.4897523215040565E-13</v>
      </c>
      <c r="CV158" s="14">
        <f t="shared" si="173"/>
        <v>2.136562777003313E-12</v>
      </c>
      <c r="CW158" s="22">
        <f t="shared" si="174"/>
        <v>3.9806453659427267E-12</v>
      </c>
      <c r="CX158" s="62">
        <f t="shared" si="122"/>
        <v>287.24935502518366</v>
      </c>
      <c r="CY158" s="62">
        <f ca="1">AVERAGE(OFFSET($CX$3,0,0,'Données projet'!$E$13+1,1))-AVERAGE(OFFSET($H$3,0,0,'Données projet'!$E$13+1,1))</f>
        <v>304.35088214287919</v>
      </c>
      <c r="CZ158" s="62">
        <f t="shared" si="150"/>
        <v>288.72611053217599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6.5620042732916778E-14</v>
      </c>
      <c r="DQ158" s="14">
        <f t="shared" si="176"/>
        <v>1.0353460337118015E-12</v>
      </c>
      <c r="DR158" s="22">
        <f t="shared" si="177"/>
        <v>1.9175159164745509E-12</v>
      </c>
      <c r="DS158" s="62">
        <f t="shared" si="125"/>
        <v>287.24935502518161</v>
      </c>
      <c r="DT158" s="62">
        <f ca="1">AVERAGE(OFFSET($DS$3,0,0,'Données projet'!$E$14+1,1))-AVERAGE(OFFSET($H$3,0,0,'Données projet'!$E$14+1,1))</f>
        <v>172.86120068224633</v>
      </c>
      <c r="DU158" s="62">
        <f t="shared" si="152"/>
        <v>269.4995727085078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1.9895196601282805E-13</v>
      </c>
      <c r="EK158" s="18">
        <f>EJ158*VLOOKUP('Données projet'!$B$15,Paramètres!$A$1:$I$89,3,0)*VLOOKUP('Données projet'!$B$15,Paramètres!$A$1:$I$89,5,0)</f>
        <v>1.6759713616920637E-13</v>
      </c>
      <c r="EL158" s="14">
        <f t="shared" si="179"/>
        <v>2.3709043131075133E-12</v>
      </c>
      <c r="EM158" s="22">
        <f t="shared" si="180"/>
        <v>4.4212233574902864E-12</v>
      </c>
      <c r="EN158" s="62">
        <f t="shared" si="128"/>
        <v>287.24935502518412</v>
      </c>
      <c r="EO158" s="62">
        <f ca="1">AVERAGE(OFFSET($EN$3,0,0,'Données projet'!$E$15+1,1))-AVERAGE(OFFSET($H$3,0,0,'Données projet'!$E$15+1,1))</f>
        <v>346.97972840139914</v>
      </c>
      <c r="EP158" s="62">
        <f t="shared" si="154"/>
        <v>158.41433650660613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-1.1368683772161603E-13</v>
      </c>
      <c r="FF158" s="18">
        <f>FE158*VLOOKUP('Données projet'!$B$16,Paramètres!$A$1:$I$89,3,0)*VLOOKUP('Données projet'!$B$16,Paramètres!$A$1:$I$89,5,0)</f>
        <v>-7.4487616075202823E-14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235.88453308732235</v>
      </c>
      <c r="FK158" s="62">
        <f t="shared" si="156"/>
        <v>220.72810812053521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-8.1404323282185943E-13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442.98179778678298</v>
      </c>
      <c r="T159" s="62">
        <f t="shared" si="142"/>
        <v>251.96153561746942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1.4897523215040565E-13</v>
      </c>
      <c r="AK159" s="14">
        <f t="shared" si="164"/>
        <v>2.136562777003313E-12</v>
      </c>
      <c r="AL159" s="22">
        <f t="shared" si="165"/>
        <v>3.9806453659427267E-12</v>
      </c>
      <c r="AM159" s="62">
        <f t="shared" si="113"/>
        <v>287.3548984470923</v>
      </c>
      <c r="AN159" s="62">
        <f ca="1">AVERAGE(OFFSET($AM$3,0,0,'Données projet'!$E$10+1,1))-AVERAGE(OFFSET($H$3,0,0,'Données projet'!$E$10+1,1))</f>
        <v>304.35088214287919</v>
      </c>
      <c r="AO159" s="62">
        <f t="shared" si="144"/>
        <v>288.72611053217599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3.6357050703372803E-14</v>
      </c>
      <c r="BF159" s="14">
        <f t="shared" si="167"/>
        <v>6.1445232567661395E-13</v>
      </c>
      <c r="BG159" s="22">
        <f t="shared" si="168"/>
        <v>1.1334929971951436E-12</v>
      </c>
      <c r="BH159" s="62">
        <f t="shared" si="116"/>
        <v>287.35489844708945</v>
      </c>
      <c r="BI159" s="62">
        <f ca="1">AVERAGE(OFFSET($BH$3,0,0,'Données projet'!$E$11+1,1))-AVERAGE(OFFSET($H$3,0,0,'Données projet'!$E$11+1,1))</f>
        <v>285.09561428624352</v>
      </c>
      <c r="BJ159" s="62">
        <f t="shared" si="146"/>
        <v>261.05678516705564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-9.2222762759774927E-14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272.69564942740931</v>
      </c>
      <c r="CE159" s="62">
        <f t="shared" si="148"/>
        <v>316.57989180609252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2.2737367544323206E-13</v>
      </c>
      <c r="CU159" s="18">
        <f>CT159*VLOOKUP('Données projet'!$B$13,Paramètres!$A$1:$I$89,3,0)*VLOOKUP('Données projet'!$B$13,Paramètres!$A$1:$I$89,5,0)</f>
        <v>1.4897523215040565E-13</v>
      </c>
      <c r="CV159" s="14">
        <f t="shared" si="173"/>
        <v>2.136562777003313E-12</v>
      </c>
      <c r="CW159" s="22">
        <f t="shared" si="174"/>
        <v>3.9806453659427267E-12</v>
      </c>
      <c r="CX159" s="62">
        <f t="shared" si="122"/>
        <v>287.3548984470923</v>
      </c>
      <c r="CY159" s="62">
        <f ca="1">AVERAGE(OFFSET($CX$3,0,0,'Données projet'!$E$13+1,1))-AVERAGE(OFFSET($H$3,0,0,'Données projet'!$E$13+1,1))</f>
        <v>304.35088214287919</v>
      </c>
      <c r="CZ159" s="62">
        <f t="shared" si="150"/>
        <v>288.72611053217599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6.5620042732916778E-14</v>
      </c>
      <c r="DQ159" s="14">
        <f t="shared" si="176"/>
        <v>1.0353460337118015E-12</v>
      </c>
      <c r="DR159" s="22">
        <f t="shared" si="177"/>
        <v>1.9175159164745509E-12</v>
      </c>
      <c r="DS159" s="62">
        <f t="shared" si="125"/>
        <v>287.35489844709025</v>
      </c>
      <c r="DT159" s="62">
        <f ca="1">AVERAGE(OFFSET($DS$3,0,0,'Données projet'!$E$14+1,1))-AVERAGE(OFFSET($H$3,0,0,'Données projet'!$E$14+1,1))</f>
        <v>172.86120068224633</v>
      </c>
      <c r="DU159" s="62">
        <f t="shared" si="152"/>
        <v>269.4995727085078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1.9895196601282805E-13</v>
      </c>
      <c r="EK159" s="18">
        <f>EJ159*VLOOKUP('Données projet'!$B$15,Paramètres!$A$1:$I$89,3,0)*VLOOKUP('Données projet'!$B$15,Paramètres!$A$1:$I$89,5,0)</f>
        <v>1.6759713616920637E-13</v>
      </c>
      <c r="EL159" s="14">
        <f t="shared" si="179"/>
        <v>2.3709043131075133E-12</v>
      </c>
      <c r="EM159" s="22">
        <f t="shared" si="180"/>
        <v>4.4212233574902864E-12</v>
      </c>
      <c r="EN159" s="62">
        <f t="shared" si="128"/>
        <v>287.35489844709275</v>
      </c>
      <c r="EO159" s="62">
        <f ca="1">AVERAGE(OFFSET($EN$3,0,0,'Données projet'!$E$15+1,1))-AVERAGE(OFFSET($H$3,0,0,'Données projet'!$E$15+1,1))</f>
        <v>346.97972840139914</v>
      </c>
      <c r="EP159" s="62">
        <f t="shared" si="154"/>
        <v>158.41433650660613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-1.1368683772161603E-13</v>
      </c>
      <c r="FF159" s="18">
        <f>FE159*VLOOKUP('Données projet'!$B$16,Paramètres!$A$1:$I$89,3,0)*VLOOKUP('Données projet'!$B$16,Paramètres!$A$1:$I$89,5,0)</f>
        <v>-7.4487616075202823E-14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235.88453308732235</v>
      </c>
      <c r="FK159" s="62">
        <f t="shared" si="156"/>
        <v>220.72810812053521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-8.1404323282185943E-13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442.98179778678298</v>
      </c>
      <c r="T160" s="62">
        <f t="shared" si="142"/>
        <v>251.96153561746942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1.4897523215040565E-13</v>
      </c>
      <c r="AK160" s="14">
        <f t="shared" si="164"/>
        <v>2.136562777003313E-12</v>
      </c>
      <c r="AL160" s="22">
        <f t="shared" si="165"/>
        <v>3.9806453659427267E-12</v>
      </c>
      <c r="AM160" s="62">
        <f t="shared" si="113"/>
        <v>287.45861092659055</v>
      </c>
      <c r="AN160" s="62">
        <f ca="1">AVERAGE(OFFSET($AM$3,0,0,'Données projet'!$E$10+1,1))-AVERAGE(OFFSET($H$3,0,0,'Données projet'!$E$10+1,1))</f>
        <v>304.35088214287919</v>
      </c>
      <c r="AO160" s="62">
        <f t="shared" si="144"/>
        <v>288.72611053217599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3.6357050703372803E-14</v>
      </c>
      <c r="BF160" s="14">
        <f t="shared" si="167"/>
        <v>6.1445232567661395E-13</v>
      </c>
      <c r="BG160" s="22">
        <f t="shared" si="168"/>
        <v>1.1334929971951436E-12</v>
      </c>
      <c r="BH160" s="62">
        <f t="shared" si="116"/>
        <v>287.45861092658771</v>
      </c>
      <c r="BI160" s="62">
        <f ca="1">AVERAGE(OFFSET($BH$3,0,0,'Données projet'!$E$11+1,1))-AVERAGE(OFFSET($H$3,0,0,'Données projet'!$E$11+1,1))</f>
        <v>285.09561428624352</v>
      </c>
      <c r="BJ160" s="62">
        <f t="shared" si="146"/>
        <v>261.05678516705564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-9.2222762759774927E-14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272.69564942740931</v>
      </c>
      <c r="CE160" s="62">
        <f t="shared" si="148"/>
        <v>316.57989180609252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2.2737367544323206E-13</v>
      </c>
      <c r="CU160" s="18">
        <f>CT160*VLOOKUP('Données projet'!$B$13,Paramètres!$A$1:$I$89,3,0)*VLOOKUP('Données projet'!$B$13,Paramètres!$A$1:$I$89,5,0)</f>
        <v>1.4897523215040565E-13</v>
      </c>
      <c r="CV160" s="14">
        <f t="shared" si="173"/>
        <v>2.136562777003313E-12</v>
      </c>
      <c r="CW160" s="22">
        <f t="shared" si="174"/>
        <v>3.9806453659427267E-12</v>
      </c>
      <c r="CX160" s="62">
        <f t="shared" si="122"/>
        <v>287.45861092659055</v>
      </c>
      <c r="CY160" s="62">
        <f ca="1">AVERAGE(OFFSET($CX$3,0,0,'Données projet'!$E$13+1,1))-AVERAGE(OFFSET($H$3,0,0,'Données projet'!$E$13+1,1))</f>
        <v>304.35088214287919</v>
      </c>
      <c r="CZ160" s="62">
        <f t="shared" si="150"/>
        <v>288.72611053217599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6.5620042732916778E-14</v>
      </c>
      <c r="DQ160" s="14">
        <f t="shared" si="176"/>
        <v>1.0353460337118015E-12</v>
      </c>
      <c r="DR160" s="22">
        <f t="shared" si="177"/>
        <v>1.9175159164745509E-12</v>
      </c>
      <c r="DS160" s="62">
        <f t="shared" si="125"/>
        <v>287.45861092658851</v>
      </c>
      <c r="DT160" s="62">
        <f ca="1">AVERAGE(OFFSET($DS$3,0,0,'Données projet'!$E$14+1,1))-AVERAGE(OFFSET($H$3,0,0,'Données projet'!$E$14+1,1))</f>
        <v>172.86120068224633</v>
      </c>
      <c r="DU160" s="62">
        <f t="shared" si="152"/>
        <v>269.4995727085078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1.9895196601282805E-13</v>
      </c>
      <c r="EK160" s="18">
        <f>EJ160*VLOOKUP('Données projet'!$B$15,Paramètres!$A$1:$I$89,3,0)*VLOOKUP('Données projet'!$B$15,Paramètres!$A$1:$I$89,5,0)</f>
        <v>1.6759713616920637E-13</v>
      </c>
      <c r="EL160" s="14">
        <f t="shared" si="179"/>
        <v>2.3709043131075133E-12</v>
      </c>
      <c r="EM160" s="22">
        <f t="shared" si="180"/>
        <v>4.4212233574902864E-12</v>
      </c>
      <c r="EN160" s="62">
        <f t="shared" si="128"/>
        <v>287.45861092659101</v>
      </c>
      <c r="EO160" s="62">
        <f ca="1">AVERAGE(OFFSET($EN$3,0,0,'Données projet'!$E$15+1,1))-AVERAGE(OFFSET($H$3,0,0,'Données projet'!$E$15+1,1))</f>
        <v>346.97972840139914</v>
      </c>
      <c r="EP160" s="62">
        <f t="shared" si="154"/>
        <v>158.41433650660613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-1.1368683772161603E-13</v>
      </c>
      <c r="FF160" s="18">
        <f>FE160*VLOOKUP('Données projet'!$B$16,Paramètres!$A$1:$I$89,3,0)*VLOOKUP('Données projet'!$B$16,Paramètres!$A$1:$I$89,5,0)</f>
        <v>-7.4487616075202823E-14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235.88453308732235</v>
      </c>
      <c r="FK160" s="62">
        <f t="shared" si="156"/>
        <v>220.72810812053521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-8.1404323282185943E-13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442.98179778678298</v>
      </c>
      <c r="T161" s="62">
        <f t="shared" si="142"/>
        <v>251.96153561746942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1.4897523215040565E-13</v>
      </c>
      <c r="AK161" s="14">
        <f t="shared" si="164"/>
        <v>2.136562777003313E-12</v>
      </c>
      <c r="AL161" s="22">
        <f t="shared" si="165"/>
        <v>3.9806453659427267E-12</v>
      </c>
      <c r="AM161" s="62">
        <f t="shared" si="113"/>
        <v>287.56052422643597</v>
      </c>
      <c r="AN161" s="62">
        <f ca="1">AVERAGE(OFFSET($AM$3,0,0,'Données projet'!$E$10+1,1))-AVERAGE(OFFSET($H$3,0,0,'Données projet'!$E$10+1,1))</f>
        <v>304.35088214287919</v>
      </c>
      <c r="AO161" s="62">
        <f t="shared" si="144"/>
        <v>288.72611053217599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3.6357050703372803E-14</v>
      </c>
      <c r="BF161" s="14">
        <f t="shared" si="167"/>
        <v>6.1445232567661395E-13</v>
      </c>
      <c r="BG161" s="22">
        <f t="shared" si="168"/>
        <v>1.1334929971951436E-12</v>
      </c>
      <c r="BH161" s="62">
        <f t="shared" si="116"/>
        <v>287.56052422643313</v>
      </c>
      <c r="BI161" s="62">
        <f ca="1">AVERAGE(OFFSET($BH$3,0,0,'Données projet'!$E$11+1,1))-AVERAGE(OFFSET($H$3,0,0,'Données projet'!$E$11+1,1))</f>
        <v>285.09561428624352</v>
      </c>
      <c r="BJ161" s="62">
        <f t="shared" si="146"/>
        <v>261.05678516705564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-9.2222762759774927E-14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272.69564942740931</v>
      </c>
      <c r="CE161" s="62">
        <f t="shared" si="148"/>
        <v>316.57989180609252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2.2737367544323206E-13</v>
      </c>
      <c r="CU161" s="18">
        <f>CT161*VLOOKUP('Données projet'!$B$13,Paramètres!$A$1:$I$89,3,0)*VLOOKUP('Données projet'!$B$13,Paramètres!$A$1:$I$89,5,0)</f>
        <v>1.4897523215040565E-13</v>
      </c>
      <c r="CV161" s="14">
        <f t="shared" si="173"/>
        <v>2.136562777003313E-12</v>
      </c>
      <c r="CW161" s="22">
        <f t="shared" si="174"/>
        <v>3.9806453659427267E-12</v>
      </c>
      <c r="CX161" s="62">
        <f t="shared" si="122"/>
        <v>287.56052422643597</v>
      </c>
      <c r="CY161" s="62">
        <f ca="1">AVERAGE(OFFSET($CX$3,0,0,'Données projet'!$E$13+1,1))-AVERAGE(OFFSET($H$3,0,0,'Données projet'!$E$13+1,1))</f>
        <v>304.35088214287919</v>
      </c>
      <c r="CZ161" s="62">
        <f t="shared" si="150"/>
        <v>288.72611053217599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6.5620042732916778E-14</v>
      </c>
      <c r="DQ161" s="14">
        <f t="shared" si="176"/>
        <v>1.0353460337118015E-12</v>
      </c>
      <c r="DR161" s="22">
        <f t="shared" si="177"/>
        <v>1.9175159164745509E-12</v>
      </c>
      <c r="DS161" s="62">
        <f t="shared" si="125"/>
        <v>287.56052422643393</v>
      </c>
      <c r="DT161" s="62">
        <f ca="1">AVERAGE(OFFSET($DS$3,0,0,'Données projet'!$E$14+1,1))-AVERAGE(OFFSET($H$3,0,0,'Données projet'!$E$14+1,1))</f>
        <v>172.86120068224633</v>
      </c>
      <c r="DU161" s="62">
        <f t="shared" si="152"/>
        <v>269.4995727085078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1.9895196601282805E-13</v>
      </c>
      <c r="EK161" s="18">
        <f>EJ161*VLOOKUP('Données projet'!$B$15,Paramètres!$A$1:$I$89,3,0)*VLOOKUP('Données projet'!$B$15,Paramètres!$A$1:$I$89,5,0)</f>
        <v>1.6759713616920637E-13</v>
      </c>
      <c r="EL161" s="14">
        <f t="shared" si="179"/>
        <v>2.3709043131075133E-12</v>
      </c>
      <c r="EM161" s="22">
        <f t="shared" si="180"/>
        <v>4.4212233574902864E-12</v>
      </c>
      <c r="EN161" s="62">
        <f t="shared" si="128"/>
        <v>287.56052422643643</v>
      </c>
      <c r="EO161" s="62">
        <f ca="1">AVERAGE(OFFSET($EN$3,0,0,'Données projet'!$E$15+1,1))-AVERAGE(OFFSET($H$3,0,0,'Données projet'!$E$15+1,1))</f>
        <v>346.97972840139914</v>
      </c>
      <c r="EP161" s="62">
        <f t="shared" si="154"/>
        <v>158.41433650660613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-1.1368683772161603E-13</v>
      </c>
      <c r="FF161" s="18">
        <f>FE161*VLOOKUP('Données projet'!$B$16,Paramètres!$A$1:$I$89,3,0)*VLOOKUP('Données projet'!$B$16,Paramètres!$A$1:$I$89,5,0)</f>
        <v>-7.4487616075202823E-14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235.88453308732235</v>
      </c>
      <c r="FK161" s="62">
        <f t="shared" si="156"/>
        <v>220.72810812053521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-8.1404323282185943E-13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442.98179778678298</v>
      </c>
      <c r="T162" s="62">
        <f t="shared" si="142"/>
        <v>251.96153561746942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1.4897523215040565E-13</v>
      </c>
      <c r="AK162" s="14">
        <f t="shared" si="164"/>
        <v>2.136562777003313E-12</v>
      </c>
      <c r="AL162" s="22">
        <f t="shared" si="165"/>
        <v>3.9806453659427267E-12</v>
      </c>
      <c r="AM162" s="62">
        <f t="shared" si="113"/>
        <v>287.66066955837294</v>
      </c>
      <c r="AN162" s="62">
        <f ca="1">AVERAGE(OFFSET($AM$3,0,0,'Données projet'!$E$10+1,1))-AVERAGE(OFFSET($H$3,0,0,'Données projet'!$E$10+1,1))</f>
        <v>304.35088214287919</v>
      </c>
      <c r="AO162" s="62">
        <f t="shared" si="144"/>
        <v>288.72611053217599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3.6357050703372803E-14</v>
      </c>
      <c r="BF162" s="14">
        <f t="shared" si="167"/>
        <v>6.1445232567661395E-13</v>
      </c>
      <c r="BG162" s="22">
        <f t="shared" si="168"/>
        <v>1.1334929971951436E-12</v>
      </c>
      <c r="BH162" s="62">
        <f t="shared" si="116"/>
        <v>287.6606695583701</v>
      </c>
      <c r="BI162" s="62">
        <f ca="1">AVERAGE(OFFSET($BH$3,0,0,'Données projet'!$E$11+1,1))-AVERAGE(OFFSET($H$3,0,0,'Données projet'!$E$11+1,1))</f>
        <v>285.09561428624352</v>
      </c>
      <c r="BJ162" s="62">
        <f t="shared" si="146"/>
        <v>261.05678516705564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-9.2222762759774927E-14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272.69564942740931</v>
      </c>
      <c r="CE162" s="62">
        <f t="shared" si="148"/>
        <v>316.57989180609252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2.2737367544323206E-13</v>
      </c>
      <c r="CU162" s="18">
        <f>CT162*VLOOKUP('Données projet'!$B$13,Paramètres!$A$1:$I$89,3,0)*VLOOKUP('Données projet'!$B$13,Paramètres!$A$1:$I$89,5,0)</f>
        <v>1.4897523215040565E-13</v>
      </c>
      <c r="CV162" s="14">
        <f t="shared" si="173"/>
        <v>2.136562777003313E-12</v>
      </c>
      <c r="CW162" s="22">
        <f t="shared" si="174"/>
        <v>3.9806453659427267E-12</v>
      </c>
      <c r="CX162" s="62">
        <f t="shared" si="122"/>
        <v>287.66066955837294</v>
      </c>
      <c r="CY162" s="62">
        <f ca="1">AVERAGE(OFFSET($CX$3,0,0,'Données projet'!$E$13+1,1))-AVERAGE(OFFSET($H$3,0,0,'Données projet'!$E$13+1,1))</f>
        <v>304.35088214287919</v>
      </c>
      <c r="CZ162" s="62">
        <f t="shared" si="150"/>
        <v>288.72611053217599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6.5620042732916778E-14</v>
      </c>
      <c r="DQ162" s="14">
        <f t="shared" si="176"/>
        <v>1.0353460337118015E-12</v>
      </c>
      <c r="DR162" s="22">
        <f t="shared" si="177"/>
        <v>1.9175159164745509E-12</v>
      </c>
      <c r="DS162" s="62">
        <f t="shared" si="125"/>
        <v>287.6606695583709</v>
      </c>
      <c r="DT162" s="62">
        <f ca="1">AVERAGE(OFFSET($DS$3,0,0,'Données projet'!$E$14+1,1))-AVERAGE(OFFSET($H$3,0,0,'Données projet'!$E$14+1,1))</f>
        <v>172.86120068224633</v>
      </c>
      <c r="DU162" s="62">
        <f t="shared" si="152"/>
        <v>269.4995727085078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1.9895196601282805E-13</v>
      </c>
      <c r="EK162" s="18">
        <f>EJ162*VLOOKUP('Données projet'!$B$15,Paramètres!$A$1:$I$89,3,0)*VLOOKUP('Données projet'!$B$15,Paramètres!$A$1:$I$89,5,0)</f>
        <v>1.6759713616920637E-13</v>
      </c>
      <c r="EL162" s="14">
        <f t="shared" si="179"/>
        <v>2.3709043131075133E-12</v>
      </c>
      <c r="EM162" s="22">
        <f t="shared" si="180"/>
        <v>4.4212233574902864E-12</v>
      </c>
      <c r="EN162" s="62">
        <f t="shared" si="128"/>
        <v>287.6606695583734</v>
      </c>
      <c r="EO162" s="62">
        <f ca="1">AVERAGE(OFFSET($EN$3,0,0,'Données projet'!$E$15+1,1))-AVERAGE(OFFSET($H$3,0,0,'Données projet'!$E$15+1,1))</f>
        <v>346.97972840139914</v>
      </c>
      <c r="EP162" s="62">
        <f t="shared" si="154"/>
        <v>158.41433650660613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-1.1368683772161603E-13</v>
      </c>
      <c r="FF162" s="18">
        <f>FE162*VLOOKUP('Données projet'!$B$16,Paramètres!$A$1:$I$89,3,0)*VLOOKUP('Données projet'!$B$16,Paramètres!$A$1:$I$89,5,0)</f>
        <v>-7.4487616075202823E-14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235.88453308732235</v>
      </c>
      <c r="FK162" s="62">
        <f t="shared" si="156"/>
        <v>220.72810812053521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-8.1404323282185943E-13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442.98179778678298</v>
      </c>
      <c r="T163" s="62">
        <f t="shared" si="142"/>
        <v>251.96153561746942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1.4897523215040565E-13</v>
      </c>
      <c r="AK163" s="14">
        <f t="shared" si="164"/>
        <v>2.136562777003313E-12</v>
      </c>
      <c r="AL163" s="22">
        <f t="shared" si="165"/>
        <v>3.9806453659427267E-12</v>
      </c>
      <c r="AM163" s="62">
        <f t="shared" si="113"/>
        <v>287.75907759269234</v>
      </c>
      <c r="AN163" s="62">
        <f ca="1">AVERAGE(OFFSET($AM$3,0,0,'Données projet'!$E$10+1,1))-AVERAGE(OFFSET($H$3,0,0,'Données projet'!$E$10+1,1))</f>
        <v>304.35088214287919</v>
      </c>
      <c r="AO163" s="62">
        <f t="shared" si="144"/>
        <v>288.72611053217599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3.6357050703372803E-14</v>
      </c>
      <c r="BF163" s="14">
        <f t="shared" si="167"/>
        <v>6.1445232567661395E-13</v>
      </c>
      <c r="BG163" s="22">
        <f t="shared" si="168"/>
        <v>1.1334929971951436E-12</v>
      </c>
      <c r="BH163" s="62">
        <f t="shared" si="116"/>
        <v>287.75907759268949</v>
      </c>
      <c r="BI163" s="62">
        <f ca="1">AVERAGE(OFFSET($BH$3,0,0,'Données projet'!$E$11+1,1))-AVERAGE(OFFSET($H$3,0,0,'Données projet'!$E$11+1,1))</f>
        <v>285.09561428624352</v>
      </c>
      <c r="BJ163" s="62">
        <f t="shared" si="146"/>
        <v>261.05678516705564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-9.2222762759774927E-14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272.69564942740931</v>
      </c>
      <c r="CE163" s="62">
        <f t="shared" si="148"/>
        <v>316.57989180609252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2.2737367544323206E-13</v>
      </c>
      <c r="CU163" s="18">
        <f>CT163*VLOOKUP('Données projet'!$B$13,Paramètres!$A$1:$I$89,3,0)*VLOOKUP('Données projet'!$B$13,Paramètres!$A$1:$I$89,5,0)</f>
        <v>1.4897523215040565E-13</v>
      </c>
      <c r="CV163" s="14">
        <f t="shared" si="173"/>
        <v>2.136562777003313E-12</v>
      </c>
      <c r="CW163" s="22">
        <f t="shared" si="174"/>
        <v>3.9806453659427267E-12</v>
      </c>
      <c r="CX163" s="62">
        <f t="shared" si="122"/>
        <v>287.75907759269234</v>
      </c>
      <c r="CY163" s="62">
        <f ca="1">AVERAGE(OFFSET($CX$3,0,0,'Données projet'!$E$13+1,1))-AVERAGE(OFFSET($H$3,0,0,'Données projet'!$E$13+1,1))</f>
        <v>304.35088214287919</v>
      </c>
      <c r="CZ163" s="62">
        <f t="shared" si="150"/>
        <v>288.72611053217599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6.5620042732916778E-14</v>
      </c>
      <c r="DQ163" s="14">
        <f t="shared" si="176"/>
        <v>1.0353460337118015E-12</v>
      </c>
      <c r="DR163" s="22">
        <f t="shared" si="177"/>
        <v>1.9175159164745509E-12</v>
      </c>
      <c r="DS163" s="62">
        <f t="shared" si="125"/>
        <v>287.75907759269029</v>
      </c>
      <c r="DT163" s="62">
        <f ca="1">AVERAGE(OFFSET($DS$3,0,0,'Données projet'!$E$14+1,1))-AVERAGE(OFFSET($H$3,0,0,'Données projet'!$E$14+1,1))</f>
        <v>172.86120068224633</v>
      </c>
      <c r="DU163" s="62">
        <f t="shared" si="152"/>
        <v>269.4995727085078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1.9895196601282805E-13</v>
      </c>
      <c r="EK163" s="18">
        <f>EJ163*VLOOKUP('Données projet'!$B$15,Paramètres!$A$1:$I$89,3,0)*VLOOKUP('Données projet'!$B$15,Paramètres!$A$1:$I$89,5,0)</f>
        <v>1.6759713616920637E-13</v>
      </c>
      <c r="EL163" s="14">
        <f t="shared" si="179"/>
        <v>2.3709043131075133E-12</v>
      </c>
      <c r="EM163" s="22">
        <f t="shared" si="180"/>
        <v>4.4212233574902864E-12</v>
      </c>
      <c r="EN163" s="62">
        <f t="shared" si="128"/>
        <v>287.75907759269279</v>
      </c>
      <c r="EO163" s="62">
        <f ca="1">AVERAGE(OFFSET($EN$3,0,0,'Données projet'!$E$15+1,1))-AVERAGE(OFFSET($H$3,0,0,'Données projet'!$E$15+1,1))</f>
        <v>346.97972840139914</v>
      </c>
      <c r="EP163" s="62">
        <f t="shared" si="154"/>
        <v>158.41433650660613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-1.1368683772161603E-13</v>
      </c>
      <c r="FF163" s="18">
        <f>FE163*VLOOKUP('Données projet'!$B$16,Paramètres!$A$1:$I$89,3,0)*VLOOKUP('Données projet'!$B$16,Paramètres!$A$1:$I$89,5,0)</f>
        <v>-7.4487616075202823E-14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235.88453308732235</v>
      </c>
      <c r="FK163" s="62">
        <f t="shared" si="156"/>
        <v>220.72810812053521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-8.1404323282185943E-13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442.98179778678298</v>
      </c>
      <c r="T164" s="62">
        <f t="shared" si="142"/>
        <v>251.96153561746942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1.4897523215040565E-13</v>
      </c>
      <c r="AK164" s="14">
        <f t="shared" si="164"/>
        <v>2.136562777003313E-12</v>
      </c>
      <c r="AL164" s="22">
        <f t="shared" si="165"/>
        <v>3.9806453659427267E-12</v>
      </c>
      <c r="AM164" s="62">
        <f t="shared" si="113"/>
        <v>287.85577846762368</v>
      </c>
      <c r="AN164" s="62">
        <f ca="1">AVERAGE(OFFSET($AM$3,0,0,'Données projet'!$E$10+1,1))-AVERAGE(OFFSET($H$3,0,0,'Données projet'!$E$10+1,1))</f>
        <v>304.35088214287919</v>
      </c>
      <c r="AO164" s="62">
        <f t="shared" si="144"/>
        <v>288.72611053217599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3.6357050703372803E-14</v>
      </c>
      <c r="BF164" s="14">
        <f t="shared" si="167"/>
        <v>6.1445232567661395E-13</v>
      </c>
      <c r="BG164" s="22">
        <f t="shared" si="168"/>
        <v>1.1334929971951436E-12</v>
      </c>
      <c r="BH164" s="62">
        <f t="shared" si="116"/>
        <v>287.85577846762084</v>
      </c>
      <c r="BI164" s="62">
        <f ca="1">AVERAGE(OFFSET($BH$3,0,0,'Données projet'!$E$11+1,1))-AVERAGE(OFFSET($H$3,0,0,'Données projet'!$E$11+1,1))</f>
        <v>285.09561428624352</v>
      </c>
      <c r="BJ164" s="62">
        <f t="shared" si="146"/>
        <v>261.05678516705564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-9.2222762759774927E-14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272.69564942740931</v>
      </c>
      <c r="CE164" s="62">
        <f t="shared" si="148"/>
        <v>316.57989180609252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2.2737367544323206E-13</v>
      </c>
      <c r="CU164" s="18">
        <f>CT164*VLOOKUP('Données projet'!$B$13,Paramètres!$A$1:$I$89,3,0)*VLOOKUP('Données projet'!$B$13,Paramètres!$A$1:$I$89,5,0)</f>
        <v>1.4897523215040565E-13</v>
      </c>
      <c r="CV164" s="14">
        <f t="shared" si="173"/>
        <v>2.136562777003313E-12</v>
      </c>
      <c r="CW164" s="22">
        <f t="shared" si="174"/>
        <v>3.9806453659427267E-12</v>
      </c>
      <c r="CX164" s="62">
        <f t="shared" si="122"/>
        <v>287.85577846762368</v>
      </c>
      <c r="CY164" s="62">
        <f ca="1">AVERAGE(OFFSET($CX$3,0,0,'Données projet'!$E$13+1,1))-AVERAGE(OFFSET($H$3,0,0,'Données projet'!$E$13+1,1))</f>
        <v>304.35088214287919</v>
      </c>
      <c r="CZ164" s="62">
        <f t="shared" si="150"/>
        <v>288.72611053217599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6.5620042732916778E-14</v>
      </c>
      <c r="DQ164" s="14">
        <f t="shared" si="176"/>
        <v>1.0353460337118015E-12</v>
      </c>
      <c r="DR164" s="22">
        <f t="shared" si="177"/>
        <v>1.9175159164745509E-12</v>
      </c>
      <c r="DS164" s="62">
        <f t="shared" si="125"/>
        <v>287.85577846762163</v>
      </c>
      <c r="DT164" s="62">
        <f ca="1">AVERAGE(OFFSET($DS$3,0,0,'Données projet'!$E$14+1,1))-AVERAGE(OFFSET($H$3,0,0,'Données projet'!$E$14+1,1))</f>
        <v>172.86120068224633</v>
      </c>
      <c r="DU164" s="62">
        <f t="shared" si="152"/>
        <v>269.4995727085078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1.9895196601282805E-13</v>
      </c>
      <c r="EK164" s="18">
        <f>EJ164*VLOOKUP('Données projet'!$B$15,Paramètres!$A$1:$I$89,3,0)*VLOOKUP('Données projet'!$B$15,Paramètres!$A$1:$I$89,5,0)</f>
        <v>1.6759713616920637E-13</v>
      </c>
      <c r="EL164" s="14">
        <f t="shared" si="179"/>
        <v>2.3709043131075133E-12</v>
      </c>
      <c r="EM164" s="22">
        <f t="shared" si="180"/>
        <v>4.4212233574902864E-12</v>
      </c>
      <c r="EN164" s="62">
        <f t="shared" si="128"/>
        <v>287.85577846762413</v>
      </c>
      <c r="EO164" s="62">
        <f ca="1">AVERAGE(OFFSET($EN$3,0,0,'Données projet'!$E$15+1,1))-AVERAGE(OFFSET($H$3,0,0,'Données projet'!$E$15+1,1))</f>
        <v>346.97972840139914</v>
      </c>
      <c r="EP164" s="62">
        <f t="shared" si="154"/>
        <v>158.41433650660613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-1.1368683772161603E-13</v>
      </c>
      <c r="FF164" s="18">
        <f>FE164*VLOOKUP('Données projet'!$B$16,Paramètres!$A$1:$I$89,3,0)*VLOOKUP('Données projet'!$B$16,Paramètres!$A$1:$I$89,5,0)</f>
        <v>-7.4487616075202823E-14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235.88453308732235</v>
      </c>
      <c r="FK164" s="62">
        <f t="shared" si="156"/>
        <v>220.72810812053521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-8.1404323282185943E-13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442.98179778678298</v>
      </c>
      <c r="T165" s="62">
        <f t="shared" si="142"/>
        <v>251.96153561746942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1.4897523215040565E-13</v>
      </c>
      <c r="AK165" s="14">
        <f t="shared" si="164"/>
        <v>2.136562777003313E-12</v>
      </c>
      <c r="AL165" s="22">
        <f t="shared" si="165"/>
        <v>3.9806453659427267E-12</v>
      </c>
      <c r="AM165" s="62">
        <f t="shared" si="113"/>
        <v>287.95080179856569</v>
      </c>
      <c r="AN165" s="62">
        <f ca="1">AVERAGE(OFFSET($AM$3,0,0,'Données projet'!$E$10+1,1))-AVERAGE(OFFSET($H$3,0,0,'Données projet'!$E$10+1,1))</f>
        <v>304.35088214287919</v>
      </c>
      <c r="AO165" s="62">
        <f t="shared" si="144"/>
        <v>288.72611053217599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3.6357050703372803E-14</v>
      </c>
      <c r="BF165" s="14">
        <f t="shared" si="167"/>
        <v>6.1445232567661395E-13</v>
      </c>
      <c r="BG165" s="22">
        <f t="shared" si="168"/>
        <v>1.1334929971951436E-12</v>
      </c>
      <c r="BH165" s="62">
        <f t="shared" si="116"/>
        <v>287.95080179856285</v>
      </c>
      <c r="BI165" s="62">
        <f ca="1">AVERAGE(OFFSET($BH$3,0,0,'Données projet'!$E$11+1,1))-AVERAGE(OFFSET($H$3,0,0,'Données projet'!$E$11+1,1))</f>
        <v>285.09561428624352</v>
      </c>
      <c r="BJ165" s="62">
        <f t="shared" si="146"/>
        <v>261.05678516705564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-9.2222762759774927E-14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272.69564942740931</v>
      </c>
      <c r="CE165" s="62">
        <f t="shared" si="148"/>
        <v>316.57989180609252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2.2737367544323206E-13</v>
      </c>
      <c r="CU165" s="18">
        <f>CT165*VLOOKUP('Données projet'!$B$13,Paramètres!$A$1:$I$89,3,0)*VLOOKUP('Données projet'!$B$13,Paramètres!$A$1:$I$89,5,0)</f>
        <v>1.4897523215040565E-13</v>
      </c>
      <c r="CV165" s="14">
        <f t="shared" si="173"/>
        <v>2.136562777003313E-12</v>
      </c>
      <c r="CW165" s="22">
        <f t="shared" si="174"/>
        <v>3.9806453659427267E-12</v>
      </c>
      <c r="CX165" s="62">
        <f t="shared" si="122"/>
        <v>287.95080179856569</v>
      </c>
      <c r="CY165" s="62">
        <f ca="1">AVERAGE(OFFSET($CX$3,0,0,'Données projet'!$E$13+1,1))-AVERAGE(OFFSET($H$3,0,0,'Données projet'!$E$13+1,1))</f>
        <v>304.35088214287919</v>
      </c>
      <c r="CZ165" s="62">
        <f t="shared" si="150"/>
        <v>288.72611053217599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6.5620042732916778E-14</v>
      </c>
      <c r="DQ165" s="14">
        <f t="shared" si="176"/>
        <v>1.0353460337118015E-12</v>
      </c>
      <c r="DR165" s="22">
        <f t="shared" si="177"/>
        <v>1.9175159164745509E-12</v>
      </c>
      <c r="DS165" s="62">
        <f t="shared" si="125"/>
        <v>287.95080179856365</v>
      </c>
      <c r="DT165" s="62">
        <f ca="1">AVERAGE(OFFSET($DS$3,0,0,'Données projet'!$E$14+1,1))-AVERAGE(OFFSET($H$3,0,0,'Données projet'!$E$14+1,1))</f>
        <v>172.86120068224633</v>
      </c>
      <c r="DU165" s="62">
        <f t="shared" si="152"/>
        <v>269.4995727085078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1.9895196601282805E-13</v>
      </c>
      <c r="EK165" s="18">
        <f>EJ165*VLOOKUP('Données projet'!$B$15,Paramètres!$A$1:$I$89,3,0)*VLOOKUP('Données projet'!$B$15,Paramètres!$A$1:$I$89,5,0)</f>
        <v>1.6759713616920637E-13</v>
      </c>
      <c r="EL165" s="14">
        <f t="shared" si="179"/>
        <v>2.3709043131075133E-12</v>
      </c>
      <c r="EM165" s="22">
        <f t="shared" si="180"/>
        <v>4.4212233574902864E-12</v>
      </c>
      <c r="EN165" s="62">
        <f t="shared" si="128"/>
        <v>287.95080179856615</v>
      </c>
      <c r="EO165" s="62">
        <f ca="1">AVERAGE(OFFSET($EN$3,0,0,'Données projet'!$E$15+1,1))-AVERAGE(OFFSET($H$3,0,0,'Données projet'!$E$15+1,1))</f>
        <v>346.97972840139914</v>
      </c>
      <c r="EP165" s="62">
        <f t="shared" si="154"/>
        <v>158.41433650660613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-1.1368683772161603E-13</v>
      </c>
      <c r="FF165" s="18">
        <f>FE165*VLOOKUP('Données projet'!$B$16,Paramètres!$A$1:$I$89,3,0)*VLOOKUP('Données projet'!$B$16,Paramètres!$A$1:$I$89,5,0)</f>
        <v>-7.4487616075202823E-14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235.88453308732235</v>
      </c>
      <c r="FK165" s="62">
        <f t="shared" si="156"/>
        <v>220.72810812053521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-8.1404323282185943E-13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442.98179778678298</v>
      </c>
      <c r="T166" s="62">
        <f t="shared" si="142"/>
        <v>251.96153561746942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1.4897523215040565E-13</v>
      </c>
      <c r="AK166" s="14">
        <f t="shared" si="164"/>
        <v>2.136562777003313E-12</v>
      </c>
      <c r="AL166" s="22">
        <f t="shared" si="165"/>
        <v>3.9806453659427267E-12</v>
      </c>
      <c r="AM166" s="62">
        <f t="shared" si="113"/>
        <v>288.04417668715621</v>
      </c>
      <c r="AN166" s="62">
        <f ca="1">AVERAGE(OFFSET($AM$3,0,0,'Données projet'!$E$10+1,1))-AVERAGE(OFFSET($H$3,0,0,'Données projet'!$E$10+1,1))</f>
        <v>304.35088214287919</v>
      </c>
      <c r="AO166" s="62">
        <f t="shared" si="144"/>
        <v>288.72611053217599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3.6357050703372803E-14</v>
      </c>
      <c r="BF166" s="14">
        <f t="shared" si="167"/>
        <v>6.1445232567661395E-13</v>
      </c>
      <c r="BG166" s="22">
        <f t="shared" si="168"/>
        <v>1.1334929971951436E-12</v>
      </c>
      <c r="BH166" s="62">
        <f t="shared" si="116"/>
        <v>288.04417668715337</v>
      </c>
      <c r="BI166" s="62">
        <f ca="1">AVERAGE(OFFSET($BH$3,0,0,'Données projet'!$E$11+1,1))-AVERAGE(OFFSET($H$3,0,0,'Données projet'!$E$11+1,1))</f>
        <v>285.09561428624352</v>
      </c>
      <c r="BJ166" s="62">
        <f t="shared" si="146"/>
        <v>261.05678516705564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-9.2222762759774927E-14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272.69564942740931</v>
      </c>
      <c r="CE166" s="62">
        <f t="shared" si="148"/>
        <v>316.57989180609252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2.2737367544323206E-13</v>
      </c>
      <c r="CU166" s="18">
        <f>CT166*VLOOKUP('Données projet'!$B$13,Paramètres!$A$1:$I$89,3,0)*VLOOKUP('Données projet'!$B$13,Paramètres!$A$1:$I$89,5,0)</f>
        <v>1.4897523215040565E-13</v>
      </c>
      <c r="CV166" s="14">
        <f t="shared" si="173"/>
        <v>2.136562777003313E-12</v>
      </c>
      <c r="CW166" s="22">
        <f t="shared" si="174"/>
        <v>3.9806453659427267E-12</v>
      </c>
      <c r="CX166" s="62">
        <f t="shared" si="122"/>
        <v>288.04417668715621</v>
      </c>
      <c r="CY166" s="62">
        <f ca="1">AVERAGE(OFFSET($CX$3,0,0,'Données projet'!$E$13+1,1))-AVERAGE(OFFSET($H$3,0,0,'Données projet'!$E$13+1,1))</f>
        <v>304.35088214287919</v>
      </c>
      <c r="CZ166" s="62">
        <f t="shared" si="150"/>
        <v>288.72611053217599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6.5620042732916778E-14</v>
      </c>
      <c r="DQ166" s="14">
        <f t="shared" si="176"/>
        <v>1.0353460337118015E-12</v>
      </c>
      <c r="DR166" s="22">
        <f t="shared" si="177"/>
        <v>1.9175159164745509E-12</v>
      </c>
      <c r="DS166" s="62">
        <f t="shared" si="125"/>
        <v>288.04417668715416</v>
      </c>
      <c r="DT166" s="62">
        <f ca="1">AVERAGE(OFFSET($DS$3,0,0,'Données projet'!$E$14+1,1))-AVERAGE(OFFSET($H$3,0,0,'Données projet'!$E$14+1,1))</f>
        <v>172.86120068224633</v>
      </c>
      <c r="DU166" s="62">
        <f t="shared" si="152"/>
        <v>269.4995727085078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1.9895196601282805E-13</v>
      </c>
      <c r="EK166" s="18">
        <f>EJ166*VLOOKUP('Données projet'!$B$15,Paramètres!$A$1:$I$89,3,0)*VLOOKUP('Données projet'!$B$15,Paramètres!$A$1:$I$89,5,0)</f>
        <v>1.6759713616920637E-13</v>
      </c>
      <c r="EL166" s="14">
        <f t="shared" si="179"/>
        <v>2.3709043131075133E-12</v>
      </c>
      <c r="EM166" s="22">
        <f t="shared" si="180"/>
        <v>4.4212233574902864E-12</v>
      </c>
      <c r="EN166" s="62">
        <f t="shared" si="128"/>
        <v>288.04417668715666</v>
      </c>
      <c r="EO166" s="62">
        <f ca="1">AVERAGE(OFFSET($EN$3,0,0,'Données projet'!$E$15+1,1))-AVERAGE(OFFSET($H$3,0,0,'Données projet'!$E$15+1,1))</f>
        <v>346.97972840139914</v>
      </c>
      <c r="EP166" s="62">
        <f t="shared" si="154"/>
        <v>158.41433650660613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-1.1368683772161603E-13</v>
      </c>
      <c r="FF166" s="18">
        <f>FE166*VLOOKUP('Données projet'!$B$16,Paramètres!$A$1:$I$89,3,0)*VLOOKUP('Données projet'!$B$16,Paramètres!$A$1:$I$89,5,0)</f>
        <v>-7.4487616075202823E-14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235.88453308732235</v>
      </c>
      <c r="FK166" s="62">
        <f t="shared" si="156"/>
        <v>220.72810812053521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-8.1404323282185943E-13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442.98179778678298</v>
      </c>
      <c r="T167" s="62">
        <f t="shared" si="142"/>
        <v>251.96153561746942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1.4897523215040565E-13</v>
      </c>
      <c r="AK167" s="14">
        <f t="shared" si="164"/>
        <v>2.136562777003313E-12</v>
      </c>
      <c r="AL167" s="22">
        <f t="shared" si="165"/>
        <v>3.9806453659427267E-12</v>
      </c>
      <c r="AM167" s="62">
        <f t="shared" si="113"/>
        <v>288.13593173018467</v>
      </c>
      <c r="AN167" s="62">
        <f ca="1">AVERAGE(OFFSET($AM$3,0,0,'Données projet'!$E$10+1,1))-AVERAGE(OFFSET($H$3,0,0,'Données projet'!$E$10+1,1))</f>
        <v>304.35088214287919</v>
      </c>
      <c r="AO167" s="62">
        <f t="shared" si="144"/>
        <v>288.72611053217599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3.6357050703372803E-14</v>
      </c>
      <c r="BF167" s="14">
        <f t="shared" si="167"/>
        <v>6.1445232567661395E-13</v>
      </c>
      <c r="BG167" s="22">
        <f t="shared" si="168"/>
        <v>1.1334929971951436E-12</v>
      </c>
      <c r="BH167" s="62">
        <f t="shared" si="116"/>
        <v>288.13593173018182</v>
      </c>
      <c r="BI167" s="62">
        <f ca="1">AVERAGE(OFFSET($BH$3,0,0,'Données projet'!$E$11+1,1))-AVERAGE(OFFSET($H$3,0,0,'Données projet'!$E$11+1,1))</f>
        <v>285.09561428624352</v>
      </c>
      <c r="BJ167" s="62">
        <f t="shared" si="146"/>
        <v>261.05678516705564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-9.2222762759774927E-14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272.69564942740931</v>
      </c>
      <c r="CE167" s="62">
        <f t="shared" si="148"/>
        <v>316.57989180609252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2.2737367544323206E-13</v>
      </c>
      <c r="CU167" s="18">
        <f>CT167*VLOOKUP('Données projet'!$B$13,Paramètres!$A$1:$I$89,3,0)*VLOOKUP('Données projet'!$B$13,Paramètres!$A$1:$I$89,5,0)</f>
        <v>1.4897523215040565E-13</v>
      </c>
      <c r="CV167" s="14">
        <f t="shared" si="173"/>
        <v>2.136562777003313E-12</v>
      </c>
      <c r="CW167" s="22">
        <f t="shared" si="174"/>
        <v>3.9806453659427267E-12</v>
      </c>
      <c r="CX167" s="62">
        <f t="shared" si="122"/>
        <v>288.13593173018467</v>
      </c>
      <c r="CY167" s="62">
        <f ca="1">AVERAGE(OFFSET($CX$3,0,0,'Données projet'!$E$13+1,1))-AVERAGE(OFFSET($H$3,0,0,'Données projet'!$E$13+1,1))</f>
        <v>304.35088214287919</v>
      </c>
      <c r="CZ167" s="62">
        <f t="shared" si="150"/>
        <v>288.72611053217599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6.5620042732916778E-14</v>
      </c>
      <c r="DQ167" s="14">
        <f t="shared" si="176"/>
        <v>1.0353460337118015E-12</v>
      </c>
      <c r="DR167" s="22">
        <f t="shared" si="177"/>
        <v>1.9175159164745509E-12</v>
      </c>
      <c r="DS167" s="62">
        <f t="shared" si="125"/>
        <v>288.13593173018262</v>
      </c>
      <c r="DT167" s="62">
        <f ca="1">AVERAGE(OFFSET($DS$3,0,0,'Données projet'!$E$14+1,1))-AVERAGE(OFFSET($H$3,0,0,'Données projet'!$E$14+1,1))</f>
        <v>172.86120068224633</v>
      </c>
      <c r="DU167" s="62">
        <f t="shared" si="152"/>
        <v>269.4995727085078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1.9895196601282805E-13</v>
      </c>
      <c r="EK167" s="18">
        <f>EJ167*VLOOKUP('Données projet'!$B$15,Paramètres!$A$1:$I$89,3,0)*VLOOKUP('Données projet'!$B$15,Paramètres!$A$1:$I$89,5,0)</f>
        <v>1.6759713616920637E-13</v>
      </c>
      <c r="EL167" s="14">
        <f t="shared" si="179"/>
        <v>2.3709043131075133E-12</v>
      </c>
      <c r="EM167" s="22">
        <f t="shared" si="180"/>
        <v>4.4212233574902864E-12</v>
      </c>
      <c r="EN167" s="62">
        <f t="shared" si="128"/>
        <v>288.13593173018512</v>
      </c>
      <c r="EO167" s="62">
        <f ca="1">AVERAGE(OFFSET($EN$3,0,0,'Données projet'!$E$15+1,1))-AVERAGE(OFFSET($H$3,0,0,'Données projet'!$E$15+1,1))</f>
        <v>346.97972840139914</v>
      </c>
      <c r="EP167" s="62">
        <f t="shared" si="154"/>
        <v>158.41433650660613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-1.1368683772161603E-13</v>
      </c>
      <c r="FF167" s="18">
        <f>FE167*VLOOKUP('Données projet'!$B$16,Paramètres!$A$1:$I$89,3,0)*VLOOKUP('Données projet'!$B$16,Paramètres!$A$1:$I$89,5,0)</f>
        <v>-7.4487616075202823E-14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235.88453308732235</v>
      </c>
      <c r="FK167" s="62">
        <f t="shared" si="156"/>
        <v>220.72810812053521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-8.1404323282185943E-13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442.98179778678298</v>
      </c>
      <c r="T168" s="62">
        <f t="shared" si="142"/>
        <v>251.96153561746942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1.4897523215040565E-13</v>
      </c>
      <c r="AK168" s="14">
        <f t="shared" si="164"/>
        <v>2.136562777003313E-12</v>
      </c>
      <c r="AL168" s="22">
        <f t="shared" si="165"/>
        <v>3.9806453659427267E-12</v>
      </c>
      <c r="AM168" s="62">
        <f t="shared" si="113"/>
        <v>288.22609502835013</v>
      </c>
      <c r="AN168" s="62">
        <f ca="1">AVERAGE(OFFSET($AM$3,0,0,'Données projet'!$E$10+1,1))-AVERAGE(OFFSET($H$3,0,0,'Données projet'!$E$10+1,1))</f>
        <v>304.35088214287919</v>
      </c>
      <c r="AO168" s="62">
        <f t="shared" si="144"/>
        <v>288.72611053217599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3.6357050703372803E-14</v>
      </c>
      <c r="BF168" s="14">
        <f t="shared" si="167"/>
        <v>6.1445232567661395E-13</v>
      </c>
      <c r="BG168" s="22">
        <f t="shared" si="168"/>
        <v>1.1334929971951436E-12</v>
      </c>
      <c r="BH168" s="62">
        <f t="shared" si="116"/>
        <v>288.22609502834729</v>
      </c>
      <c r="BI168" s="62">
        <f ca="1">AVERAGE(OFFSET($BH$3,0,0,'Données projet'!$E$11+1,1))-AVERAGE(OFFSET($H$3,0,0,'Données projet'!$E$11+1,1))</f>
        <v>285.09561428624352</v>
      </c>
      <c r="BJ168" s="62">
        <f t="shared" si="146"/>
        <v>261.05678516705564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-9.2222762759774927E-14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272.69564942740931</v>
      </c>
      <c r="CE168" s="62">
        <f t="shared" si="148"/>
        <v>316.57989180609252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2.2737367544323206E-13</v>
      </c>
      <c r="CU168" s="18">
        <f>CT168*VLOOKUP('Données projet'!$B$13,Paramètres!$A$1:$I$89,3,0)*VLOOKUP('Données projet'!$B$13,Paramètres!$A$1:$I$89,5,0)</f>
        <v>1.4897523215040565E-13</v>
      </c>
      <c r="CV168" s="14">
        <f t="shared" si="173"/>
        <v>2.136562777003313E-12</v>
      </c>
      <c r="CW168" s="22">
        <f t="shared" si="174"/>
        <v>3.9806453659427267E-12</v>
      </c>
      <c r="CX168" s="62">
        <f t="shared" si="122"/>
        <v>288.22609502835013</v>
      </c>
      <c r="CY168" s="62">
        <f ca="1">AVERAGE(OFFSET($CX$3,0,0,'Données projet'!$E$13+1,1))-AVERAGE(OFFSET($H$3,0,0,'Données projet'!$E$13+1,1))</f>
        <v>304.35088214287919</v>
      </c>
      <c r="CZ168" s="62">
        <f t="shared" si="150"/>
        <v>288.72611053217599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6.5620042732916778E-14</v>
      </c>
      <c r="DQ168" s="14">
        <f t="shared" si="176"/>
        <v>1.0353460337118015E-12</v>
      </c>
      <c r="DR168" s="22">
        <f t="shared" si="177"/>
        <v>1.9175159164745509E-12</v>
      </c>
      <c r="DS168" s="62">
        <f t="shared" si="125"/>
        <v>288.22609502834808</v>
      </c>
      <c r="DT168" s="62">
        <f ca="1">AVERAGE(OFFSET($DS$3,0,0,'Données projet'!$E$14+1,1))-AVERAGE(OFFSET($H$3,0,0,'Données projet'!$E$14+1,1))</f>
        <v>172.86120068224633</v>
      </c>
      <c r="DU168" s="62">
        <f t="shared" si="152"/>
        <v>269.4995727085078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1.9895196601282805E-13</v>
      </c>
      <c r="EK168" s="18">
        <f>EJ168*VLOOKUP('Données projet'!$B$15,Paramètres!$A$1:$I$89,3,0)*VLOOKUP('Données projet'!$B$15,Paramètres!$A$1:$I$89,5,0)</f>
        <v>1.6759713616920637E-13</v>
      </c>
      <c r="EL168" s="14">
        <f t="shared" si="179"/>
        <v>2.3709043131075133E-12</v>
      </c>
      <c r="EM168" s="22">
        <f t="shared" si="180"/>
        <v>4.4212233574902864E-12</v>
      </c>
      <c r="EN168" s="62">
        <f t="shared" si="128"/>
        <v>288.22609502835058</v>
      </c>
      <c r="EO168" s="62">
        <f ca="1">AVERAGE(OFFSET($EN$3,0,0,'Données projet'!$E$15+1,1))-AVERAGE(OFFSET($H$3,0,0,'Données projet'!$E$15+1,1))</f>
        <v>346.97972840139914</v>
      </c>
      <c r="EP168" s="62">
        <f t="shared" si="154"/>
        <v>158.41433650660613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-1.1368683772161603E-13</v>
      </c>
      <c r="FF168" s="18">
        <f>FE168*VLOOKUP('Données projet'!$B$16,Paramètres!$A$1:$I$89,3,0)*VLOOKUP('Données projet'!$B$16,Paramètres!$A$1:$I$89,5,0)</f>
        <v>-7.4487616075202823E-14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235.88453308732235</v>
      </c>
      <c r="FK168" s="62">
        <f t="shared" si="156"/>
        <v>220.72810812053521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-8.1404323282185943E-13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442.98179778678298</v>
      </c>
      <c r="T169" s="62">
        <f t="shared" si="142"/>
        <v>251.96153561746942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1.4897523215040565E-13</v>
      </c>
      <c r="AK169" s="14">
        <f t="shared" si="164"/>
        <v>2.136562777003313E-12</v>
      </c>
      <c r="AL169" s="22">
        <f t="shared" si="165"/>
        <v>3.9806453659427267E-12</v>
      </c>
      <c r="AM169" s="62">
        <f t="shared" si="113"/>
        <v>288.3146941948674</v>
      </c>
      <c r="AN169" s="62">
        <f ca="1">AVERAGE(OFFSET($AM$3,0,0,'Données projet'!$E$10+1,1))-AVERAGE(OFFSET($H$3,0,0,'Données projet'!$E$10+1,1))</f>
        <v>304.35088214287919</v>
      </c>
      <c r="AO169" s="62">
        <f t="shared" si="144"/>
        <v>288.72611053217599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3.6357050703372803E-14</v>
      </c>
      <c r="BF169" s="14">
        <f t="shared" si="167"/>
        <v>6.1445232567661395E-13</v>
      </c>
      <c r="BG169" s="22">
        <f t="shared" si="168"/>
        <v>1.1334929971951436E-12</v>
      </c>
      <c r="BH169" s="62">
        <f t="shared" si="116"/>
        <v>288.31469419486456</v>
      </c>
      <c r="BI169" s="62">
        <f ca="1">AVERAGE(OFFSET($BH$3,0,0,'Données projet'!$E$11+1,1))-AVERAGE(OFFSET($H$3,0,0,'Données projet'!$E$11+1,1))</f>
        <v>285.09561428624352</v>
      </c>
      <c r="BJ169" s="62">
        <f t="shared" si="146"/>
        <v>261.05678516705564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-9.2222762759774927E-14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272.69564942740931</v>
      </c>
      <c r="CE169" s="62">
        <f t="shared" si="148"/>
        <v>316.57989180609252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2.2737367544323206E-13</v>
      </c>
      <c r="CU169" s="18">
        <f>CT169*VLOOKUP('Données projet'!$B$13,Paramètres!$A$1:$I$89,3,0)*VLOOKUP('Données projet'!$B$13,Paramètres!$A$1:$I$89,5,0)</f>
        <v>1.4897523215040565E-13</v>
      </c>
      <c r="CV169" s="14">
        <f t="shared" si="173"/>
        <v>2.136562777003313E-12</v>
      </c>
      <c r="CW169" s="22">
        <f t="shared" si="174"/>
        <v>3.9806453659427267E-12</v>
      </c>
      <c r="CX169" s="62">
        <f t="shared" si="122"/>
        <v>288.3146941948674</v>
      </c>
      <c r="CY169" s="62">
        <f ca="1">AVERAGE(OFFSET($CX$3,0,0,'Données projet'!$E$13+1,1))-AVERAGE(OFFSET($H$3,0,0,'Données projet'!$E$13+1,1))</f>
        <v>304.35088214287919</v>
      </c>
      <c r="CZ169" s="62">
        <f t="shared" si="150"/>
        <v>288.72611053217599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6.5620042732916778E-14</v>
      </c>
      <c r="DQ169" s="14">
        <f t="shared" si="176"/>
        <v>1.0353460337118015E-12</v>
      </c>
      <c r="DR169" s="22">
        <f t="shared" si="177"/>
        <v>1.9175159164745509E-12</v>
      </c>
      <c r="DS169" s="62">
        <f t="shared" si="125"/>
        <v>288.31469419486535</v>
      </c>
      <c r="DT169" s="62">
        <f ca="1">AVERAGE(OFFSET($DS$3,0,0,'Données projet'!$E$14+1,1))-AVERAGE(OFFSET($H$3,0,0,'Données projet'!$E$14+1,1))</f>
        <v>172.86120068224633</v>
      </c>
      <c r="DU169" s="62">
        <f t="shared" si="152"/>
        <v>269.4995727085078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1.9895196601282805E-13</v>
      </c>
      <c r="EK169" s="18">
        <f>EJ169*VLOOKUP('Données projet'!$B$15,Paramètres!$A$1:$I$89,3,0)*VLOOKUP('Données projet'!$B$15,Paramètres!$A$1:$I$89,5,0)</f>
        <v>1.6759713616920637E-13</v>
      </c>
      <c r="EL169" s="14">
        <f t="shared" si="179"/>
        <v>2.3709043131075133E-12</v>
      </c>
      <c r="EM169" s="22">
        <f t="shared" si="180"/>
        <v>4.4212233574902864E-12</v>
      </c>
      <c r="EN169" s="62">
        <f t="shared" si="128"/>
        <v>288.31469419486785</v>
      </c>
      <c r="EO169" s="62">
        <f ca="1">AVERAGE(OFFSET($EN$3,0,0,'Données projet'!$E$15+1,1))-AVERAGE(OFFSET($H$3,0,0,'Données projet'!$E$15+1,1))</f>
        <v>346.97972840139914</v>
      </c>
      <c r="EP169" s="62">
        <f t="shared" si="154"/>
        <v>158.41433650660613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-1.1368683772161603E-13</v>
      </c>
      <c r="FF169" s="18">
        <f>FE169*VLOOKUP('Données projet'!$B$16,Paramètres!$A$1:$I$89,3,0)*VLOOKUP('Données projet'!$B$16,Paramètres!$A$1:$I$89,5,0)</f>
        <v>-7.4487616075202823E-14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235.88453308732235</v>
      </c>
      <c r="FK169" s="62">
        <f t="shared" si="156"/>
        <v>220.72810812053521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-8.1404323282185943E-13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442.98179778678298</v>
      </c>
      <c r="T170" s="62">
        <f t="shared" si="142"/>
        <v>251.96153561746942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1.4897523215040565E-13</v>
      </c>
      <c r="AK170" s="14">
        <f t="shared" si="164"/>
        <v>2.136562777003313E-12</v>
      </c>
      <c r="AL170" s="22">
        <f t="shared" si="165"/>
        <v>3.9806453659427267E-12</v>
      </c>
      <c r="AM170" s="62">
        <f t="shared" si="113"/>
        <v>288.4017563639236</v>
      </c>
      <c r="AN170" s="62">
        <f ca="1">AVERAGE(OFFSET($AM$3,0,0,'Données projet'!$E$10+1,1))-AVERAGE(OFFSET($H$3,0,0,'Données projet'!$E$10+1,1))</f>
        <v>304.35088214287919</v>
      </c>
      <c r="AO170" s="62">
        <f t="shared" si="144"/>
        <v>288.72611053217599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3.6357050703372803E-14</v>
      </c>
      <c r="BF170" s="14">
        <f t="shared" si="167"/>
        <v>6.1445232567661395E-13</v>
      </c>
      <c r="BG170" s="22">
        <f t="shared" si="168"/>
        <v>1.1334929971951436E-12</v>
      </c>
      <c r="BH170" s="62">
        <f t="shared" si="116"/>
        <v>288.40175636392075</v>
      </c>
      <c r="BI170" s="62">
        <f ca="1">AVERAGE(OFFSET($BH$3,0,0,'Données projet'!$E$11+1,1))-AVERAGE(OFFSET($H$3,0,0,'Données projet'!$E$11+1,1))</f>
        <v>285.09561428624352</v>
      </c>
      <c r="BJ170" s="62">
        <f t="shared" si="146"/>
        <v>261.05678516705564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-9.2222762759774927E-14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272.69564942740931</v>
      </c>
      <c r="CE170" s="62">
        <f t="shared" si="148"/>
        <v>316.57989180609252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2.2737367544323206E-13</v>
      </c>
      <c r="CU170" s="18">
        <f>CT170*VLOOKUP('Données projet'!$B$13,Paramètres!$A$1:$I$89,3,0)*VLOOKUP('Données projet'!$B$13,Paramètres!$A$1:$I$89,5,0)</f>
        <v>1.4897523215040565E-13</v>
      </c>
      <c r="CV170" s="14">
        <f t="shared" si="173"/>
        <v>2.136562777003313E-12</v>
      </c>
      <c r="CW170" s="22">
        <f t="shared" si="174"/>
        <v>3.9806453659427267E-12</v>
      </c>
      <c r="CX170" s="62">
        <f t="shared" si="122"/>
        <v>288.4017563639236</v>
      </c>
      <c r="CY170" s="62">
        <f ca="1">AVERAGE(OFFSET($CX$3,0,0,'Données projet'!$E$13+1,1))-AVERAGE(OFFSET($H$3,0,0,'Données projet'!$E$13+1,1))</f>
        <v>304.35088214287919</v>
      </c>
      <c r="CZ170" s="62">
        <f t="shared" si="150"/>
        <v>288.72611053217599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6.5620042732916778E-14</v>
      </c>
      <c r="DQ170" s="14">
        <f t="shared" si="176"/>
        <v>1.0353460337118015E-12</v>
      </c>
      <c r="DR170" s="22">
        <f t="shared" si="177"/>
        <v>1.9175159164745509E-12</v>
      </c>
      <c r="DS170" s="62">
        <f t="shared" si="125"/>
        <v>288.40175636392155</v>
      </c>
      <c r="DT170" s="62">
        <f ca="1">AVERAGE(OFFSET($DS$3,0,0,'Données projet'!$E$14+1,1))-AVERAGE(OFFSET($H$3,0,0,'Données projet'!$E$14+1,1))</f>
        <v>172.86120068224633</v>
      </c>
      <c r="DU170" s="62">
        <f t="shared" si="152"/>
        <v>269.4995727085078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1.9895196601282805E-13</v>
      </c>
      <c r="EK170" s="18">
        <f>EJ170*VLOOKUP('Données projet'!$B$15,Paramètres!$A$1:$I$89,3,0)*VLOOKUP('Données projet'!$B$15,Paramètres!$A$1:$I$89,5,0)</f>
        <v>1.6759713616920637E-13</v>
      </c>
      <c r="EL170" s="14">
        <f t="shared" si="179"/>
        <v>2.3709043131075133E-12</v>
      </c>
      <c r="EM170" s="22">
        <f t="shared" si="180"/>
        <v>4.4212233574902864E-12</v>
      </c>
      <c r="EN170" s="62">
        <f t="shared" si="128"/>
        <v>288.40175636392405</v>
      </c>
      <c r="EO170" s="62">
        <f ca="1">AVERAGE(OFFSET($EN$3,0,0,'Données projet'!$E$15+1,1))-AVERAGE(OFFSET($H$3,0,0,'Données projet'!$E$15+1,1))</f>
        <v>346.97972840139914</v>
      </c>
      <c r="EP170" s="62">
        <f t="shared" si="154"/>
        <v>158.41433650660613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-1.1368683772161603E-13</v>
      </c>
      <c r="FF170" s="18">
        <f>FE170*VLOOKUP('Données projet'!$B$16,Paramètres!$A$1:$I$89,3,0)*VLOOKUP('Données projet'!$B$16,Paramètres!$A$1:$I$89,5,0)</f>
        <v>-7.4487616075202823E-14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235.88453308732235</v>
      </c>
      <c r="FK170" s="62">
        <f t="shared" si="156"/>
        <v>220.72810812053521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-8.1404323282185943E-13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442.98179778678298</v>
      </c>
      <c r="T171" s="62">
        <f t="shared" si="142"/>
        <v>251.96153561746942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1.4897523215040565E-13</v>
      </c>
      <c r="AK171" s="14">
        <f t="shared" si="164"/>
        <v>2.136562777003313E-12</v>
      </c>
      <c r="AL171" s="22">
        <f t="shared" si="165"/>
        <v>3.9806453659427267E-12</v>
      </c>
      <c r="AM171" s="62">
        <f t="shared" si="113"/>
        <v>288.4873081989885</v>
      </c>
      <c r="AN171" s="62">
        <f ca="1">AVERAGE(OFFSET($AM$3,0,0,'Données projet'!$E$10+1,1))-AVERAGE(OFFSET($H$3,0,0,'Données projet'!$E$10+1,1))</f>
        <v>304.35088214287919</v>
      </c>
      <c r="AO171" s="62">
        <f t="shared" si="144"/>
        <v>288.72611053217599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3.6357050703372803E-14</v>
      </c>
      <c r="BF171" s="14">
        <f t="shared" si="167"/>
        <v>6.1445232567661395E-13</v>
      </c>
      <c r="BG171" s="22">
        <f t="shared" si="168"/>
        <v>1.1334929971951436E-12</v>
      </c>
      <c r="BH171" s="62">
        <f t="shared" si="116"/>
        <v>288.48730819898566</v>
      </c>
      <c r="BI171" s="62">
        <f ca="1">AVERAGE(OFFSET($BH$3,0,0,'Données projet'!$E$11+1,1))-AVERAGE(OFFSET($H$3,0,0,'Données projet'!$E$11+1,1))</f>
        <v>285.09561428624352</v>
      </c>
      <c r="BJ171" s="62">
        <f t="shared" si="146"/>
        <v>261.05678516705564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-9.2222762759774927E-14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272.69564942740931</v>
      </c>
      <c r="CE171" s="62">
        <f t="shared" si="148"/>
        <v>316.57989180609252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2.2737367544323206E-13</v>
      </c>
      <c r="CU171" s="18">
        <f>CT171*VLOOKUP('Données projet'!$B$13,Paramètres!$A$1:$I$89,3,0)*VLOOKUP('Données projet'!$B$13,Paramètres!$A$1:$I$89,5,0)</f>
        <v>1.4897523215040565E-13</v>
      </c>
      <c r="CV171" s="14">
        <f t="shared" si="173"/>
        <v>2.136562777003313E-12</v>
      </c>
      <c r="CW171" s="22">
        <f t="shared" si="174"/>
        <v>3.9806453659427267E-12</v>
      </c>
      <c r="CX171" s="62">
        <f t="shared" si="122"/>
        <v>288.4873081989885</v>
      </c>
      <c r="CY171" s="62">
        <f ca="1">AVERAGE(OFFSET($CX$3,0,0,'Données projet'!$E$13+1,1))-AVERAGE(OFFSET($H$3,0,0,'Données projet'!$E$13+1,1))</f>
        <v>304.35088214287919</v>
      </c>
      <c r="CZ171" s="62">
        <f t="shared" si="150"/>
        <v>288.72611053217599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6.5620042732916778E-14</v>
      </c>
      <c r="DQ171" s="14">
        <f t="shared" si="176"/>
        <v>1.0353460337118015E-12</v>
      </c>
      <c r="DR171" s="22">
        <f t="shared" si="177"/>
        <v>1.9175159164745509E-12</v>
      </c>
      <c r="DS171" s="62">
        <f t="shared" si="125"/>
        <v>288.48730819898645</v>
      </c>
      <c r="DT171" s="62">
        <f ca="1">AVERAGE(OFFSET($DS$3,0,0,'Données projet'!$E$14+1,1))-AVERAGE(OFFSET($H$3,0,0,'Données projet'!$E$14+1,1))</f>
        <v>172.86120068224633</v>
      </c>
      <c r="DU171" s="62">
        <f t="shared" si="152"/>
        <v>269.4995727085078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1.9895196601282805E-13</v>
      </c>
      <c r="EK171" s="18">
        <f>EJ171*VLOOKUP('Données projet'!$B$15,Paramètres!$A$1:$I$89,3,0)*VLOOKUP('Données projet'!$B$15,Paramètres!$A$1:$I$89,5,0)</f>
        <v>1.6759713616920637E-13</v>
      </c>
      <c r="EL171" s="14">
        <f t="shared" si="179"/>
        <v>2.3709043131075133E-12</v>
      </c>
      <c r="EM171" s="22">
        <f t="shared" si="180"/>
        <v>4.4212233574902864E-12</v>
      </c>
      <c r="EN171" s="62">
        <f t="shared" si="128"/>
        <v>288.48730819898896</v>
      </c>
      <c r="EO171" s="62">
        <f ca="1">AVERAGE(OFFSET($EN$3,0,0,'Données projet'!$E$15+1,1))-AVERAGE(OFFSET($H$3,0,0,'Données projet'!$E$15+1,1))</f>
        <v>346.97972840139914</v>
      </c>
      <c r="EP171" s="62">
        <f t="shared" si="154"/>
        <v>158.41433650660613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-1.1368683772161603E-13</v>
      </c>
      <c r="FF171" s="18">
        <f>FE171*VLOOKUP('Données projet'!$B$16,Paramètres!$A$1:$I$89,3,0)*VLOOKUP('Données projet'!$B$16,Paramètres!$A$1:$I$89,5,0)</f>
        <v>-7.4487616075202823E-14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235.88453308732235</v>
      </c>
      <c r="FK171" s="62">
        <f t="shared" si="156"/>
        <v>220.72810812053521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-8.1404323282185943E-13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442.98179778678298</v>
      </c>
      <c r="T172" s="62">
        <f t="shared" si="142"/>
        <v>251.96153561746942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1.4897523215040565E-13</v>
      </c>
      <c r="AK172" s="14">
        <f t="shared" si="164"/>
        <v>2.136562777003313E-12</v>
      </c>
      <c r="AL172" s="22">
        <f t="shared" si="165"/>
        <v>3.9806453659427267E-12</v>
      </c>
      <c r="AM172" s="62">
        <f t="shared" si="113"/>
        <v>288.5713759009804</v>
      </c>
      <c r="AN172" s="62">
        <f ca="1">AVERAGE(OFFSET($AM$3,0,0,'Données projet'!$E$10+1,1))-AVERAGE(OFFSET($H$3,0,0,'Données projet'!$E$10+1,1))</f>
        <v>304.35088214287919</v>
      </c>
      <c r="AO172" s="62">
        <f t="shared" si="144"/>
        <v>288.72611053217599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3.6357050703372803E-14</v>
      </c>
      <c r="BF172" s="14">
        <f t="shared" si="167"/>
        <v>6.1445232567661395E-13</v>
      </c>
      <c r="BG172" s="22">
        <f t="shared" si="168"/>
        <v>1.1334929971951436E-12</v>
      </c>
      <c r="BH172" s="62">
        <f t="shared" si="116"/>
        <v>288.57137590097756</v>
      </c>
      <c r="BI172" s="62">
        <f ca="1">AVERAGE(OFFSET($BH$3,0,0,'Données projet'!$E$11+1,1))-AVERAGE(OFFSET($H$3,0,0,'Données projet'!$E$11+1,1))</f>
        <v>285.09561428624352</v>
      </c>
      <c r="BJ172" s="62">
        <f t="shared" si="146"/>
        <v>261.05678516705564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-9.2222762759774927E-14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272.69564942740931</v>
      </c>
      <c r="CE172" s="62">
        <f t="shared" si="148"/>
        <v>316.57989180609252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2.2737367544323206E-13</v>
      </c>
      <c r="CU172" s="18">
        <f>CT172*VLOOKUP('Données projet'!$B$13,Paramètres!$A$1:$I$89,3,0)*VLOOKUP('Données projet'!$B$13,Paramètres!$A$1:$I$89,5,0)</f>
        <v>1.4897523215040565E-13</v>
      </c>
      <c r="CV172" s="14">
        <f t="shared" si="173"/>
        <v>2.136562777003313E-12</v>
      </c>
      <c r="CW172" s="22">
        <f t="shared" si="174"/>
        <v>3.9806453659427267E-12</v>
      </c>
      <c r="CX172" s="62">
        <f t="shared" si="122"/>
        <v>288.5713759009804</v>
      </c>
      <c r="CY172" s="62">
        <f ca="1">AVERAGE(OFFSET($CX$3,0,0,'Données projet'!$E$13+1,1))-AVERAGE(OFFSET($H$3,0,0,'Données projet'!$E$13+1,1))</f>
        <v>304.35088214287919</v>
      </c>
      <c r="CZ172" s="62">
        <f t="shared" si="150"/>
        <v>288.72611053217599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6.5620042732916778E-14</v>
      </c>
      <c r="DQ172" s="14">
        <f t="shared" si="176"/>
        <v>1.0353460337118015E-12</v>
      </c>
      <c r="DR172" s="22">
        <f t="shared" si="177"/>
        <v>1.9175159164745509E-12</v>
      </c>
      <c r="DS172" s="62">
        <f t="shared" si="125"/>
        <v>288.57137590097835</v>
      </c>
      <c r="DT172" s="62">
        <f ca="1">AVERAGE(OFFSET($DS$3,0,0,'Données projet'!$E$14+1,1))-AVERAGE(OFFSET($H$3,0,0,'Données projet'!$E$14+1,1))</f>
        <v>172.86120068224633</v>
      </c>
      <c r="DU172" s="62">
        <f t="shared" si="152"/>
        <v>269.4995727085078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1.9895196601282805E-13</v>
      </c>
      <c r="EK172" s="18">
        <f>EJ172*VLOOKUP('Données projet'!$B$15,Paramètres!$A$1:$I$89,3,0)*VLOOKUP('Données projet'!$B$15,Paramètres!$A$1:$I$89,5,0)</f>
        <v>1.6759713616920637E-13</v>
      </c>
      <c r="EL172" s="14">
        <f t="shared" si="179"/>
        <v>2.3709043131075133E-12</v>
      </c>
      <c r="EM172" s="22">
        <f t="shared" si="180"/>
        <v>4.4212233574902864E-12</v>
      </c>
      <c r="EN172" s="62">
        <f t="shared" si="128"/>
        <v>288.57137590098085</v>
      </c>
      <c r="EO172" s="62">
        <f ca="1">AVERAGE(OFFSET($EN$3,0,0,'Données projet'!$E$15+1,1))-AVERAGE(OFFSET($H$3,0,0,'Données projet'!$E$15+1,1))</f>
        <v>346.97972840139914</v>
      </c>
      <c r="EP172" s="62">
        <f t="shared" si="154"/>
        <v>158.41433650660613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-1.1368683772161603E-13</v>
      </c>
      <c r="FF172" s="18">
        <f>FE172*VLOOKUP('Données projet'!$B$16,Paramètres!$A$1:$I$89,3,0)*VLOOKUP('Données projet'!$B$16,Paramètres!$A$1:$I$89,5,0)</f>
        <v>-7.4487616075202823E-14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235.88453308732235</v>
      </c>
      <c r="FK172" s="62">
        <f t="shared" si="156"/>
        <v>220.72810812053521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-8.1404323282185943E-13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442.98179778678298</v>
      </c>
      <c r="T173" s="62">
        <f t="shared" si="142"/>
        <v>251.96153561746942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1.4897523215040565E-13</v>
      </c>
      <c r="AK173" s="14">
        <f t="shared" si="164"/>
        <v>2.136562777003313E-12</v>
      </c>
      <c r="AL173" s="22">
        <f t="shared" si="165"/>
        <v>3.9806453659427267E-12</v>
      </c>
      <c r="AM173" s="62">
        <f t="shared" si="113"/>
        <v>288.65398521628987</v>
      </c>
      <c r="AN173" s="62">
        <f ca="1">AVERAGE(OFFSET($AM$3,0,0,'Données projet'!$E$10+1,1))-AVERAGE(OFFSET($H$3,0,0,'Données projet'!$E$10+1,1))</f>
        <v>304.35088214287919</v>
      </c>
      <c r="AO173" s="62">
        <f t="shared" si="144"/>
        <v>288.72611053217599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3.6357050703372803E-14</v>
      </c>
      <c r="BF173" s="14">
        <f t="shared" si="167"/>
        <v>6.1445232567661395E-13</v>
      </c>
      <c r="BG173" s="22">
        <f t="shared" si="168"/>
        <v>1.1334929971951436E-12</v>
      </c>
      <c r="BH173" s="62">
        <f t="shared" si="116"/>
        <v>288.65398521628703</v>
      </c>
      <c r="BI173" s="62">
        <f ca="1">AVERAGE(OFFSET($BH$3,0,0,'Données projet'!$E$11+1,1))-AVERAGE(OFFSET($H$3,0,0,'Données projet'!$E$11+1,1))</f>
        <v>285.09561428624352</v>
      </c>
      <c r="BJ173" s="62">
        <f t="shared" si="146"/>
        <v>261.05678516705564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-9.2222762759774927E-14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272.69564942740931</v>
      </c>
      <c r="CE173" s="62">
        <f t="shared" si="148"/>
        <v>316.57989180609252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2.2737367544323206E-13</v>
      </c>
      <c r="CU173" s="18">
        <f>CT173*VLOOKUP('Données projet'!$B$13,Paramètres!$A$1:$I$89,3,0)*VLOOKUP('Données projet'!$B$13,Paramètres!$A$1:$I$89,5,0)</f>
        <v>1.4897523215040565E-13</v>
      </c>
      <c r="CV173" s="14">
        <f t="shared" si="173"/>
        <v>2.136562777003313E-12</v>
      </c>
      <c r="CW173" s="22">
        <f t="shared" si="174"/>
        <v>3.9806453659427267E-12</v>
      </c>
      <c r="CX173" s="62">
        <f t="shared" si="122"/>
        <v>288.65398521628987</v>
      </c>
      <c r="CY173" s="62">
        <f ca="1">AVERAGE(OFFSET($CX$3,0,0,'Données projet'!$E$13+1,1))-AVERAGE(OFFSET($H$3,0,0,'Données projet'!$E$13+1,1))</f>
        <v>304.35088214287919</v>
      </c>
      <c r="CZ173" s="62">
        <f t="shared" si="150"/>
        <v>288.72611053217599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6.5620042732916778E-14</v>
      </c>
      <c r="DQ173" s="14">
        <f t="shared" si="176"/>
        <v>1.0353460337118015E-12</v>
      </c>
      <c r="DR173" s="22">
        <f t="shared" si="177"/>
        <v>1.9175159164745509E-12</v>
      </c>
      <c r="DS173" s="62">
        <f t="shared" si="125"/>
        <v>288.65398521628782</v>
      </c>
      <c r="DT173" s="62">
        <f ca="1">AVERAGE(OFFSET($DS$3,0,0,'Données projet'!$E$14+1,1))-AVERAGE(OFFSET($H$3,0,0,'Données projet'!$E$14+1,1))</f>
        <v>172.86120068224633</v>
      </c>
      <c r="DU173" s="62">
        <f t="shared" si="152"/>
        <v>269.4995727085078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1.9895196601282805E-13</v>
      </c>
      <c r="EK173" s="18">
        <f>EJ173*VLOOKUP('Données projet'!$B$15,Paramètres!$A$1:$I$89,3,0)*VLOOKUP('Données projet'!$B$15,Paramètres!$A$1:$I$89,5,0)</f>
        <v>1.6759713616920637E-13</v>
      </c>
      <c r="EL173" s="14">
        <f t="shared" si="179"/>
        <v>2.3709043131075133E-12</v>
      </c>
      <c r="EM173" s="22">
        <f t="shared" si="180"/>
        <v>4.4212233574902864E-12</v>
      </c>
      <c r="EN173" s="62">
        <f t="shared" si="128"/>
        <v>288.65398521629032</v>
      </c>
      <c r="EO173" s="62">
        <f ca="1">AVERAGE(OFFSET($EN$3,0,0,'Données projet'!$E$15+1,1))-AVERAGE(OFFSET($H$3,0,0,'Données projet'!$E$15+1,1))</f>
        <v>346.97972840139914</v>
      </c>
      <c r="EP173" s="62">
        <f t="shared" si="154"/>
        <v>158.41433650660613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-1.1368683772161603E-13</v>
      </c>
      <c r="FF173" s="18">
        <f>FE173*VLOOKUP('Données projet'!$B$16,Paramètres!$A$1:$I$89,3,0)*VLOOKUP('Données projet'!$B$16,Paramètres!$A$1:$I$89,5,0)</f>
        <v>-7.4487616075202823E-14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235.88453308732235</v>
      </c>
      <c r="FK173" s="62">
        <f t="shared" si="156"/>
        <v>220.72810812053521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-8.1404323282185943E-13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442.98179778678298</v>
      </c>
      <c r="T174" s="62">
        <f t="shared" si="142"/>
        <v>251.96153561746942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1.4897523215040565E-13</v>
      </c>
      <c r="AK174" s="14">
        <f t="shared" si="164"/>
        <v>2.136562777003313E-12</v>
      </c>
      <c r="AL174" s="22">
        <f t="shared" si="165"/>
        <v>3.9806453659427267E-12</v>
      </c>
      <c r="AM174" s="62">
        <f t="shared" si="113"/>
        <v>288.73516144466549</v>
      </c>
      <c r="AN174" s="62">
        <f ca="1">AVERAGE(OFFSET($AM$3,0,0,'Données projet'!$E$10+1,1))-AVERAGE(OFFSET($H$3,0,0,'Données projet'!$E$10+1,1))</f>
        <v>304.35088214287919</v>
      </c>
      <c r="AO174" s="62">
        <f t="shared" si="144"/>
        <v>288.72611053217599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3.6357050703372803E-14</v>
      </c>
      <c r="BF174" s="14">
        <f t="shared" si="167"/>
        <v>6.1445232567661395E-13</v>
      </c>
      <c r="BG174" s="22">
        <f t="shared" si="168"/>
        <v>1.1334929971951436E-12</v>
      </c>
      <c r="BH174" s="62">
        <f t="shared" si="116"/>
        <v>288.73516144466265</v>
      </c>
      <c r="BI174" s="62">
        <f ca="1">AVERAGE(OFFSET($BH$3,0,0,'Données projet'!$E$11+1,1))-AVERAGE(OFFSET($H$3,0,0,'Données projet'!$E$11+1,1))</f>
        <v>285.09561428624352</v>
      </c>
      <c r="BJ174" s="62">
        <f t="shared" si="146"/>
        <v>261.05678516705564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-9.2222762759774927E-14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272.69564942740931</v>
      </c>
      <c r="CE174" s="62">
        <f t="shared" si="148"/>
        <v>316.57989180609252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2.2737367544323206E-13</v>
      </c>
      <c r="CU174" s="18">
        <f>CT174*VLOOKUP('Données projet'!$B$13,Paramètres!$A$1:$I$89,3,0)*VLOOKUP('Données projet'!$B$13,Paramètres!$A$1:$I$89,5,0)</f>
        <v>1.4897523215040565E-13</v>
      </c>
      <c r="CV174" s="14">
        <f t="shared" si="173"/>
        <v>2.136562777003313E-12</v>
      </c>
      <c r="CW174" s="22">
        <f t="shared" si="174"/>
        <v>3.9806453659427267E-12</v>
      </c>
      <c r="CX174" s="62">
        <f t="shared" si="122"/>
        <v>288.73516144466549</v>
      </c>
      <c r="CY174" s="62">
        <f ca="1">AVERAGE(OFFSET($CX$3,0,0,'Données projet'!$E$13+1,1))-AVERAGE(OFFSET($H$3,0,0,'Données projet'!$E$13+1,1))</f>
        <v>304.35088214287919</v>
      </c>
      <c r="CZ174" s="62">
        <f t="shared" si="150"/>
        <v>288.72611053217599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6.5620042732916778E-14</v>
      </c>
      <c r="DQ174" s="14">
        <f t="shared" si="176"/>
        <v>1.0353460337118015E-12</v>
      </c>
      <c r="DR174" s="22">
        <f t="shared" si="177"/>
        <v>1.9175159164745509E-12</v>
      </c>
      <c r="DS174" s="62">
        <f t="shared" si="125"/>
        <v>288.73516144466345</v>
      </c>
      <c r="DT174" s="62">
        <f ca="1">AVERAGE(OFFSET($DS$3,0,0,'Données projet'!$E$14+1,1))-AVERAGE(OFFSET($H$3,0,0,'Données projet'!$E$14+1,1))</f>
        <v>172.86120068224633</v>
      </c>
      <c r="DU174" s="62">
        <f t="shared" si="152"/>
        <v>269.4995727085078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1.9895196601282805E-13</v>
      </c>
      <c r="EK174" s="18">
        <f>EJ174*VLOOKUP('Données projet'!$B$15,Paramètres!$A$1:$I$89,3,0)*VLOOKUP('Données projet'!$B$15,Paramètres!$A$1:$I$89,5,0)</f>
        <v>1.6759713616920637E-13</v>
      </c>
      <c r="EL174" s="14">
        <f t="shared" si="179"/>
        <v>2.3709043131075133E-12</v>
      </c>
      <c r="EM174" s="22">
        <f t="shared" si="180"/>
        <v>4.4212233574902864E-12</v>
      </c>
      <c r="EN174" s="62">
        <f t="shared" si="128"/>
        <v>288.73516144466595</v>
      </c>
      <c r="EO174" s="62">
        <f ca="1">AVERAGE(OFFSET($EN$3,0,0,'Données projet'!$E$15+1,1))-AVERAGE(OFFSET($H$3,0,0,'Données projet'!$E$15+1,1))</f>
        <v>346.97972840139914</v>
      </c>
      <c r="EP174" s="62">
        <f t="shared" si="154"/>
        <v>158.41433650660613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-1.1368683772161603E-13</v>
      </c>
      <c r="FF174" s="18">
        <f>FE174*VLOOKUP('Données projet'!$B$16,Paramètres!$A$1:$I$89,3,0)*VLOOKUP('Données projet'!$B$16,Paramètres!$A$1:$I$89,5,0)</f>
        <v>-7.4487616075202823E-14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235.88453308732235</v>
      </c>
      <c r="FK174" s="62">
        <f t="shared" si="156"/>
        <v>220.72810812053521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-8.1404323282185943E-13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442.98179778678298</v>
      </c>
      <c r="T175" s="62">
        <f t="shared" si="142"/>
        <v>251.96153561746942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1.4897523215040565E-13</v>
      </c>
      <c r="AK175" s="14">
        <f t="shared" si="164"/>
        <v>2.136562777003313E-12</v>
      </c>
      <c r="AL175" s="22">
        <f t="shared" si="165"/>
        <v>3.9806453659427267E-12</v>
      </c>
      <c r="AM175" s="62">
        <f t="shared" si="113"/>
        <v>288.81492944696163</v>
      </c>
      <c r="AN175" s="62">
        <f ca="1">AVERAGE(OFFSET($AM$3,0,0,'Données projet'!$E$10+1,1))-AVERAGE(OFFSET($H$3,0,0,'Données projet'!$E$10+1,1))</f>
        <v>304.35088214287919</v>
      </c>
      <c r="AO175" s="62">
        <f t="shared" si="144"/>
        <v>288.72611053217599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3.6357050703372803E-14</v>
      </c>
      <c r="BF175" s="14">
        <f t="shared" si="167"/>
        <v>6.1445232567661395E-13</v>
      </c>
      <c r="BG175" s="22">
        <f t="shared" si="168"/>
        <v>1.1334929971951436E-12</v>
      </c>
      <c r="BH175" s="62">
        <f t="shared" si="116"/>
        <v>288.81492944695879</v>
      </c>
      <c r="BI175" s="62">
        <f ca="1">AVERAGE(OFFSET($BH$3,0,0,'Données projet'!$E$11+1,1))-AVERAGE(OFFSET($H$3,0,0,'Données projet'!$E$11+1,1))</f>
        <v>285.09561428624352</v>
      </c>
      <c r="BJ175" s="62">
        <f t="shared" si="146"/>
        <v>261.05678516705564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-9.2222762759774927E-14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272.69564942740931</v>
      </c>
      <c r="CE175" s="62">
        <f t="shared" si="148"/>
        <v>316.57989180609252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2.2737367544323206E-13</v>
      </c>
      <c r="CU175" s="18">
        <f>CT175*VLOOKUP('Données projet'!$B$13,Paramètres!$A$1:$I$89,3,0)*VLOOKUP('Données projet'!$B$13,Paramètres!$A$1:$I$89,5,0)</f>
        <v>1.4897523215040565E-13</v>
      </c>
      <c r="CV175" s="14">
        <f t="shared" si="173"/>
        <v>2.136562777003313E-12</v>
      </c>
      <c r="CW175" s="22">
        <f t="shared" si="174"/>
        <v>3.9806453659427267E-12</v>
      </c>
      <c r="CX175" s="62">
        <f t="shared" si="122"/>
        <v>288.81492944696163</v>
      </c>
      <c r="CY175" s="62">
        <f ca="1">AVERAGE(OFFSET($CX$3,0,0,'Données projet'!$E$13+1,1))-AVERAGE(OFFSET($H$3,0,0,'Données projet'!$E$13+1,1))</f>
        <v>304.35088214287919</v>
      </c>
      <c r="CZ175" s="62">
        <f t="shared" si="150"/>
        <v>288.72611053217599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6.5620042732916778E-14</v>
      </c>
      <c r="DQ175" s="14">
        <f t="shared" si="176"/>
        <v>1.0353460337118015E-12</v>
      </c>
      <c r="DR175" s="22">
        <f t="shared" si="177"/>
        <v>1.9175159164745509E-12</v>
      </c>
      <c r="DS175" s="62">
        <f t="shared" si="125"/>
        <v>288.81492944695958</v>
      </c>
      <c r="DT175" s="62">
        <f ca="1">AVERAGE(OFFSET($DS$3,0,0,'Données projet'!$E$14+1,1))-AVERAGE(OFFSET($H$3,0,0,'Données projet'!$E$14+1,1))</f>
        <v>172.86120068224633</v>
      </c>
      <c r="DU175" s="62">
        <f t="shared" si="152"/>
        <v>269.4995727085078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1.9895196601282805E-13</v>
      </c>
      <c r="EK175" s="18">
        <f>EJ175*VLOOKUP('Données projet'!$B$15,Paramètres!$A$1:$I$89,3,0)*VLOOKUP('Données projet'!$B$15,Paramètres!$A$1:$I$89,5,0)</f>
        <v>1.6759713616920637E-13</v>
      </c>
      <c r="EL175" s="14">
        <f t="shared" si="179"/>
        <v>2.3709043131075133E-12</v>
      </c>
      <c r="EM175" s="22">
        <f t="shared" si="180"/>
        <v>4.4212233574902864E-12</v>
      </c>
      <c r="EN175" s="62">
        <f t="shared" si="128"/>
        <v>288.81492944696208</v>
      </c>
      <c r="EO175" s="62">
        <f ca="1">AVERAGE(OFFSET($EN$3,0,0,'Données projet'!$E$15+1,1))-AVERAGE(OFFSET($H$3,0,0,'Données projet'!$E$15+1,1))</f>
        <v>346.97972840139914</v>
      </c>
      <c r="EP175" s="62">
        <f t="shared" si="154"/>
        <v>158.41433650660613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-1.1368683772161603E-13</v>
      </c>
      <c r="FF175" s="18">
        <f>FE175*VLOOKUP('Données projet'!$B$16,Paramètres!$A$1:$I$89,3,0)*VLOOKUP('Données projet'!$B$16,Paramètres!$A$1:$I$89,5,0)</f>
        <v>-7.4487616075202823E-14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235.88453308732235</v>
      </c>
      <c r="FK175" s="62">
        <f t="shared" si="156"/>
        <v>220.72810812053521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-8.1404323282185943E-13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442.98179778678298</v>
      </c>
      <c r="T176" s="62">
        <f t="shared" si="142"/>
        <v>251.96153561746942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1.4897523215040565E-13</v>
      </c>
      <c r="AK176" s="14">
        <f t="shared" si="164"/>
        <v>2.136562777003313E-12</v>
      </c>
      <c r="AL176" s="22">
        <f t="shared" si="165"/>
        <v>3.9806453659427267E-12</v>
      </c>
      <c r="AM176" s="62">
        <f t="shared" si="113"/>
        <v>288.89331365275245</v>
      </c>
      <c r="AN176" s="62">
        <f ca="1">AVERAGE(OFFSET($AM$3,0,0,'Données projet'!$E$10+1,1))-AVERAGE(OFFSET($H$3,0,0,'Données projet'!$E$10+1,1))</f>
        <v>304.35088214287919</v>
      </c>
      <c r="AO176" s="62">
        <f t="shared" si="144"/>
        <v>288.72611053217599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3.6357050703372803E-14</v>
      </c>
      <c r="BF176" s="14">
        <f t="shared" si="167"/>
        <v>6.1445232567661395E-13</v>
      </c>
      <c r="BG176" s="22">
        <f t="shared" si="168"/>
        <v>1.1334929971951436E-12</v>
      </c>
      <c r="BH176" s="62">
        <f t="shared" si="116"/>
        <v>288.89331365274961</v>
      </c>
      <c r="BI176" s="62">
        <f ca="1">AVERAGE(OFFSET($BH$3,0,0,'Données projet'!$E$11+1,1))-AVERAGE(OFFSET($H$3,0,0,'Données projet'!$E$11+1,1))</f>
        <v>285.09561428624352</v>
      </c>
      <c r="BJ176" s="62">
        <f t="shared" si="146"/>
        <v>261.05678516705564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-9.2222762759774927E-14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272.69564942740931</v>
      </c>
      <c r="CE176" s="62">
        <f t="shared" si="148"/>
        <v>316.57989180609252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2.2737367544323206E-13</v>
      </c>
      <c r="CU176" s="18">
        <f>CT176*VLOOKUP('Données projet'!$B$13,Paramètres!$A$1:$I$89,3,0)*VLOOKUP('Données projet'!$B$13,Paramètres!$A$1:$I$89,5,0)</f>
        <v>1.4897523215040565E-13</v>
      </c>
      <c r="CV176" s="14">
        <f t="shared" si="173"/>
        <v>2.136562777003313E-12</v>
      </c>
      <c r="CW176" s="22">
        <f t="shared" si="174"/>
        <v>3.9806453659427267E-12</v>
      </c>
      <c r="CX176" s="62">
        <f t="shared" si="122"/>
        <v>288.89331365275245</v>
      </c>
      <c r="CY176" s="62">
        <f ca="1">AVERAGE(OFFSET($CX$3,0,0,'Données projet'!$E$13+1,1))-AVERAGE(OFFSET($H$3,0,0,'Données projet'!$E$13+1,1))</f>
        <v>304.35088214287919</v>
      </c>
      <c r="CZ176" s="62">
        <f t="shared" si="150"/>
        <v>288.72611053217599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6.5620042732916778E-14</v>
      </c>
      <c r="DQ176" s="14">
        <f t="shared" si="176"/>
        <v>1.0353460337118015E-12</v>
      </c>
      <c r="DR176" s="22">
        <f t="shared" si="177"/>
        <v>1.9175159164745509E-12</v>
      </c>
      <c r="DS176" s="62">
        <f t="shared" si="125"/>
        <v>288.89331365275041</v>
      </c>
      <c r="DT176" s="62">
        <f ca="1">AVERAGE(OFFSET($DS$3,0,0,'Données projet'!$E$14+1,1))-AVERAGE(OFFSET($H$3,0,0,'Données projet'!$E$14+1,1))</f>
        <v>172.86120068224633</v>
      </c>
      <c r="DU176" s="62">
        <f t="shared" si="152"/>
        <v>269.4995727085078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1.9895196601282805E-13</v>
      </c>
      <c r="EK176" s="18">
        <f>EJ176*VLOOKUP('Données projet'!$B$15,Paramètres!$A$1:$I$89,3,0)*VLOOKUP('Données projet'!$B$15,Paramètres!$A$1:$I$89,5,0)</f>
        <v>1.6759713616920637E-13</v>
      </c>
      <c r="EL176" s="14">
        <f t="shared" si="179"/>
        <v>2.3709043131075133E-12</v>
      </c>
      <c r="EM176" s="22">
        <f t="shared" si="180"/>
        <v>4.4212233574902864E-12</v>
      </c>
      <c r="EN176" s="62">
        <f t="shared" si="128"/>
        <v>288.89331365275291</v>
      </c>
      <c r="EO176" s="62">
        <f ca="1">AVERAGE(OFFSET($EN$3,0,0,'Données projet'!$E$15+1,1))-AVERAGE(OFFSET($H$3,0,0,'Données projet'!$E$15+1,1))</f>
        <v>346.97972840139914</v>
      </c>
      <c r="EP176" s="62">
        <f t="shared" si="154"/>
        <v>158.41433650660613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-1.1368683772161603E-13</v>
      </c>
      <c r="FF176" s="18">
        <f>FE176*VLOOKUP('Données projet'!$B$16,Paramètres!$A$1:$I$89,3,0)*VLOOKUP('Données projet'!$B$16,Paramètres!$A$1:$I$89,5,0)</f>
        <v>-7.4487616075202823E-14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235.88453308732235</v>
      </c>
      <c r="FK176" s="62">
        <f t="shared" si="156"/>
        <v>220.72810812053521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-8.1404323282185943E-13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442.98179778678298</v>
      </c>
      <c r="T177" s="62">
        <f t="shared" si="142"/>
        <v>251.96153561746942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1.4897523215040565E-13</v>
      </c>
      <c r="AK177" s="14">
        <f t="shared" si="164"/>
        <v>2.136562777003313E-12</v>
      </c>
      <c r="AL177" s="22">
        <f t="shared" si="165"/>
        <v>3.9806453659427267E-12</v>
      </c>
      <c r="AM177" s="62">
        <f t="shared" si="113"/>
        <v>288.97033806781371</v>
      </c>
      <c r="AN177" s="62">
        <f ca="1">AVERAGE(OFFSET($AM$3,0,0,'Données projet'!$E$10+1,1))-AVERAGE(OFFSET($H$3,0,0,'Données projet'!$E$10+1,1))</f>
        <v>304.35088214287919</v>
      </c>
      <c r="AO177" s="62">
        <f t="shared" si="144"/>
        <v>288.72611053217599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3.6357050703372803E-14</v>
      </c>
      <c r="BF177" s="14">
        <f t="shared" si="167"/>
        <v>6.1445232567661395E-13</v>
      </c>
      <c r="BG177" s="22">
        <f t="shared" si="168"/>
        <v>1.1334929971951436E-12</v>
      </c>
      <c r="BH177" s="62">
        <f t="shared" si="116"/>
        <v>288.97033806781087</v>
      </c>
      <c r="BI177" s="62">
        <f ca="1">AVERAGE(OFFSET($BH$3,0,0,'Données projet'!$E$11+1,1))-AVERAGE(OFFSET($H$3,0,0,'Données projet'!$E$11+1,1))</f>
        <v>285.09561428624352</v>
      </c>
      <c r="BJ177" s="62">
        <f t="shared" si="146"/>
        <v>261.05678516705564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-9.2222762759774927E-14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272.69564942740931</v>
      </c>
      <c r="CE177" s="62">
        <f t="shared" si="148"/>
        <v>316.57989180609252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2.2737367544323206E-13</v>
      </c>
      <c r="CU177" s="18">
        <f>CT177*VLOOKUP('Données projet'!$B$13,Paramètres!$A$1:$I$89,3,0)*VLOOKUP('Données projet'!$B$13,Paramètres!$A$1:$I$89,5,0)</f>
        <v>1.4897523215040565E-13</v>
      </c>
      <c r="CV177" s="14">
        <f t="shared" si="173"/>
        <v>2.136562777003313E-12</v>
      </c>
      <c r="CW177" s="22">
        <f t="shared" si="174"/>
        <v>3.9806453659427267E-12</v>
      </c>
      <c r="CX177" s="62">
        <f t="shared" si="122"/>
        <v>288.97033806781371</v>
      </c>
      <c r="CY177" s="62">
        <f ca="1">AVERAGE(OFFSET($CX$3,0,0,'Données projet'!$E$13+1,1))-AVERAGE(OFFSET($H$3,0,0,'Données projet'!$E$13+1,1))</f>
        <v>304.35088214287919</v>
      </c>
      <c r="CZ177" s="62">
        <f t="shared" si="150"/>
        <v>288.72611053217599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6.5620042732916778E-14</v>
      </c>
      <c r="DQ177" s="14">
        <f t="shared" si="176"/>
        <v>1.0353460337118015E-12</v>
      </c>
      <c r="DR177" s="22">
        <f t="shared" si="177"/>
        <v>1.9175159164745509E-12</v>
      </c>
      <c r="DS177" s="62">
        <f t="shared" si="125"/>
        <v>288.97033806781167</v>
      </c>
      <c r="DT177" s="62">
        <f ca="1">AVERAGE(OFFSET($DS$3,0,0,'Données projet'!$E$14+1,1))-AVERAGE(OFFSET($H$3,0,0,'Données projet'!$E$14+1,1))</f>
        <v>172.86120068224633</v>
      </c>
      <c r="DU177" s="62">
        <f t="shared" si="152"/>
        <v>269.4995727085078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1.9895196601282805E-13</v>
      </c>
      <c r="EK177" s="18">
        <f>EJ177*VLOOKUP('Données projet'!$B$15,Paramètres!$A$1:$I$89,3,0)*VLOOKUP('Données projet'!$B$15,Paramètres!$A$1:$I$89,5,0)</f>
        <v>1.6759713616920637E-13</v>
      </c>
      <c r="EL177" s="14">
        <f t="shared" si="179"/>
        <v>2.3709043131075133E-12</v>
      </c>
      <c r="EM177" s="22">
        <f t="shared" si="180"/>
        <v>4.4212233574902864E-12</v>
      </c>
      <c r="EN177" s="62">
        <f t="shared" si="128"/>
        <v>288.97033806781417</v>
      </c>
      <c r="EO177" s="62">
        <f ca="1">AVERAGE(OFFSET($EN$3,0,0,'Données projet'!$E$15+1,1))-AVERAGE(OFFSET($H$3,0,0,'Données projet'!$E$15+1,1))</f>
        <v>346.97972840139914</v>
      </c>
      <c r="EP177" s="62">
        <f t="shared" si="154"/>
        <v>158.41433650660613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-1.1368683772161603E-13</v>
      </c>
      <c r="FF177" s="18">
        <f>FE177*VLOOKUP('Données projet'!$B$16,Paramètres!$A$1:$I$89,3,0)*VLOOKUP('Données projet'!$B$16,Paramètres!$A$1:$I$89,5,0)</f>
        <v>-7.4487616075202823E-14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235.88453308732235</v>
      </c>
      <c r="FK177" s="62">
        <f t="shared" si="156"/>
        <v>220.72810812053521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-8.1404323282185943E-13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442.98179778678298</v>
      </c>
      <c r="T178" s="62">
        <f t="shared" si="142"/>
        <v>251.96153561746942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1.4897523215040565E-13</v>
      </c>
      <c r="AK178" s="14">
        <f t="shared" si="164"/>
        <v>2.136562777003313E-12</v>
      </c>
      <c r="AL178" s="22">
        <f t="shared" si="165"/>
        <v>3.9806453659427267E-12</v>
      </c>
      <c r="AM178" s="62">
        <f t="shared" si="113"/>
        <v>289.04602628147438</v>
      </c>
      <c r="AN178" s="62">
        <f ca="1">AVERAGE(OFFSET($AM$3,0,0,'Données projet'!$E$10+1,1))-AVERAGE(OFFSET($H$3,0,0,'Données projet'!$E$10+1,1))</f>
        <v>304.35088214287919</v>
      </c>
      <c r="AO178" s="62">
        <f t="shared" si="144"/>
        <v>288.72611053217599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3.6357050703372803E-14</v>
      </c>
      <c r="BF178" s="14">
        <f t="shared" si="167"/>
        <v>6.1445232567661395E-13</v>
      </c>
      <c r="BG178" s="22">
        <f t="shared" si="168"/>
        <v>1.1334929971951436E-12</v>
      </c>
      <c r="BH178" s="62">
        <f t="shared" si="116"/>
        <v>289.04602628147154</v>
      </c>
      <c r="BI178" s="62">
        <f ca="1">AVERAGE(OFFSET($BH$3,0,0,'Données projet'!$E$11+1,1))-AVERAGE(OFFSET($H$3,0,0,'Données projet'!$E$11+1,1))</f>
        <v>285.09561428624352</v>
      </c>
      <c r="BJ178" s="62">
        <f t="shared" si="146"/>
        <v>261.05678516705564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-9.2222762759774927E-14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272.69564942740931</v>
      </c>
      <c r="CE178" s="62">
        <f t="shared" si="148"/>
        <v>316.57989180609252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2.2737367544323206E-13</v>
      </c>
      <c r="CU178" s="18">
        <f>CT178*VLOOKUP('Données projet'!$B$13,Paramètres!$A$1:$I$89,3,0)*VLOOKUP('Données projet'!$B$13,Paramètres!$A$1:$I$89,5,0)</f>
        <v>1.4897523215040565E-13</v>
      </c>
      <c r="CV178" s="14">
        <f t="shared" si="173"/>
        <v>2.136562777003313E-12</v>
      </c>
      <c r="CW178" s="22">
        <f t="shared" si="174"/>
        <v>3.9806453659427267E-12</v>
      </c>
      <c r="CX178" s="62">
        <f t="shared" si="122"/>
        <v>289.04602628147438</v>
      </c>
      <c r="CY178" s="62">
        <f ca="1">AVERAGE(OFFSET($CX$3,0,0,'Données projet'!$E$13+1,1))-AVERAGE(OFFSET($H$3,0,0,'Données projet'!$E$13+1,1))</f>
        <v>304.35088214287919</v>
      </c>
      <c r="CZ178" s="62">
        <f t="shared" si="150"/>
        <v>288.72611053217599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6.5620042732916778E-14</v>
      </c>
      <c r="DQ178" s="14">
        <f t="shared" si="176"/>
        <v>1.0353460337118015E-12</v>
      </c>
      <c r="DR178" s="22">
        <f t="shared" si="177"/>
        <v>1.9175159164745509E-12</v>
      </c>
      <c r="DS178" s="62">
        <f t="shared" si="125"/>
        <v>289.04602628147234</v>
      </c>
      <c r="DT178" s="62">
        <f ca="1">AVERAGE(OFFSET($DS$3,0,0,'Données projet'!$E$14+1,1))-AVERAGE(OFFSET($H$3,0,0,'Données projet'!$E$14+1,1))</f>
        <v>172.86120068224633</v>
      </c>
      <c r="DU178" s="62">
        <f t="shared" si="152"/>
        <v>269.4995727085078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1.9895196601282805E-13</v>
      </c>
      <c r="EK178" s="18">
        <f>EJ178*VLOOKUP('Données projet'!$B$15,Paramètres!$A$1:$I$89,3,0)*VLOOKUP('Données projet'!$B$15,Paramètres!$A$1:$I$89,5,0)</f>
        <v>1.6759713616920637E-13</v>
      </c>
      <c r="EL178" s="14">
        <f t="shared" si="179"/>
        <v>2.3709043131075133E-12</v>
      </c>
      <c r="EM178" s="22">
        <f t="shared" si="180"/>
        <v>4.4212233574902864E-12</v>
      </c>
      <c r="EN178" s="62">
        <f t="shared" si="128"/>
        <v>289.04602628147484</v>
      </c>
      <c r="EO178" s="62">
        <f ca="1">AVERAGE(OFFSET($EN$3,0,0,'Données projet'!$E$15+1,1))-AVERAGE(OFFSET($H$3,0,0,'Données projet'!$E$15+1,1))</f>
        <v>346.97972840139914</v>
      </c>
      <c r="EP178" s="62">
        <f t="shared" si="154"/>
        <v>158.41433650660613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-1.1368683772161603E-13</v>
      </c>
      <c r="FF178" s="18">
        <f>FE178*VLOOKUP('Données projet'!$B$16,Paramètres!$A$1:$I$89,3,0)*VLOOKUP('Données projet'!$B$16,Paramètres!$A$1:$I$89,5,0)</f>
        <v>-7.4487616075202823E-14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235.88453308732235</v>
      </c>
      <c r="FK178" s="62">
        <f t="shared" si="156"/>
        <v>220.72810812053521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-8.1404323282185943E-13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442.98179778678298</v>
      </c>
      <c r="T179" s="62">
        <f t="shared" si="142"/>
        <v>251.96153561746942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1.4897523215040565E-13</v>
      </c>
      <c r="AK179" s="14">
        <f t="shared" si="164"/>
        <v>2.136562777003313E-12</v>
      </c>
      <c r="AL179" s="22">
        <f t="shared" si="165"/>
        <v>3.9806453659427267E-12</v>
      </c>
      <c r="AM179" s="62">
        <f t="shared" si="113"/>
        <v>289.12040147384158</v>
      </c>
      <c r="AN179" s="62">
        <f ca="1">AVERAGE(OFFSET($AM$3,0,0,'Données projet'!$E$10+1,1))-AVERAGE(OFFSET($H$3,0,0,'Données projet'!$E$10+1,1))</f>
        <v>304.35088214287919</v>
      </c>
      <c r="AO179" s="62">
        <f t="shared" si="144"/>
        <v>288.72611053217599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3.6357050703372803E-14</v>
      </c>
      <c r="BF179" s="14">
        <f t="shared" si="167"/>
        <v>6.1445232567661395E-13</v>
      </c>
      <c r="BG179" s="22">
        <f t="shared" si="168"/>
        <v>1.1334929971951436E-12</v>
      </c>
      <c r="BH179" s="62">
        <f t="shared" si="116"/>
        <v>289.12040147383874</v>
      </c>
      <c r="BI179" s="62">
        <f ca="1">AVERAGE(OFFSET($BH$3,0,0,'Données projet'!$E$11+1,1))-AVERAGE(OFFSET($H$3,0,0,'Données projet'!$E$11+1,1))</f>
        <v>285.09561428624352</v>
      </c>
      <c r="BJ179" s="62">
        <f t="shared" si="146"/>
        <v>261.05678516705564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-9.2222762759774927E-14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272.69564942740931</v>
      </c>
      <c r="CE179" s="62">
        <f t="shared" si="148"/>
        <v>316.57989180609252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2.2737367544323206E-13</v>
      </c>
      <c r="CU179" s="18">
        <f>CT179*VLOOKUP('Données projet'!$B$13,Paramètres!$A$1:$I$89,3,0)*VLOOKUP('Données projet'!$B$13,Paramètres!$A$1:$I$89,5,0)</f>
        <v>1.4897523215040565E-13</v>
      </c>
      <c r="CV179" s="14">
        <f t="shared" si="173"/>
        <v>2.136562777003313E-12</v>
      </c>
      <c r="CW179" s="22">
        <f t="shared" si="174"/>
        <v>3.9806453659427267E-12</v>
      </c>
      <c r="CX179" s="62">
        <f t="shared" si="122"/>
        <v>289.12040147384158</v>
      </c>
      <c r="CY179" s="62">
        <f ca="1">AVERAGE(OFFSET($CX$3,0,0,'Données projet'!$E$13+1,1))-AVERAGE(OFFSET($H$3,0,0,'Données projet'!$E$13+1,1))</f>
        <v>304.35088214287919</v>
      </c>
      <c r="CZ179" s="62">
        <f t="shared" si="150"/>
        <v>288.72611053217599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6.5620042732916778E-14</v>
      </c>
      <c r="DQ179" s="14">
        <f t="shared" si="176"/>
        <v>1.0353460337118015E-12</v>
      </c>
      <c r="DR179" s="22">
        <f t="shared" si="177"/>
        <v>1.9175159164745509E-12</v>
      </c>
      <c r="DS179" s="62">
        <f t="shared" si="125"/>
        <v>289.12040147383954</v>
      </c>
      <c r="DT179" s="62">
        <f ca="1">AVERAGE(OFFSET($DS$3,0,0,'Données projet'!$E$14+1,1))-AVERAGE(OFFSET($H$3,0,0,'Données projet'!$E$14+1,1))</f>
        <v>172.86120068224633</v>
      </c>
      <c r="DU179" s="62">
        <f t="shared" si="152"/>
        <v>269.4995727085078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1.9895196601282805E-13</v>
      </c>
      <c r="EK179" s="18">
        <f>EJ179*VLOOKUP('Données projet'!$B$15,Paramètres!$A$1:$I$89,3,0)*VLOOKUP('Données projet'!$B$15,Paramètres!$A$1:$I$89,5,0)</f>
        <v>1.6759713616920637E-13</v>
      </c>
      <c r="EL179" s="14">
        <f t="shared" si="179"/>
        <v>2.3709043131075133E-12</v>
      </c>
      <c r="EM179" s="22">
        <f t="shared" si="180"/>
        <v>4.4212233574902864E-12</v>
      </c>
      <c r="EN179" s="62">
        <f t="shared" si="128"/>
        <v>289.12040147384204</v>
      </c>
      <c r="EO179" s="62">
        <f ca="1">AVERAGE(OFFSET($EN$3,0,0,'Données projet'!$E$15+1,1))-AVERAGE(OFFSET($H$3,0,0,'Données projet'!$E$15+1,1))</f>
        <v>346.97972840139914</v>
      </c>
      <c r="EP179" s="62">
        <f t="shared" si="154"/>
        <v>158.41433650660613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-1.1368683772161603E-13</v>
      </c>
      <c r="FF179" s="18">
        <f>FE179*VLOOKUP('Données projet'!$B$16,Paramètres!$A$1:$I$89,3,0)*VLOOKUP('Données projet'!$B$16,Paramètres!$A$1:$I$89,5,0)</f>
        <v>-7.4487616075202823E-14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235.88453308732235</v>
      </c>
      <c r="FK179" s="62">
        <f t="shared" si="156"/>
        <v>220.72810812053521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-8.1404323282185943E-13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442.98179778678298</v>
      </c>
      <c r="T180" s="62">
        <f t="shared" si="142"/>
        <v>251.96153561746942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1.4897523215040565E-13</v>
      </c>
      <c r="AK180" s="14">
        <f t="shared" si="164"/>
        <v>2.136562777003313E-12</v>
      </c>
      <c r="AL180" s="22">
        <f t="shared" si="165"/>
        <v>3.9806453659427267E-12</v>
      </c>
      <c r="AM180" s="62">
        <f t="shared" si="113"/>
        <v>289.19348642289924</v>
      </c>
      <c r="AN180" s="62">
        <f ca="1">AVERAGE(OFFSET($AM$3,0,0,'Données projet'!$E$10+1,1))-AVERAGE(OFFSET($H$3,0,0,'Données projet'!$E$10+1,1))</f>
        <v>304.35088214287919</v>
      </c>
      <c r="AO180" s="62">
        <f t="shared" si="144"/>
        <v>288.72611053217599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3.6357050703372803E-14</v>
      </c>
      <c r="BF180" s="14">
        <f t="shared" si="167"/>
        <v>6.1445232567661395E-13</v>
      </c>
      <c r="BG180" s="22">
        <f t="shared" si="168"/>
        <v>1.1334929971951436E-12</v>
      </c>
      <c r="BH180" s="62">
        <f t="shared" si="116"/>
        <v>289.1934864228964</v>
      </c>
      <c r="BI180" s="62">
        <f ca="1">AVERAGE(OFFSET($BH$3,0,0,'Données projet'!$E$11+1,1))-AVERAGE(OFFSET($H$3,0,0,'Données projet'!$E$11+1,1))</f>
        <v>285.09561428624352</v>
      </c>
      <c r="BJ180" s="62">
        <f t="shared" si="146"/>
        <v>261.05678516705564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-9.2222762759774927E-14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272.69564942740931</v>
      </c>
      <c r="CE180" s="62">
        <f t="shared" si="148"/>
        <v>316.57989180609252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2.2737367544323206E-13</v>
      </c>
      <c r="CU180" s="18">
        <f>CT180*VLOOKUP('Données projet'!$B$13,Paramètres!$A$1:$I$89,3,0)*VLOOKUP('Données projet'!$B$13,Paramètres!$A$1:$I$89,5,0)</f>
        <v>1.4897523215040565E-13</v>
      </c>
      <c r="CV180" s="14">
        <f t="shared" si="173"/>
        <v>2.136562777003313E-12</v>
      </c>
      <c r="CW180" s="22">
        <f t="shared" si="174"/>
        <v>3.9806453659427267E-12</v>
      </c>
      <c r="CX180" s="62">
        <f t="shared" si="122"/>
        <v>289.19348642289924</v>
      </c>
      <c r="CY180" s="62">
        <f ca="1">AVERAGE(OFFSET($CX$3,0,0,'Données projet'!$E$13+1,1))-AVERAGE(OFFSET($H$3,0,0,'Données projet'!$E$13+1,1))</f>
        <v>304.35088214287919</v>
      </c>
      <c r="CZ180" s="62">
        <f t="shared" si="150"/>
        <v>288.72611053217599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6.5620042732916778E-14</v>
      </c>
      <c r="DQ180" s="14">
        <f t="shared" si="176"/>
        <v>1.0353460337118015E-12</v>
      </c>
      <c r="DR180" s="22">
        <f t="shared" si="177"/>
        <v>1.9175159164745509E-12</v>
      </c>
      <c r="DS180" s="62">
        <f t="shared" si="125"/>
        <v>289.19348642289719</v>
      </c>
      <c r="DT180" s="62">
        <f ca="1">AVERAGE(OFFSET($DS$3,0,0,'Données projet'!$E$14+1,1))-AVERAGE(OFFSET($H$3,0,0,'Données projet'!$E$14+1,1))</f>
        <v>172.86120068224633</v>
      </c>
      <c r="DU180" s="62">
        <f t="shared" si="152"/>
        <v>269.4995727085078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1.9895196601282805E-13</v>
      </c>
      <c r="EK180" s="18">
        <f>EJ180*VLOOKUP('Données projet'!$B$15,Paramètres!$A$1:$I$89,3,0)*VLOOKUP('Données projet'!$B$15,Paramètres!$A$1:$I$89,5,0)</f>
        <v>1.6759713616920637E-13</v>
      </c>
      <c r="EL180" s="14">
        <f t="shared" si="179"/>
        <v>2.3709043131075133E-12</v>
      </c>
      <c r="EM180" s="22">
        <f t="shared" si="180"/>
        <v>4.4212233574902864E-12</v>
      </c>
      <c r="EN180" s="62">
        <f t="shared" si="128"/>
        <v>289.1934864228997</v>
      </c>
      <c r="EO180" s="62">
        <f ca="1">AVERAGE(OFFSET($EN$3,0,0,'Données projet'!$E$15+1,1))-AVERAGE(OFFSET($H$3,0,0,'Données projet'!$E$15+1,1))</f>
        <v>346.97972840139914</v>
      </c>
      <c r="EP180" s="62">
        <f t="shared" si="154"/>
        <v>158.41433650660613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-1.1368683772161603E-13</v>
      </c>
      <c r="FF180" s="18">
        <f>FE180*VLOOKUP('Données projet'!$B$16,Paramètres!$A$1:$I$89,3,0)*VLOOKUP('Données projet'!$B$16,Paramètres!$A$1:$I$89,5,0)</f>
        <v>-7.4487616075202823E-14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235.88453308732235</v>
      </c>
      <c r="FK180" s="62">
        <f t="shared" si="156"/>
        <v>220.72810812053521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-8.1404323282185943E-13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442.98179778678298</v>
      </c>
      <c r="T181" s="62">
        <f t="shared" si="142"/>
        <v>251.96153561746942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1.4897523215040565E-13</v>
      </c>
      <c r="AK181" s="14">
        <f t="shared" si="164"/>
        <v>2.136562777003313E-12</v>
      </c>
      <c r="AL181" s="22">
        <f t="shared" si="165"/>
        <v>3.9806453659427267E-12</v>
      </c>
      <c r="AM181" s="62">
        <f t="shared" si="113"/>
        <v>289.26530351148415</v>
      </c>
      <c r="AN181" s="62">
        <f ca="1">AVERAGE(OFFSET($AM$3,0,0,'Données projet'!$E$10+1,1))-AVERAGE(OFFSET($H$3,0,0,'Données projet'!$E$10+1,1))</f>
        <v>304.35088214287919</v>
      </c>
      <c r="AO181" s="62">
        <f t="shared" si="144"/>
        <v>288.72611053217599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3.6357050703372803E-14</v>
      </c>
      <c r="BF181" s="14">
        <f t="shared" si="167"/>
        <v>6.1445232567661395E-13</v>
      </c>
      <c r="BG181" s="22">
        <f t="shared" si="168"/>
        <v>1.1334929971951436E-12</v>
      </c>
      <c r="BH181" s="62">
        <f t="shared" si="116"/>
        <v>289.26530351148131</v>
      </c>
      <c r="BI181" s="62">
        <f ca="1">AVERAGE(OFFSET($BH$3,0,0,'Données projet'!$E$11+1,1))-AVERAGE(OFFSET($H$3,0,0,'Données projet'!$E$11+1,1))</f>
        <v>285.09561428624352</v>
      </c>
      <c r="BJ181" s="62">
        <f t="shared" si="146"/>
        <v>261.05678516705564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-9.2222762759774927E-14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272.69564942740931</v>
      </c>
      <c r="CE181" s="62">
        <f t="shared" si="148"/>
        <v>316.57989180609252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2.2737367544323206E-13</v>
      </c>
      <c r="CU181" s="18">
        <f>CT181*VLOOKUP('Données projet'!$B$13,Paramètres!$A$1:$I$89,3,0)*VLOOKUP('Données projet'!$B$13,Paramètres!$A$1:$I$89,5,0)</f>
        <v>1.4897523215040565E-13</v>
      </c>
      <c r="CV181" s="14">
        <f t="shared" si="173"/>
        <v>2.136562777003313E-12</v>
      </c>
      <c r="CW181" s="22">
        <f t="shared" si="174"/>
        <v>3.9806453659427267E-12</v>
      </c>
      <c r="CX181" s="62">
        <f t="shared" si="122"/>
        <v>289.26530351148415</v>
      </c>
      <c r="CY181" s="62">
        <f ca="1">AVERAGE(OFFSET($CX$3,0,0,'Données projet'!$E$13+1,1))-AVERAGE(OFFSET($H$3,0,0,'Données projet'!$E$13+1,1))</f>
        <v>304.35088214287919</v>
      </c>
      <c r="CZ181" s="62">
        <f t="shared" si="150"/>
        <v>288.72611053217599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6.5620042732916778E-14</v>
      </c>
      <c r="DQ181" s="14">
        <f t="shared" si="176"/>
        <v>1.0353460337118015E-12</v>
      </c>
      <c r="DR181" s="22">
        <f t="shared" si="177"/>
        <v>1.9175159164745509E-12</v>
      </c>
      <c r="DS181" s="62">
        <f t="shared" si="125"/>
        <v>289.2653035114821</v>
      </c>
      <c r="DT181" s="62">
        <f ca="1">AVERAGE(OFFSET($DS$3,0,0,'Données projet'!$E$14+1,1))-AVERAGE(OFFSET($H$3,0,0,'Données projet'!$E$14+1,1))</f>
        <v>172.86120068224633</v>
      </c>
      <c r="DU181" s="62">
        <f t="shared" si="152"/>
        <v>269.4995727085078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1.9895196601282805E-13</v>
      </c>
      <c r="EK181" s="18">
        <f>EJ181*VLOOKUP('Données projet'!$B$15,Paramètres!$A$1:$I$89,3,0)*VLOOKUP('Données projet'!$B$15,Paramètres!$A$1:$I$89,5,0)</f>
        <v>1.6759713616920637E-13</v>
      </c>
      <c r="EL181" s="14">
        <f t="shared" si="179"/>
        <v>2.3709043131075133E-12</v>
      </c>
      <c r="EM181" s="22">
        <f t="shared" si="180"/>
        <v>4.4212233574902864E-12</v>
      </c>
      <c r="EN181" s="62">
        <f t="shared" si="128"/>
        <v>289.2653035114846</v>
      </c>
      <c r="EO181" s="62">
        <f ca="1">AVERAGE(OFFSET($EN$3,0,0,'Données projet'!$E$15+1,1))-AVERAGE(OFFSET($H$3,0,0,'Données projet'!$E$15+1,1))</f>
        <v>346.97972840139914</v>
      </c>
      <c r="EP181" s="62">
        <f t="shared" si="154"/>
        <v>158.41433650660613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-1.1368683772161603E-13</v>
      </c>
      <c r="FF181" s="18">
        <f>FE181*VLOOKUP('Données projet'!$B$16,Paramètres!$A$1:$I$89,3,0)*VLOOKUP('Données projet'!$B$16,Paramètres!$A$1:$I$89,5,0)</f>
        <v>-7.4487616075202823E-14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235.88453308732235</v>
      </c>
      <c r="FK181" s="62">
        <f t="shared" si="156"/>
        <v>220.72810812053521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-8.1404323282185943E-13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442.98179778678298</v>
      </c>
      <c r="T182" s="62">
        <f t="shared" si="142"/>
        <v>251.96153561746942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1.4897523215040565E-13</v>
      </c>
      <c r="AK182" s="14">
        <f t="shared" si="164"/>
        <v>2.136562777003313E-12</v>
      </c>
      <c r="AL182" s="22">
        <f t="shared" si="165"/>
        <v>3.9806453659427267E-12</v>
      </c>
      <c r="AM182" s="62">
        <f t="shared" si="113"/>
        <v>289.3358747341411</v>
      </c>
      <c r="AN182" s="62">
        <f ca="1">AVERAGE(OFFSET($AM$3,0,0,'Données projet'!$E$10+1,1))-AVERAGE(OFFSET($H$3,0,0,'Données projet'!$E$10+1,1))</f>
        <v>304.35088214287919</v>
      </c>
      <c r="AO182" s="62">
        <f t="shared" si="144"/>
        <v>288.72611053217599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3.6357050703372803E-14</v>
      </c>
      <c r="BF182" s="14">
        <f t="shared" si="167"/>
        <v>6.1445232567661395E-13</v>
      </c>
      <c r="BG182" s="22">
        <f t="shared" si="168"/>
        <v>1.1334929971951436E-12</v>
      </c>
      <c r="BH182" s="62">
        <f t="shared" si="116"/>
        <v>289.33587473413826</v>
      </c>
      <c r="BI182" s="62">
        <f ca="1">AVERAGE(OFFSET($BH$3,0,0,'Données projet'!$E$11+1,1))-AVERAGE(OFFSET($H$3,0,0,'Données projet'!$E$11+1,1))</f>
        <v>285.09561428624352</v>
      </c>
      <c r="BJ182" s="62">
        <f t="shared" si="146"/>
        <v>261.05678516705564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-9.2222762759774927E-14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272.69564942740931</v>
      </c>
      <c r="CE182" s="62">
        <f t="shared" si="148"/>
        <v>316.57989180609252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2.2737367544323206E-13</v>
      </c>
      <c r="CU182" s="18">
        <f>CT182*VLOOKUP('Données projet'!$B$13,Paramètres!$A$1:$I$89,3,0)*VLOOKUP('Données projet'!$B$13,Paramètres!$A$1:$I$89,5,0)</f>
        <v>1.4897523215040565E-13</v>
      </c>
      <c r="CV182" s="14">
        <f t="shared" si="173"/>
        <v>2.136562777003313E-12</v>
      </c>
      <c r="CW182" s="22">
        <f t="shared" si="174"/>
        <v>3.9806453659427267E-12</v>
      </c>
      <c r="CX182" s="62">
        <f t="shared" si="122"/>
        <v>289.3358747341411</v>
      </c>
      <c r="CY182" s="62">
        <f ca="1">AVERAGE(OFFSET($CX$3,0,0,'Données projet'!$E$13+1,1))-AVERAGE(OFFSET($H$3,0,0,'Données projet'!$E$13+1,1))</f>
        <v>304.35088214287919</v>
      </c>
      <c r="CZ182" s="62">
        <f t="shared" si="150"/>
        <v>288.72611053217599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6.5620042732916778E-14</v>
      </c>
      <c r="DQ182" s="14">
        <f t="shared" si="176"/>
        <v>1.0353460337118015E-12</v>
      </c>
      <c r="DR182" s="22">
        <f t="shared" si="177"/>
        <v>1.9175159164745509E-12</v>
      </c>
      <c r="DS182" s="62">
        <f t="shared" si="125"/>
        <v>289.33587473413905</v>
      </c>
      <c r="DT182" s="62">
        <f ca="1">AVERAGE(OFFSET($DS$3,0,0,'Données projet'!$E$14+1,1))-AVERAGE(OFFSET($H$3,0,0,'Données projet'!$E$14+1,1))</f>
        <v>172.86120068224633</v>
      </c>
      <c r="DU182" s="62">
        <f t="shared" si="152"/>
        <v>269.4995727085078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1.9895196601282805E-13</v>
      </c>
      <c r="EK182" s="18">
        <f>EJ182*VLOOKUP('Données projet'!$B$15,Paramètres!$A$1:$I$89,3,0)*VLOOKUP('Données projet'!$B$15,Paramètres!$A$1:$I$89,5,0)</f>
        <v>1.6759713616920637E-13</v>
      </c>
      <c r="EL182" s="14">
        <f t="shared" si="179"/>
        <v>2.3709043131075133E-12</v>
      </c>
      <c r="EM182" s="22">
        <f t="shared" si="180"/>
        <v>4.4212233574902864E-12</v>
      </c>
      <c r="EN182" s="62">
        <f t="shared" si="128"/>
        <v>289.33587473414156</v>
      </c>
      <c r="EO182" s="62">
        <f ca="1">AVERAGE(OFFSET($EN$3,0,0,'Données projet'!$E$15+1,1))-AVERAGE(OFFSET($H$3,0,0,'Données projet'!$E$15+1,1))</f>
        <v>346.97972840139914</v>
      </c>
      <c r="EP182" s="62">
        <f t="shared" si="154"/>
        <v>158.41433650660613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-1.1368683772161603E-13</v>
      </c>
      <c r="FF182" s="18">
        <f>FE182*VLOOKUP('Données projet'!$B$16,Paramètres!$A$1:$I$89,3,0)*VLOOKUP('Données projet'!$B$16,Paramètres!$A$1:$I$89,5,0)</f>
        <v>-7.4487616075202823E-14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235.88453308732235</v>
      </c>
      <c r="FK182" s="62">
        <f t="shared" si="156"/>
        <v>220.72810812053521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-8.1404323282185943E-13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442.98179778678298</v>
      </c>
      <c r="T183" s="62">
        <f t="shared" si="142"/>
        <v>251.96153561746942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1.4897523215040565E-13</v>
      </c>
      <c r="AK183" s="14">
        <f t="shared" si="164"/>
        <v>2.136562777003313E-12</v>
      </c>
      <c r="AL183" s="22">
        <f t="shared" si="165"/>
        <v>3.9806453659427267E-12</v>
      </c>
      <c r="AM183" s="62">
        <f t="shared" si="113"/>
        <v>289.40522170385862</v>
      </c>
      <c r="AN183" s="62">
        <f ca="1">AVERAGE(OFFSET($AM$3,0,0,'Données projet'!$E$10+1,1))-AVERAGE(OFFSET($H$3,0,0,'Données projet'!$E$10+1,1))</f>
        <v>304.35088214287919</v>
      </c>
      <c r="AO183" s="62">
        <f t="shared" si="144"/>
        <v>288.72611053217599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3.6357050703372803E-14</v>
      </c>
      <c r="BF183" s="14">
        <f t="shared" si="167"/>
        <v>6.1445232567661395E-13</v>
      </c>
      <c r="BG183" s="22">
        <f t="shared" si="168"/>
        <v>1.1334929971951436E-12</v>
      </c>
      <c r="BH183" s="62">
        <f t="shared" si="116"/>
        <v>289.40522170385577</v>
      </c>
      <c r="BI183" s="62">
        <f ca="1">AVERAGE(OFFSET($BH$3,0,0,'Données projet'!$E$11+1,1))-AVERAGE(OFFSET($H$3,0,0,'Données projet'!$E$11+1,1))</f>
        <v>285.09561428624352</v>
      </c>
      <c r="BJ183" s="62">
        <f t="shared" si="146"/>
        <v>261.05678516705564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-9.2222762759774927E-14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272.69564942740931</v>
      </c>
      <c r="CE183" s="62">
        <f t="shared" si="148"/>
        <v>316.57989180609252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2.2737367544323206E-13</v>
      </c>
      <c r="CU183" s="18">
        <f>CT183*VLOOKUP('Données projet'!$B$13,Paramètres!$A$1:$I$89,3,0)*VLOOKUP('Données projet'!$B$13,Paramètres!$A$1:$I$89,5,0)</f>
        <v>1.4897523215040565E-13</v>
      </c>
      <c r="CV183" s="14">
        <f t="shared" si="173"/>
        <v>2.136562777003313E-12</v>
      </c>
      <c r="CW183" s="22">
        <f t="shared" si="174"/>
        <v>3.9806453659427267E-12</v>
      </c>
      <c r="CX183" s="62">
        <f t="shared" si="122"/>
        <v>289.40522170385862</v>
      </c>
      <c r="CY183" s="62">
        <f ca="1">AVERAGE(OFFSET($CX$3,0,0,'Données projet'!$E$13+1,1))-AVERAGE(OFFSET($H$3,0,0,'Données projet'!$E$13+1,1))</f>
        <v>304.35088214287919</v>
      </c>
      <c r="CZ183" s="62">
        <f t="shared" si="150"/>
        <v>288.72611053217599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6.5620042732916778E-14</v>
      </c>
      <c r="DQ183" s="14">
        <f t="shared" si="176"/>
        <v>1.0353460337118015E-12</v>
      </c>
      <c r="DR183" s="22">
        <f t="shared" si="177"/>
        <v>1.9175159164745509E-12</v>
      </c>
      <c r="DS183" s="62">
        <f t="shared" si="125"/>
        <v>289.40522170385657</v>
      </c>
      <c r="DT183" s="62">
        <f ca="1">AVERAGE(OFFSET($DS$3,0,0,'Données projet'!$E$14+1,1))-AVERAGE(OFFSET($H$3,0,0,'Données projet'!$E$14+1,1))</f>
        <v>172.86120068224633</v>
      </c>
      <c r="DU183" s="62">
        <f t="shared" si="152"/>
        <v>269.4995727085078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1.9895196601282805E-13</v>
      </c>
      <c r="EK183" s="18">
        <f>EJ183*VLOOKUP('Données projet'!$B$15,Paramètres!$A$1:$I$89,3,0)*VLOOKUP('Données projet'!$B$15,Paramètres!$A$1:$I$89,5,0)</f>
        <v>1.6759713616920637E-13</v>
      </c>
      <c r="EL183" s="14">
        <f t="shared" si="179"/>
        <v>2.3709043131075133E-12</v>
      </c>
      <c r="EM183" s="22">
        <f t="shared" si="180"/>
        <v>4.4212233574902864E-12</v>
      </c>
      <c r="EN183" s="62">
        <f t="shared" si="128"/>
        <v>289.40522170385907</v>
      </c>
      <c r="EO183" s="62">
        <f ca="1">AVERAGE(OFFSET($EN$3,0,0,'Données projet'!$E$15+1,1))-AVERAGE(OFFSET($H$3,0,0,'Données projet'!$E$15+1,1))</f>
        <v>346.97972840139914</v>
      </c>
      <c r="EP183" s="62">
        <f t="shared" si="154"/>
        <v>158.41433650660613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-1.1368683772161603E-13</v>
      </c>
      <c r="FF183" s="18">
        <f>FE183*VLOOKUP('Données projet'!$B$16,Paramètres!$A$1:$I$89,3,0)*VLOOKUP('Données projet'!$B$16,Paramètres!$A$1:$I$89,5,0)</f>
        <v>-7.4487616075202823E-14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235.88453308732235</v>
      </c>
      <c r="FK183" s="62">
        <f t="shared" si="156"/>
        <v>220.72810812053521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-8.1404323282185943E-13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442.98179778678298</v>
      </c>
      <c r="T184" s="62">
        <f t="shared" si="142"/>
        <v>251.96153561746942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1.4897523215040565E-13</v>
      </c>
      <c r="AK184" s="14">
        <f t="shared" si="164"/>
        <v>2.136562777003313E-12</v>
      </c>
      <c r="AL184" s="22">
        <f t="shared" si="165"/>
        <v>3.9806453659427267E-12</v>
      </c>
      <c r="AM184" s="62">
        <f t="shared" si="113"/>
        <v>289.47336565868807</v>
      </c>
      <c r="AN184" s="62">
        <f ca="1">AVERAGE(OFFSET($AM$3,0,0,'Données projet'!$E$10+1,1))-AVERAGE(OFFSET($H$3,0,0,'Données projet'!$E$10+1,1))</f>
        <v>304.35088214287919</v>
      </c>
      <c r="AO184" s="62">
        <f t="shared" si="144"/>
        <v>288.72611053217599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3.6357050703372803E-14</v>
      </c>
      <c r="BF184" s="14">
        <f t="shared" si="167"/>
        <v>6.1445232567661395E-13</v>
      </c>
      <c r="BG184" s="22">
        <f t="shared" si="168"/>
        <v>1.1334929971951436E-12</v>
      </c>
      <c r="BH184" s="62">
        <f t="shared" si="116"/>
        <v>289.47336565868522</v>
      </c>
      <c r="BI184" s="62">
        <f ca="1">AVERAGE(OFFSET($BH$3,0,0,'Données projet'!$E$11+1,1))-AVERAGE(OFFSET($H$3,0,0,'Données projet'!$E$11+1,1))</f>
        <v>285.09561428624352</v>
      </c>
      <c r="BJ184" s="62">
        <f t="shared" si="146"/>
        <v>261.05678516705564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-9.2222762759774927E-14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272.69564942740931</v>
      </c>
      <c r="CE184" s="62">
        <f t="shared" si="148"/>
        <v>316.57989180609252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2.2737367544323206E-13</v>
      </c>
      <c r="CU184" s="18">
        <f>CT184*VLOOKUP('Données projet'!$B$13,Paramètres!$A$1:$I$89,3,0)*VLOOKUP('Données projet'!$B$13,Paramètres!$A$1:$I$89,5,0)</f>
        <v>1.4897523215040565E-13</v>
      </c>
      <c r="CV184" s="14">
        <f t="shared" si="173"/>
        <v>2.136562777003313E-12</v>
      </c>
      <c r="CW184" s="22">
        <f t="shared" si="174"/>
        <v>3.9806453659427267E-12</v>
      </c>
      <c r="CX184" s="62">
        <f t="shared" si="122"/>
        <v>289.47336565868807</v>
      </c>
      <c r="CY184" s="62">
        <f ca="1">AVERAGE(OFFSET($CX$3,0,0,'Données projet'!$E$13+1,1))-AVERAGE(OFFSET($H$3,0,0,'Données projet'!$E$13+1,1))</f>
        <v>304.35088214287919</v>
      </c>
      <c r="CZ184" s="62">
        <f t="shared" si="150"/>
        <v>288.72611053217599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6.5620042732916778E-14</v>
      </c>
      <c r="DQ184" s="14">
        <f t="shared" si="176"/>
        <v>1.0353460337118015E-12</v>
      </c>
      <c r="DR184" s="22">
        <f t="shared" si="177"/>
        <v>1.9175159164745509E-12</v>
      </c>
      <c r="DS184" s="62">
        <f t="shared" si="125"/>
        <v>289.47336565868602</v>
      </c>
      <c r="DT184" s="62">
        <f ca="1">AVERAGE(OFFSET($DS$3,0,0,'Données projet'!$E$14+1,1))-AVERAGE(OFFSET($H$3,0,0,'Données projet'!$E$14+1,1))</f>
        <v>172.86120068224633</v>
      </c>
      <c r="DU184" s="62">
        <f t="shared" si="152"/>
        <v>269.4995727085078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1.9895196601282805E-13</v>
      </c>
      <c r="EK184" s="18">
        <f>EJ184*VLOOKUP('Données projet'!$B$15,Paramètres!$A$1:$I$89,3,0)*VLOOKUP('Données projet'!$B$15,Paramètres!$A$1:$I$89,5,0)</f>
        <v>1.6759713616920637E-13</v>
      </c>
      <c r="EL184" s="14">
        <f t="shared" si="179"/>
        <v>2.3709043131075133E-12</v>
      </c>
      <c r="EM184" s="22">
        <f t="shared" si="180"/>
        <v>4.4212233574902864E-12</v>
      </c>
      <c r="EN184" s="62">
        <f t="shared" si="128"/>
        <v>289.47336565868852</v>
      </c>
      <c r="EO184" s="62">
        <f ca="1">AVERAGE(OFFSET($EN$3,0,0,'Données projet'!$E$15+1,1))-AVERAGE(OFFSET($H$3,0,0,'Données projet'!$E$15+1,1))</f>
        <v>346.97972840139914</v>
      </c>
      <c r="EP184" s="62">
        <f t="shared" si="154"/>
        <v>158.41433650660613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-1.1368683772161603E-13</v>
      </c>
      <c r="FF184" s="18">
        <f>FE184*VLOOKUP('Données projet'!$B$16,Paramètres!$A$1:$I$89,3,0)*VLOOKUP('Données projet'!$B$16,Paramètres!$A$1:$I$89,5,0)</f>
        <v>-7.4487616075202823E-14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235.88453308732235</v>
      </c>
      <c r="FK184" s="62">
        <f t="shared" si="156"/>
        <v>220.72810812053521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-8.1404323282185943E-13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442.98179778678298</v>
      </c>
      <c r="T185" s="62">
        <f t="shared" si="142"/>
        <v>251.96153561746942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1.4897523215040565E-13</v>
      </c>
      <c r="AK185" s="14">
        <f t="shared" si="164"/>
        <v>2.136562777003313E-12</v>
      </c>
      <c r="AL185" s="22">
        <f t="shared" si="165"/>
        <v>3.9806453659427267E-12</v>
      </c>
      <c r="AM185" s="62">
        <f t="shared" si="113"/>
        <v>289.54032746824839</v>
      </c>
      <c r="AN185" s="62">
        <f ca="1">AVERAGE(OFFSET($AM$3,0,0,'Données projet'!$E$10+1,1))-AVERAGE(OFFSET($H$3,0,0,'Données projet'!$E$10+1,1))</f>
        <v>304.35088214287919</v>
      </c>
      <c r="AO185" s="62">
        <f t="shared" si="144"/>
        <v>288.72611053217599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3.6357050703372803E-14</v>
      </c>
      <c r="BF185" s="14">
        <f t="shared" si="167"/>
        <v>6.1445232567661395E-13</v>
      </c>
      <c r="BG185" s="22">
        <f t="shared" si="168"/>
        <v>1.1334929971951436E-12</v>
      </c>
      <c r="BH185" s="62">
        <f t="shared" si="116"/>
        <v>289.54032746824555</v>
      </c>
      <c r="BI185" s="62">
        <f ca="1">AVERAGE(OFFSET($BH$3,0,0,'Données projet'!$E$11+1,1))-AVERAGE(OFFSET($H$3,0,0,'Données projet'!$E$11+1,1))</f>
        <v>285.09561428624352</v>
      </c>
      <c r="BJ185" s="62">
        <f t="shared" si="146"/>
        <v>261.05678516705564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-9.2222762759774927E-14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272.69564942740931</v>
      </c>
      <c r="CE185" s="62">
        <f t="shared" si="148"/>
        <v>316.57989180609252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2.2737367544323206E-13</v>
      </c>
      <c r="CU185" s="18">
        <f>CT185*VLOOKUP('Données projet'!$B$13,Paramètres!$A$1:$I$89,3,0)*VLOOKUP('Données projet'!$B$13,Paramètres!$A$1:$I$89,5,0)</f>
        <v>1.4897523215040565E-13</v>
      </c>
      <c r="CV185" s="14">
        <f t="shared" si="173"/>
        <v>2.136562777003313E-12</v>
      </c>
      <c r="CW185" s="22">
        <f t="shared" si="174"/>
        <v>3.9806453659427267E-12</v>
      </c>
      <c r="CX185" s="62">
        <f t="shared" si="122"/>
        <v>289.54032746824839</v>
      </c>
      <c r="CY185" s="62">
        <f ca="1">AVERAGE(OFFSET($CX$3,0,0,'Données projet'!$E$13+1,1))-AVERAGE(OFFSET($H$3,0,0,'Données projet'!$E$13+1,1))</f>
        <v>304.35088214287919</v>
      </c>
      <c r="CZ185" s="62">
        <f t="shared" si="150"/>
        <v>288.72611053217599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6.5620042732916778E-14</v>
      </c>
      <c r="DQ185" s="14">
        <f t="shared" si="176"/>
        <v>1.0353460337118015E-12</v>
      </c>
      <c r="DR185" s="22">
        <f t="shared" si="177"/>
        <v>1.9175159164745509E-12</v>
      </c>
      <c r="DS185" s="62">
        <f t="shared" si="125"/>
        <v>289.54032746824635</v>
      </c>
      <c r="DT185" s="62">
        <f ca="1">AVERAGE(OFFSET($DS$3,0,0,'Données projet'!$E$14+1,1))-AVERAGE(OFFSET($H$3,0,0,'Données projet'!$E$14+1,1))</f>
        <v>172.86120068224633</v>
      </c>
      <c r="DU185" s="62">
        <f t="shared" si="152"/>
        <v>269.4995727085078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1.9895196601282805E-13</v>
      </c>
      <c r="EK185" s="18">
        <f>EJ185*VLOOKUP('Données projet'!$B$15,Paramètres!$A$1:$I$89,3,0)*VLOOKUP('Données projet'!$B$15,Paramètres!$A$1:$I$89,5,0)</f>
        <v>1.6759713616920637E-13</v>
      </c>
      <c r="EL185" s="14">
        <f t="shared" si="179"/>
        <v>2.3709043131075133E-12</v>
      </c>
      <c r="EM185" s="22">
        <f t="shared" si="180"/>
        <v>4.4212233574902864E-12</v>
      </c>
      <c r="EN185" s="62">
        <f t="shared" si="128"/>
        <v>289.54032746824885</v>
      </c>
      <c r="EO185" s="62">
        <f ca="1">AVERAGE(OFFSET($EN$3,0,0,'Données projet'!$E$15+1,1))-AVERAGE(OFFSET($H$3,0,0,'Données projet'!$E$15+1,1))</f>
        <v>346.97972840139914</v>
      </c>
      <c r="EP185" s="62">
        <f t="shared" si="154"/>
        <v>158.41433650660613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-1.1368683772161603E-13</v>
      </c>
      <c r="FF185" s="18">
        <f>FE185*VLOOKUP('Données projet'!$B$16,Paramètres!$A$1:$I$89,3,0)*VLOOKUP('Données projet'!$B$16,Paramètres!$A$1:$I$89,5,0)</f>
        <v>-7.4487616075202823E-14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235.88453308732235</v>
      </c>
      <c r="FK185" s="62">
        <f t="shared" si="156"/>
        <v>220.72810812053521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-8.1404323282185943E-13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442.98179778678298</v>
      </c>
      <c r="T186" s="62">
        <f t="shared" si="142"/>
        <v>251.96153561746942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1.4897523215040565E-13</v>
      </c>
      <c r="AK186" s="14">
        <f t="shared" si="164"/>
        <v>2.136562777003313E-12</v>
      </c>
      <c r="AL186" s="22">
        <f t="shared" si="165"/>
        <v>3.9806453659427267E-12</v>
      </c>
      <c r="AM186" s="62">
        <f t="shared" si="113"/>
        <v>289.60612764011694</v>
      </c>
      <c r="AN186" s="62">
        <f ca="1">AVERAGE(OFFSET($AM$3,0,0,'Données projet'!$E$10+1,1))-AVERAGE(OFFSET($H$3,0,0,'Données projet'!$E$10+1,1))</f>
        <v>304.35088214287919</v>
      </c>
      <c r="AO186" s="62">
        <f t="shared" si="144"/>
        <v>288.72611053217599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3.6357050703372803E-14</v>
      </c>
      <c r="BF186" s="14">
        <f t="shared" si="167"/>
        <v>6.1445232567661395E-13</v>
      </c>
      <c r="BG186" s="22">
        <f t="shared" si="168"/>
        <v>1.1334929971951436E-12</v>
      </c>
      <c r="BH186" s="62">
        <f t="shared" si="116"/>
        <v>289.6061276401141</v>
      </c>
      <c r="BI186" s="62">
        <f ca="1">AVERAGE(OFFSET($BH$3,0,0,'Données projet'!$E$11+1,1))-AVERAGE(OFFSET($H$3,0,0,'Données projet'!$E$11+1,1))</f>
        <v>285.09561428624352</v>
      </c>
      <c r="BJ186" s="62">
        <f t="shared" si="146"/>
        <v>261.05678516705564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-9.2222762759774927E-14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272.69564942740931</v>
      </c>
      <c r="CE186" s="62">
        <f t="shared" si="148"/>
        <v>316.57989180609252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2.2737367544323206E-13</v>
      </c>
      <c r="CU186" s="18">
        <f>CT186*VLOOKUP('Données projet'!$B$13,Paramètres!$A$1:$I$89,3,0)*VLOOKUP('Données projet'!$B$13,Paramètres!$A$1:$I$89,5,0)</f>
        <v>1.4897523215040565E-13</v>
      </c>
      <c r="CV186" s="14">
        <f t="shared" si="173"/>
        <v>2.136562777003313E-12</v>
      </c>
      <c r="CW186" s="22">
        <f t="shared" si="174"/>
        <v>3.9806453659427267E-12</v>
      </c>
      <c r="CX186" s="62">
        <f t="shared" si="122"/>
        <v>289.60612764011694</v>
      </c>
      <c r="CY186" s="62">
        <f ca="1">AVERAGE(OFFSET($CX$3,0,0,'Données projet'!$E$13+1,1))-AVERAGE(OFFSET($H$3,0,0,'Données projet'!$E$13+1,1))</f>
        <v>304.35088214287919</v>
      </c>
      <c r="CZ186" s="62">
        <f t="shared" si="150"/>
        <v>288.72611053217599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6.5620042732916778E-14</v>
      </c>
      <c r="DQ186" s="14">
        <f t="shared" si="176"/>
        <v>1.0353460337118015E-12</v>
      </c>
      <c r="DR186" s="22">
        <f t="shared" si="177"/>
        <v>1.9175159164745509E-12</v>
      </c>
      <c r="DS186" s="62">
        <f t="shared" si="125"/>
        <v>289.60612764011489</v>
      </c>
      <c r="DT186" s="62">
        <f ca="1">AVERAGE(OFFSET($DS$3,0,0,'Données projet'!$E$14+1,1))-AVERAGE(OFFSET($H$3,0,0,'Données projet'!$E$14+1,1))</f>
        <v>172.86120068224633</v>
      </c>
      <c r="DU186" s="62">
        <f t="shared" si="152"/>
        <v>269.4995727085078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1.9895196601282805E-13</v>
      </c>
      <c r="EK186" s="18">
        <f>EJ186*VLOOKUP('Données projet'!$B$15,Paramètres!$A$1:$I$89,3,0)*VLOOKUP('Données projet'!$B$15,Paramètres!$A$1:$I$89,5,0)</f>
        <v>1.6759713616920637E-13</v>
      </c>
      <c r="EL186" s="14">
        <f t="shared" si="179"/>
        <v>2.3709043131075133E-12</v>
      </c>
      <c r="EM186" s="22">
        <f t="shared" si="180"/>
        <v>4.4212233574902864E-12</v>
      </c>
      <c r="EN186" s="62">
        <f t="shared" si="128"/>
        <v>289.60612764011739</v>
      </c>
      <c r="EO186" s="62">
        <f ca="1">AVERAGE(OFFSET($EN$3,0,0,'Données projet'!$E$15+1,1))-AVERAGE(OFFSET($H$3,0,0,'Données projet'!$E$15+1,1))</f>
        <v>346.97972840139914</v>
      </c>
      <c r="EP186" s="62">
        <f t="shared" si="154"/>
        <v>158.41433650660613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-1.1368683772161603E-13</v>
      </c>
      <c r="FF186" s="18">
        <f>FE186*VLOOKUP('Données projet'!$B$16,Paramètres!$A$1:$I$89,3,0)*VLOOKUP('Données projet'!$B$16,Paramètres!$A$1:$I$89,5,0)</f>
        <v>-7.4487616075202823E-14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235.88453308732235</v>
      </c>
      <c r="FK186" s="62">
        <f t="shared" si="156"/>
        <v>220.72810812053521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-8.1404323282185943E-13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442.98179778678298</v>
      </c>
      <c r="T187" s="62">
        <f t="shared" si="142"/>
        <v>251.96153561746942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1.4897523215040565E-13</v>
      </c>
      <c r="AK187" s="14">
        <f t="shared" si="164"/>
        <v>2.136562777003313E-12</v>
      </c>
      <c r="AL187" s="22">
        <f t="shared" si="165"/>
        <v>3.9806453659427267E-12</v>
      </c>
      <c r="AM187" s="62">
        <f t="shared" si="113"/>
        <v>289.67078632611071</v>
      </c>
      <c r="AN187" s="62">
        <f ca="1">AVERAGE(OFFSET($AM$3,0,0,'Données projet'!$E$10+1,1))-AVERAGE(OFFSET($H$3,0,0,'Données projet'!$E$10+1,1))</f>
        <v>304.35088214287919</v>
      </c>
      <c r="AO187" s="62">
        <f t="shared" si="144"/>
        <v>288.72611053217599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3.6357050703372803E-14</v>
      </c>
      <c r="BF187" s="14">
        <f t="shared" si="167"/>
        <v>6.1445232567661395E-13</v>
      </c>
      <c r="BG187" s="22">
        <f t="shared" si="168"/>
        <v>1.1334929971951436E-12</v>
      </c>
      <c r="BH187" s="62">
        <f t="shared" si="116"/>
        <v>289.67078632610787</v>
      </c>
      <c r="BI187" s="62">
        <f ca="1">AVERAGE(OFFSET($BH$3,0,0,'Données projet'!$E$11+1,1))-AVERAGE(OFFSET($H$3,0,0,'Données projet'!$E$11+1,1))</f>
        <v>285.09561428624352</v>
      </c>
      <c r="BJ187" s="62">
        <f t="shared" si="146"/>
        <v>261.05678516705564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-9.2222762759774927E-14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272.69564942740931</v>
      </c>
      <c r="CE187" s="62">
        <f t="shared" si="148"/>
        <v>316.57989180609252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2.2737367544323206E-13</v>
      </c>
      <c r="CU187" s="18">
        <f>CT187*VLOOKUP('Données projet'!$B$13,Paramètres!$A$1:$I$89,3,0)*VLOOKUP('Données projet'!$B$13,Paramètres!$A$1:$I$89,5,0)</f>
        <v>1.4897523215040565E-13</v>
      </c>
      <c r="CV187" s="14">
        <f t="shared" si="173"/>
        <v>2.136562777003313E-12</v>
      </c>
      <c r="CW187" s="22">
        <f t="shared" si="174"/>
        <v>3.9806453659427267E-12</v>
      </c>
      <c r="CX187" s="62">
        <f t="shared" si="122"/>
        <v>289.67078632611071</v>
      </c>
      <c r="CY187" s="62">
        <f ca="1">AVERAGE(OFFSET($CX$3,0,0,'Données projet'!$E$13+1,1))-AVERAGE(OFFSET($H$3,0,0,'Données projet'!$E$13+1,1))</f>
        <v>304.35088214287919</v>
      </c>
      <c r="CZ187" s="62">
        <f t="shared" si="150"/>
        <v>288.72611053217599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6.5620042732916778E-14</v>
      </c>
      <c r="DQ187" s="14">
        <f t="shared" si="176"/>
        <v>1.0353460337118015E-12</v>
      </c>
      <c r="DR187" s="22">
        <f t="shared" si="177"/>
        <v>1.9175159164745509E-12</v>
      </c>
      <c r="DS187" s="62">
        <f t="shared" si="125"/>
        <v>289.67078632610867</v>
      </c>
      <c r="DT187" s="62">
        <f ca="1">AVERAGE(OFFSET($DS$3,0,0,'Données projet'!$E$14+1,1))-AVERAGE(OFFSET($H$3,0,0,'Données projet'!$E$14+1,1))</f>
        <v>172.86120068224633</v>
      </c>
      <c r="DU187" s="62">
        <f t="shared" si="152"/>
        <v>269.4995727085078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1.9895196601282805E-13</v>
      </c>
      <c r="EK187" s="18">
        <f>EJ187*VLOOKUP('Données projet'!$B$15,Paramètres!$A$1:$I$89,3,0)*VLOOKUP('Données projet'!$B$15,Paramètres!$A$1:$I$89,5,0)</f>
        <v>1.6759713616920637E-13</v>
      </c>
      <c r="EL187" s="14">
        <f t="shared" si="179"/>
        <v>2.3709043131075133E-12</v>
      </c>
      <c r="EM187" s="22">
        <f t="shared" si="180"/>
        <v>4.4212233574902864E-12</v>
      </c>
      <c r="EN187" s="62">
        <f t="shared" si="128"/>
        <v>289.67078632611117</v>
      </c>
      <c r="EO187" s="62">
        <f ca="1">AVERAGE(OFFSET($EN$3,0,0,'Données projet'!$E$15+1,1))-AVERAGE(OFFSET($H$3,0,0,'Données projet'!$E$15+1,1))</f>
        <v>346.97972840139914</v>
      </c>
      <c r="EP187" s="62">
        <f t="shared" si="154"/>
        <v>158.41433650660613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-1.1368683772161603E-13</v>
      </c>
      <c r="FF187" s="18">
        <f>FE187*VLOOKUP('Données projet'!$B$16,Paramètres!$A$1:$I$89,3,0)*VLOOKUP('Données projet'!$B$16,Paramètres!$A$1:$I$89,5,0)</f>
        <v>-7.4487616075202823E-14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235.88453308732235</v>
      </c>
      <c r="FK187" s="62">
        <f t="shared" si="156"/>
        <v>220.72810812053521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-8.1404323282185943E-13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442.98179778678298</v>
      </c>
      <c r="T188" s="62">
        <f t="shared" si="142"/>
        <v>251.96153561746942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1.4897523215040565E-13</v>
      </c>
      <c r="AK188" s="14">
        <f t="shared" si="164"/>
        <v>2.136562777003313E-12</v>
      </c>
      <c r="AL188" s="22">
        <f t="shared" si="165"/>
        <v>3.9806453659427267E-12</v>
      </c>
      <c r="AM188" s="62">
        <f t="shared" si="113"/>
        <v>289.73432332845772</v>
      </c>
      <c r="AN188" s="62">
        <f ca="1">AVERAGE(OFFSET($AM$3,0,0,'Données projet'!$E$10+1,1))-AVERAGE(OFFSET($H$3,0,0,'Données projet'!$E$10+1,1))</f>
        <v>304.35088214287919</v>
      </c>
      <c r="AO188" s="62">
        <f t="shared" si="144"/>
        <v>288.72611053217599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3.6357050703372803E-14</v>
      </c>
      <c r="BF188" s="14">
        <f t="shared" si="167"/>
        <v>6.1445232567661395E-13</v>
      </c>
      <c r="BG188" s="22">
        <f t="shared" si="168"/>
        <v>1.1334929971951436E-12</v>
      </c>
      <c r="BH188" s="62">
        <f t="shared" si="116"/>
        <v>289.73432332845488</v>
      </c>
      <c r="BI188" s="62">
        <f ca="1">AVERAGE(OFFSET($BH$3,0,0,'Données projet'!$E$11+1,1))-AVERAGE(OFFSET($H$3,0,0,'Données projet'!$E$11+1,1))</f>
        <v>285.09561428624352</v>
      </c>
      <c r="BJ188" s="62">
        <f t="shared" si="146"/>
        <v>261.05678516705564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-9.2222762759774927E-14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272.69564942740931</v>
      </c>
      <c r="CE188" s="62">
        <f t="shared" si="148"/>
        <v>316.57989180609252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2.2737367544323206E-13</v>
      </c>
      <c r="CU188" s="18">
        <f>CT188*VLOOKUP('Données projet'!$B$13,Paramètres!$A$1:$I$89,3,0)*VLOOKUP('Données projet'!$B$13,Paramètres!$A$1:$I$89,5,0)</f>
        <v>1.4897523215040565E-13</v>
      </c>
      <c r="CV188" s="14">
        <f t="shared" si="173"/>
        <v>2.136562777003313E-12</v>
      </c>
      <c r="CW188" s="22">
        <f t="shared" si="174"/>
        <v>3.9806453659427267E-12</v>
      </c>
      <c r="CX188" s="62">
        <f t="shared" si="122"/>
        <v>289.73432332845772</v>
      </c>
      <c r="CY188" s="62">
        <f ca="1">AVERAGE(OFFSET($CX$3,0,0,'Données projet'!$E$13+1,1))-AVERAGE(OFFSET($H$3,0,0,'Données projet'!$E$13+1,1))</f>
        <v>304.35088214287919</v>
      </c>
      <c r="CZ188" s="62">
        <f t="shared" si="150"/>
        <v>288.72611053217599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6.5620042732916778E-14</v>
      </c>
      <c r="DQ188" s="14">
        <f t="shared" si="176"/>
        <v>1.0353460337118015E-12</v>
      </c>
      <c r="DR188" s="22">
        <f t="shared" si="177"/>
        <v>1.9175159164745509E-12</v>
      </c>
      <c r="DS188" s="62">
        <f t="shared" si="125"/>
        <v>289.73432332845567</v>
      </c>
      <c r="DT188" s="62">
        <f ca="1">AVERAGE(OFFSET($DS$3,0,0,'Données projet'!$E$14+1,1))-AVERAGE(OFFSET($H$3,0,0,'Données projet'!$E$14+1,1))</f>
        <v>172.86120068224633</v>
      </c>
      <c r="DU188" s="62">
        <f t="shared" si="152"/>
        <v>269.4995727085078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1.9895196601282805E-13</v>
      </c>
      <c r="EK188" s="18">
        <f>EJ188*VLOOKUP('Données projet'!$B$15,Paramètres!$A$1:$I$89,3,0)*VLOOKUP('Données projet'!$B$15,Paramètres!$A$1:$I$89,5,0)</f>
        <v>1.6759713616920637E-13</v>
      </c>
      <c r="EL188" s="14">
        <f t="shared" si="179"/>
        <v>2.3709043131075133E-12</v>
      </c>
      <c r="EM188" s="22">
        <f t="shared" si="180"/>
        <v>4.4212233574902864E-12</v>
      </c>
      <c r="EN188" s="62">
        <f t="shared" si="128"/>
        <v>289.73432332845817</v>
      </c>
      <c r="EO188" s="62">
        <f ca="1">AVERAGE(OFFSET($EN$3,0,0,'Données projet'!$E$15+1,1))-AVERAGE(OFFSET($H$3,0,0,'Données projet'!$E$15+1,1))</f>
        <v>346.97972840139914</v>
      </c>
      <c r="EP188" s="62">
        <f t="shared" si="154"/>
        <v>158.41433650660613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-1.1368683772161603E-13</v>
      </c>
      <c r="FF188" s="18">
        <f>FE188*VLOOKUP('Données projet'!$B$16,Paramètres!$A$1:$I$89,3,0)*VLOOKUP('Données projet'!$B$16,Paramètres!$A$1:$I$89,5,0)</f>
        <v>-7.4487616075202823E-14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235.88453308732235</v>
      </c>
      <c r="FK188" s="62">
        <f t="shared" si="156"/>
        <v>220.72810812053521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-8.1404323282185943E-13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442.98179778678298</v>
      </c>
      <c r="T189" s="62">
        <f t="shared" si="142"/>
        <v>251.96153561746942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1.4897523215040565E-13</v>
      </c>
      <c r="AK189" s="14">
        <f t="shared" si="164"/>
        <v>2.136562777003313E-12</v>
      </c>
      <c r="AL189" s="22">
        <f t="shared" si="165"/>
        <v>3.9806453659427267E-12</v>
      </c>
      <c r="AM189" s="62">
        <f t="shared" si="113"/>
        <v>289.79675810586139</v>
      </c>
      <c r="AN189" s="62">
        <f ca="1">AVERAGE(OFFSET($AM$3,0,0,'Données projet'!$E$10+1,1))-AVERAGE(OFFSET($H$3,0,0,'Données projet'!$E$10+1,1))</f>
        <v>304.35088214287919</v>
      </c>
      <c r="AO189" s="62">
        <f t="shared" si="144"/>
        <v>288.72611053217599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3.6357050703372803E-14</v>
      </c>
      <c r="BF189" s="14">
        <f t="shared" si="167"/>
        <v>6.1445232567661395E-13</v>
      </c>
      <c r="BG189" s="22">
        <f t="shared" si="168"/>
        <v>1.1334929971951436E-12</v>
      </c>
      <c r="BH189" s="62">
        <f t="shared" si="116"/>
        <v>289.79675810585854</v>
      </c>
      <c r="BI189" s="62">
        <f ca="1">AVERAGE(OFFSET($BH$3,0,0,'Données projet'!$E$11+1,1))-AVERAGE(OFFSET($H$3,0,0,'Données projet'!$E$11+1,1))</f>
        <v>285.09561428624352</v>
      </c>
      <c r="BJ189" s="62">
        <f t="shared" si="146"/>
        <v>261.05678516705564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-9.2222762759774927E-14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272.69564942740931</v>
      </c>
      <c r="CE189" s="62">
        <f t="shared" si="148"/>
        <v>316.57989180609252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2.2737367544323206E-13</v>
      </c>
      <c r="CU189" s="18">
        <f>CT189*VLOOKUP('Données projet'!$B$13,Paramètres!$A$1:$I$89,3,0)*VLOOKUP('Données projet'!$B$13,Paramètres!$A$1:$I$89,5,0)</f>
        <v>1.4897523215040565E-13</v>
      </c>
      <c r="CV189" s="14">
        <f t="shared" si="173"/>
        <v>2.136562777003313E-12</v>
      </c>
      <c r="CW189" s="22">
        <f t="shared" si="174"/>
        <v>3.9806453659427267E-12</v>
      </c>
      <c r="CX189" s="62">
        <f t="shared" si="122"/>
        <v>289.79675810586139</v>
      </c>
      <c r="CY189" s="62">
        <f ca="1">AVERAGE(OFFSET($CX$3,0,0,'Données projet'!$E$13+1,1))-AVERAGE(OFFSET($H$3,0,0,'Données projet'!$E$13+1,1))</f>
        <v>304.35088214287919</v>
      </c>
      <c r="CZ189" s="62">
        <f t="shared" si="150"/>
        <v>288.72611053217599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6.5620042732916778E-14</v>
      </c>
      <c r="DQ189" s="14">
        <f t="shared" si="176"/>
        <v>1.0353460337118015E-12</v>
      </c>
      <c r="DR189" s="22">
        <f t="shared" si="177"/>
        <v>1.9175159164745509E-12</v>
      </c>
      <c r="DS189" s="62">
        <f t="shared" si="125"/>
        <v>289.79675810585934</v>
      </c>
      <c r="DT189" s="62">
        <f ca="1">AVERAGE(OFFSET($DS$3,0,0,'Données projet'!$E$14+1,1))-AVERAGE(OFFSET($H$3,0,0,'Données projet'!$E$14+1,1))</f>
        <v>172.86120068224633</v>
      </c>
      <c r="DU189" s="62">
        <f t="shared" si="152"/>
        <v>269.4995727085078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1.9895196601282805E-13</v>
      </c>
      <c r="EK189" s="18">
        <f>EJ189*VLOOKUP('Données projet'!$B$15,Paramètres!$A$1:$I$89,3,0)*VLOOKUP('Données projet'!$B$15,Paramètres!$A$1:$I$89,5,0)</f>
        <v>1.6759713616920637E-13</v>
      </c>
      <c r="EL189" s="14">
        <f t="shared" si="179"/>
        <v>2.3709043131075133E-12</v>
      </c>
      <c r="EM189" s="22">
        <f t="shared" si="180"/>
        <v>4.4212233574902864E-12</v>
      </c>
      <c r="EN189" s="62">
        <f t="shared" si="128"/>
        <v>289.79675810586184</v>
      </c>
      <c r="EO189" s="62">
        <f ca="1">AVERAGE(OFFSET($EN$3,0,0,'Données projet'!$E$15+1,1))-AVERAGE(OFFSET($H$3,0,0,'Données projet'!$E$15+1,1))</f>
        <v>346.97972840139914</v>
      </c>
      <c r="EP189" s="62">
        <f t="shared" si="154"/>
        <v>158.41433650660613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-1.1368683772161603E-13</v>
      </c>
      <c r="FF189" s="18">
        <f>FE189*VLOOKUP('Données projet'!$B$16,Paramètres!$A$1:$I$89,3,0)*VLOOKUP('Données projet'!$B$16,Paramètres!$A$1:$I$89,5,0)</f>
        <v>-7.4487616075202823E-14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235.88453308732235</v>
      </c>
      <c r="FK189" s="62">
        <f t="shared" si="156"/>
        <v>220.72810812053521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-8.1404323282185943E-13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442.98179778678298</v>
      </c>
      <c r="T190" s="62">
        <f t="shared" si="142"/>
        <v>251.96153561746942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1.4897523215040565E-13</v>
      </c>
      <c r="AK190" s="14">
        <f t="shared" si="164"/>
        <v>2.136562777003313E-12</v>
      </c>
      <c r="AL190" s="22">
        <f t="shared" si="165"/>
        <v>3.9806453659427267E-12</v>
      </c>
      <c r="AM190" s="62">
        <f t="shared" si="113"/>
        <v>289.85810977946039</v>
      </c>
      <c r="AN190" s="62">
        <f ca="1">AVERAGE(OFFSET($AM$3,0,0,'Données projet'!$E$10+1,1))-AVERAGE(OFFSET($H$3,0,0,'Données projet'!$E$10+1,1))</f>
        <v>304.35088214287919</v>
      </c>
      <c r="AO190" s="62">
        <f t="shared" si="144"/>
        <v>288.72611053217599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3.6357050703372803E-14</v>
      </c>
      <c r="BF190" s="14">
        <f t="shared" si="167"/>
        <v>6.1445232567661395E-13</v>
      </c>
      <c r="BG190" s="22">
        <f t="shared" si="168"/>
        <v>1.1334929971951436E-12</v>
      </c>
      <c r="BH190" s="62">
        <f t="shared" si="116"/>
        <v>289.85810977945755</v>
      </c>
      <c r="BI190" s="62">
        <f ca="1">AVERAGE(OFFSET($BH$3,0,0,'Données projet'!$E$11+1,1))-AVERAGE(OFFSET($H$3,0,0,'Données projet'!$E$11+1,1))</f>
        <v>285.09561428624352</v>
      </c>
      <c r="BJ190" s="62">
        <f t="shared" si="146"/>
        <v>261.05678516705564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-9.2222762759774927E-14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272.69564942740931</v>
      </c>
      <c r="CE190" s="62">
        <f t="shared" si="148"/>
        <v>316.57989180609252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2.2737367544323206E-13</v>
      </c>
      <c r="CU190" s="18">
        <f>CT190*VLOOKUP('Données projet'!$B$13,Paramètres!$A$1:$I$89,3,0)*VLOOKUP('Données projet'!$B$13,Paramètres!$A$1:$I$89,5,0)</f>
        <v>1.4897523215040565E-13</v>
      </c>
      <c r="CV190" s="14">
        <f t="shared" si="173"/>
        <v>2.136562777003313E-12</v>
      </c>
      <c r="CW190" s="22">
        <f t="shared" si="174"/>
        <v>3.9806453659427267E-12</v>
      </c>
      <c r="CX190" s="62">
        <f t="shared" si="122"/>
        <v>289.85810977946039</v>
      </c>
      <c r="CY190" s="62">
        <f ca="1">AVERAGE(OFFSET($CX$3,0,0,'Données projet'!$E$13+1,1))-AVERAGE(OFFSET($H$3,0,0,'Données projet'!$E$13+1,1))</f>
        <v>304.35088214287919</v>
      </c>
      <c r="CZ190" s="62">
        <f t="shared" si="150"/>
        <v>288.72611053217599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6.5620042732916778E-14</v>
      </c>
      <c r="DQ190" s="14">
        <f t="shared" si="176"/>
        <v>1.0353460337118015E-12</v>
      </c>
      <c r="DR190" s="22">
        <f t="shared" si="177"/>
        <v>1.9175159164745509E-12</v>
      </c>
      <c r="DS190" s="62">
        <f t="shared" si="125"/>
        <v>289.85810977945835</v>
      </c>
      <c r="DT190" s="62">
        <f ca="1">AVERAGE(OFFSET($DS$3,0,0,'Données projet'!$E$14+1,1))-AVERAGE(OFFSET($H$3,0,0,'Données projet'!$E$14+1,1))</f>
        <v>172.86120068224633</v>
      </c>
      <c r="DU190" s="62">
        <f t="shared" si="152"/>
        <v>269.4995727085078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1.9895196601282805E-13</v>
      </c>
      <c r="EK190" s="18">
        <f>EJ190*VLOOKUP('Données projet'!$B$15,Paramètres!$A$1:$I$89,3,0)*VLOOKUP('Données projet'!$B$15,Paramètres!$A$1:$I$89,5,0)</f>
        <v>1.6759713616920637E-13</v>
      </c>
      <c r="EL190" s="14">
        <f t="shared" si="179"/>
        <v>2.3709043131075133E-12</v>
      </c>
      <c r="EM190" s="22">
        <f t="shared" si="180"/>
        <v>4.4212233574902864E-12</v>
      </c>
      <c r="EN190" s="62">
        <f t="shared" si="128"/>
        <v>289.85810977946085</v>
      </c>
      <c r="EO190" s="62">
        <f ca="1">AVERAGE(OFFSET($EN$3,0,0,'Données projet'!$E$15+1,1))-AVERAGE(OFFSET($H$3,0,0,'Données projet'!$E$15+1,1))</f>
        <v>346.97972840139914</v>
      </c>
      <c r="EP190" s="62">
        <f t="shared" si="154"/>
        <v>158.41433650660613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-1.1368683772161603E-13</v>
      </c>
      <c r="FF190" s="18">
        <f>FE190*VLOOKUP('Données projet'!$B$16,Paramètres!$A$1:$I$89,3,0)*VLOOKUP('Données projet'!$B$16,Paramètres!$A$1:$I$89,5,0)</f>
        <v>-7.4487616075202823E-14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235.88453308732235</v>
      </c>
      <c r="FK190" s="62">
        <f t="shared" si="156"/>
        <v>220.72810812053521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-8.1404323282185943E-13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442.98179778678298</v>
      </c>
      <c r="T191" s="62">
        <f t="shared" si="142"/>
        <v>251.96153561746942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1.4897523215040565E-13</v>
      </c>
      <c r="AK191" s="14">
        <f t="shared" si="164"/>
        <v>2.136562777003313E-12</v>
      </c>
      <c r="AL191" s="22">
        <f t="shared" si="165"/>
        <v>3.9806453659427267E-12</v>
      </c>
      <c r="AM191" s="62">
        <f t="shared" si="113"/>
        <v>289.91839713868421</v>
      </c>
      <c r="AN191" s="62">
        <f ca="1">AVERAGE(OFFSET($AM$3,0,0,'Données projet'!$E$10+1,1))-AVERAGE(OFFSET($H$3,0,0,'Données projet'!$E$10+1,1))</f>
        <v>304.35088214287919</v>
      </c>
      <c r="AO191" s="62">
        <f t="shared" si="144"/>
        <v>288.72611053217599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3.6357050703372803E-14</v>
      </c>
      <c r="BF191" s="14">
        <f t="shared" si="167"/>
        <v>6.1445232567661395E-13</v>
      </c>
      <c r="BG191" s="22">
        <f t="shared" si="168"/>
        <v>1.1334929971951436E-12</v>
      </c>
      <c r="BH191" s="62">
        <f t="shared" si="116"/>
        <v>289.91839713868137</v>
      </c>
      <c r="BI191" s="62">
        <f ca="1">AVERAGE(OFFSET($BH$3,0,0,'Données projet'!$E$11+1,1))-AVERAGE(OFFSET($H$3,0,0,'Données projet'!$E$11+1,1))</f>
        <v>285.09561428624352</v>
      </c>
      <c r="BJ191" s="62">
        <f t="shared" si="146"/>
        <v>261.05678516705564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-9.2222762759774927E-14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272.69564942740931</v>
      </c>
      <c r="CE191" s="62">
        <f t="shared" si="148"/>
        <v>316.57989180609252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2.2737367544323206E-13</v>
      </c>
      <c r="CU191" s="18">
        <f>CT191*VLOOKUP('Données projet'!$B$13,Paramètres!$A$1:$I$89,3,0)*VLOOKUP('Données projet'!$B$13,Paramètres!$A$1:$I$89,5,0)</f>
        <v>1.4897523215040565E-13</v>
      </c>
      <c r="CV191" s="14">
        <f t="shared" si="173"/>
        <v>2.136562777003313E-12</v>
      </c>
      <c r="CW191" s="22">
        <f t="shared" si="174"/>
        <v>3.9806453659427267E-12</v>
      </c>
      <c r="CX191" s="62">
        <f t="shared" si="122"/>
        <v>289.91839713868421</v>
      </c>
      <c r="CY191" s="62">
        <f ca="1">AVERAGE(OFFSET($CX$3,0,0,'Données projet'!$E$13+1,1))-AVERAGE(OFFSET($H$3,0,0,'Données projet'!$E$13+1,1))</f>
        <v>304.35088214287919</v>
      </c>
      <c r="CZ191" s="62">
        <f t="shared" si="150"/>
        <v>288.72611053217599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6.5620042732916778E-14</v>
      </c>
      <c r="DQ191" s="14">
        <f t="shared" si="176"/>
        <v>1.0353460337118015E-12</v>
      </c>
      <c r="DR191" s="22">
        <f t="shared" si="177"/>
        <v>1.9175159164745509E-12</v>
      </c>
      <c r="DS191" s="62">
        <f t="shared" si="125"/>
        <v>289.91839713868217</v>
      </c>
      <c r="DT191" s="62">
        <f ca="1">AVERAGE(OFFSET($DS$3,0,0,'Données projet'!$E$14+1,1))-AVERAGE(OFFSET($H$3,0,0,'Données projet'!$E$14+1,1))</f>
        <v>172.86120068224633</v>
      </c>
      <c r="DU191" s="62">
        <f t="shared" si="152"/>
        <v>269.4995727085078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1.9895196601282805E-13</v>
      </c>
      <c r="EK191" s="18">
        <f>EJ191*VLOOKUP('Données projet'!$B$15,Paramètres!$A$1:$I$89,3,0)*VLOOKUP('Données projet'!$B$15,Paramètres!$A$1:$I$89,5,0)</f>
        <v>1.6759713616920637E-13</v>
      </c>
      <c r="EL191" s="14">
        <f t="shared" si="179"/>
        <v>2.3709043131075133E-12</v>
      </c>
      <c r="EM191" s="22">
        <f t="shared" si="180"/>
        <v>4.4212233574902864E-12</v>
      </c>
      <c r="EN191" s="62">
        <f t="shared" si="128"/>
        <v>289.91839713868467</v>
      </c>
      <c r="EO191" s="62">
        <f ca="1">AVERAGE(OFFSET($EN$3,0,0,'Données projet'!$E$15+1,1))-AVERAGE(OFFSET($H$3,0,0,'Données projet'!$E$15+1,1))</f>
        <v>346.97972840139914</v>
      </c>
      <c r="EP191" s="62">
        <f t="shared" si="154"/>
        <v>158.41433650660613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-1.1368683772161603E-13</v>
      </c>
      <c r="FF191" s="18">
        <f>FE191*VLOOKUP('Données projet'!$B$16,Paramètres!$A$1:$I$89,3,0)*VLOOKUP('Données projet'!$B$16,Paramètres!$A$1:$I$89,5,0)</f>
        <v>-7.4487616075202823E-14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235.88453308732235</v>
      </c>
      <c r="FK191" s="62">
        <f t="shared" si="156"/>
        <v>220.72810812053521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-8.1404323282185943E-13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442.98179778678298</v>
      </c>
      <c r="T192" s="62">
        <f t="shared" si="142"/>
        <v>251.96153561746942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1.4897523215040565E-13</v>
      </c>
      <c r="AK192" s="14">
        <f t="shared" si="164"/>
        <v>2.136562777003313E-12</v>
      </c>
      <c r="AL192" s="22">
        <f t="shared" si="165"/>
        <v>3.9806453659427267E-12</v>
      </c>
      <c r="AM192" s="62">
        <f t="shared" si="113"/>
        <v>289.97763864700784</v>
      </c>
      <c r="AN192" s="62">
        <f ca="1">AVERAGE(OFFSET($AM$3,0,0,'Données projet'!$E$10+1,1))-AVERAGE(OFFSET($H$3,0,0,'Données projet'!$E$10+1,1))</f>
        <v>304.35088214287919</v>
      </c>
      <c r="AO192" s="62">
        <f t="shared" si="144"/>
        <v>288.72611053217599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3.6357050703372803E-14</v>
      </c>
      <c r="BF192" s="14">
        <f t="shared" si="167"/>
        <v>6.1445232567661395E-13</v>
      </c>
      <c r="BG192" s="22">
        <f t="shared" si="168"/>
        <v>1.1334929971951436E-12</v>
      </c>
      <c r="BH192" s="62">
        <f t="shared" si="116"/>
        <v>289.97763864700499</v>
      </c>
      <c r="BI192" s="62">
        <f ca="1">AVERAGE(OFFSET($BH$3,0,0,'Données projet'!$E$11+1,1))-AVERAGE(OFFSET($H$3,0,0,'Données projet'!$E$11+1,1))</f>
        <v>285.09561428624352</v>
      </c>
      <c r="BJ192" s="62">
        <f t="shared" si="146"/>
        <v>261.05678516705564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-9.2222762759774927E-14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272.69564942740931</v>
      </c>
      <c r="CE192" s="62">
        <f t="shared" si="148"/>
        <v>316.57989180609252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2.2737367544323206E-13</v>
      </c>
      <c r="CU192" s="18">
        <f>CT192*VLOOKUP('Données projet'!$B$13,Paramètres!$A$1:$I$89,3,0)*VLOOKUP('Données projet'!$B$13,Paramètres!$A$1:$I$89,5,0)</f>
        <v>1.4897523215040565E-13</v>
      </c>
      <c r="CV192" s="14">
        <f t="shared" si="173"/>
        <v>2.136562777003313E-12</v>
      </c>
      <c r="CW192" s="22">
        <f t="shared" si="174"/>
        <v>3.9806453659427267E-12</v>
      </c>
      <c r="CX192" s="62">
        <f t="shared" si="122"/>
        <v>289.97763864700784</v>
      </c>
      <c r="CY192" s="62">
        <f ca="1">AVERAGE(OFFSET($CX$3,0,0,'Données projet'!$E$13+1,1))-AVERAGE(OFFSET($H$3,0,0,'Données projet'!$E$13+1,1))</f>
        <v>304.35088214287919</v>
      </c>
      <c r="CZ192" s="62">
        <f t="shared" si="150"/>
        <v>288.72611053217599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6.5620042732916778E-14</v>
      </c>
      <c r="DQ192" s="14">
        <f t="shared" si="176"/>
        <v>1.0353460337118015E-12</v>
      </c>
      <c r="DR192" s="22">
        <f t="shared" si="177"/>
        <v>1.9175159164745509E-12</v>
      </c>
      <c r="DS192" s="62">
        <f t="shared" si="125"/>
        <v>289.97763864700579</v>
      </c>
      <c r="DT192" s="62">
        <f ca="1">AVERAGE(OFFSET($DS$3,0,0,'Données projet'!$E$14+1,1))-AVERAGE(OFFSET($H$3,0,0,'Données projet'!$E$14+1,1))</f>
        <v>172.86120068224633</v>
      </c>
      <c r="DU192" s="62">
        <f t="shared" si="152"/>
        <v>269.4995727085078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1.9895196601282805E-13</v>
      </c>
      <c r="EK192" s="18">
        <f>EJ192*VLOOKUP('Données projet'!$B$15,Paramètres!$A$1:$I$89,3,0)*VLOOKUP('Données projet'!$B$15,Paramètres!$A$1:$I$89,5,0)</f>
        <v>1.6759713616920637E-13</v>
      </c>
      <c r="EL192" s="14">
        <f t="shared" si="179"/>
        <v>2.3709043131075133E-12</v>
      </c>
      <c r="EM192" s="22">
        <f t="shared" si="180"/>
        <v>4.4212233574902864E-12</v>
      </c>
      <c r="EN192" s="62">
        <f t="shared" si="128"/>
        <v>289.97763864700829</v>
      </c>
      <c r="EO192" s="62">
        <f ca="1">AVERAGE(OFFSET($EN$3,0,0,'Données projet'!$E$15+1,1))-AVERAGE(OFFSET($H$3,0,0,'Données projet'!$E$15+1,1))</f>
        <v>346.97972840139914</v>
      </c>
      <c r="EP192" s="62">
        <f t="shared" si="154"/>
        <v>158.41433650660613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-1.1368683772161603E-13</v>
      </c>
      <c r="FF192" s="18">
        <f>FE192*VLOOKUP('Données projet'!$B$16,Paramètres!$A$1:$I$89,3,0)*VLOOKUP('Données projet'!$B$16,Paramètres!$A$1:$I$89,5,0)</f>
        <v>-7.4487616075202823E-14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235.88453308732235</v>
      </c>
      <c r="FK192" s="62">
        <f t="shared" si="156"/>
        <v>220.72810812053521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-8.1404323282185943E-13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442.98179778678298</v>
      </c>
      <c r="T193" s="62">
        <f t="shared" si="142"/>
        <v>251.96153561746942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1.4897523215040565E-13</v>
      </c>
      <c r="AK193" s="14">
        <f t="shared" si="164"/>
        <v>2.136562777003313E-12</v>
      </c>
      <c r="AL193" s="22">
        <f t="shared" si="165"/>
        <v>3.9806453659427267E-12</v>
      </c>
      <c r="AM193" s="62">
        <f t="shared" si="113"/>
        <v>290.03585244760626</v>
      </c>
      <c r="AN193" s="62">
        <f ca="1">AVERAGE(OFFSET($AM$3,0,0,'Données projet'!$E$10+1,1))-AVERAGE(OFFSET($H$3,0,0,'Données projet'!$E$10+1,1))</f>
        <v>304.35088214287919</v>
      </c>
      <c r="AO193" s="62">
        <f t="shared" si="144"/>
        <v>288.72611053217599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3.6357050703372803E-14</v>
      </c>
      <c r="BF193" s="14">
        <f t="shared" si="167"/>
        <v>6.1445232567661395E-13</v>
      </c>
      <c r="BG193" s="22">
        <f t="shared" si="168"/>
        <v>1.1334929971951436E-12</v>
      </c>
      <c r="BH193" s="62">
        <f t="shared" si="116"/>
        <v>290.03585244760342</v>
      </c>
      <c r="BI193" s="62">
        <f ca="1">AVERAGE(OFFSET($BH$3,0,0,'Données projet'!$E$11+1,1))-AVERAGE(OFFSET($H$3,0,0,'Données projet'!$E$11+1,1))</f>
        <v>285.09561428624352</v>
      </c>
      <c r="BJ193" s="62">
        <f t="shared" si="146"/>
        <v>261.05678516705564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-9.2222762759774927E-14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272.69564942740931</v>
      </c>
      <c r="CE193" s="62">
        <f t="shared" si="148"/>
        <v>316.57989180609252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2.2737367544323206E-13</v>
      </c>
      <c r="CU193" s="18">
        <f>CT193*VLOOKUP('Données projet'!$B$13,Paramètres!$A$1:$I$89,3,0)*VLOOKUP('Données projet'!$B$13,Paramètres!$A$1:$I$89,5,0)</f>
        <v>1.4897523215040565E-13</v>
      </c>
      <c r="CV193" s="14">
        <f t="shared" si="173"/>
        <v>2.136562777003313E-12</v>
      </c>
      <c r="CW193" s="22">
        <f t="shared" si="174"/>
        <v>3.9806453659427267E-12</v>
      </c>
      <c r="CX193" s="62">
        <f t="shared" si="122"/>
        <v>290.03585244760626</v>
      </c>
      <c r="CY193" s="62">
        <f ca="1">AVERAGE(OFFSET($CX$3,0,0,'Données projet'!$E$13+1,1))-AVERAGE(OFFSET($H$3,0,0,'Données projet'!$E$13+1,1))</f>
        <v>304.35088214287919</v>
      </c>
      <c r="CZ193" s="62">
        <f t="shared" si="150"/>
        <v>288.72611053217599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6.5620042732916778E-14</v>
      </c>
      <c r="DQ193" s="14">
        <f t="shared" si="176"/>
        <v>1.0353460337118015E-12</v>
      </c>
      <c r="DR193" s="22">
        <f t="shared" si="177"/>
        <v>1.9175159164745509E-12</v>
      </c>
      <c r="DS193" s="62">
        <f t="shared" si="125"/>
        <v>290.03585244760421</v>
      </c>
      <c r="DT193" s="62">
        <f ca="1">AVERAGE(OFFSET($DS$3,0,0,'Données projet'!$E$14+1,1))-AVERAGE(OFFSET($H$3,0,0,'Données projet'!$E$14+1,1))</f>
        <v>172.86120068224633</v>
      </c>
      <c r="DU193" s="62">
        <f t="shared" si="152"/>
        <v>269.4995727085078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1.9895196601282805E-13</v>
      </c>
      <c r="EK193" s="18">
        <f>EJ193*VLOOKUP('Données projet'!$B$15,Paramètres!$A$1:$I$89,3,0)*VLOOKUP('Données projet'!$B$15,Paramètres!$A$1:$I$89,5,0)</f>
        <v>1.6759713616920637E-13</v>
      </c>
      <c r="EL193" s="14">
        <f t="shared" si="179"/>
        <v>2.3709043131075133E-12</v>
      </c>
      <c r="EM193" s="22">
        <f t="shared" si="180"/>
        <v>4.4212233574902864E-12</v>
      </c>
      <c r="EN193" s="62">
        <f t="shared" si="128"/>
        <v>290.03585244760671</v>
      </c>
      <c r="EO193" s="62">
        <f ca="1">AVERAGE(OFFSET($EN$3,0,0,'Données projet'!$E$15+1,1))-AVERAGE(OFFSET($H$3,0,0,'Données projet'!$E$15+1,1))</f>
        <v>346.97972840139914</v>
      </c>
      <c r="EP193" s="62">
        <f t="shared" si="154"/>
        <v>158.41433650660613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-1.1368683772161603E-13</v>
      </c>
      <c r="FF193" s="18">
        <f>FE193*VLOOKUP('Données projet'!$B$16,Paramètres!$A$1:$I$89,3,0)*VLOOKUP('Données projet'!$B$16,Paramètres!$A$1:$I$89,5,0)</f>
        <v>-7.4487616075202823E-14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235.88453308732235</v>
      </c>
      <c r="FK193" s="62">
        <f t="shared" si="156"/>
        <v>220.72810812053521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-8.1404323282185943E-13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442.98179778678298</v>
      </c>
      <c r="T194" s="62">
        <f t="shared" si="142"/>
        <v>251.96153561746942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1.4897523215040565E-13</v>
      </c>
      <c r="AK194" s="14">
        <f t="shared" si="164"/>
        <v>2.136562777003313E-12</v>
      </c>
      <c r="AL194" s="22">
        <f t="shared" si="165"/>
        <v>3.9806453659427267E-12</v>
      </c>
      <c r="AM194" s="62">
        <f t="shared" si="113"/>
        <v>290.09305636891082</v>
      </c>
      <c r="AN194" s="62">
        <f ca="1">AVERAGE(OFFSET($AM$3,0,0,'Données projet'!$E$10+1,1))-AVERAGE(OFFSET($H$3,0,0,'Données projet'!$E$10+1,1))</f>
        <v>304.35088214287919</v>
      </c>
      <c r="AO194" s="62">
        <f t="shared" si="144"/>
        <v>288.72611053217599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3.6357050703372803E-14</v>
      </c>
      <c r="BF194" s="14">
        <f t="shared" si="167"/>
        <v>6.1445232567661395E-13</v>
      </c>
      <c r="BG194" s="22">
        <f t="shared" si="168"/>
        <v>1.1334929971951436E-12</v>
      </c>
      <c r="BH194" s="62">
        <f t="shared" si="116"/>
        <v>290.09305636890798</v>
      </c>
      <c r="BI194" s="62">
        <f ca="1">AVERAGE(OFFSET($BH$3,0,0,'Données projet'!$E$11+1,1))-AVERAGE(OFFSET($H$3,0,0,'Données projet'!$E$11+1,1))</f>
        <v>285.09561428624352</v>
      </c>
      <c r="BJ194" s="62">
        <f t="shared" si="146"/>
        <v>261.05678516705564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-9.2222762759774927E-14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272.69564942740931</v>
      </c>
      <c r="CE194" s="62">
        <f t="shared" si="148"/>
        <v>316.57989180609252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2.2737367544323206E-13</v>
      </c>
      <c r="CU194" s="18">
        <f>CT194*VLOOKUP('Données projet'!$B$13,Paramètres!$A$1:$I$89,3,0)*VLOOKUP('Données projet'!$B$13,Paramètres!$A$1:$I$89,5,0)</f>
        <v>1.4897523215040565E-13</v>
      </c>
      <c r="CV194" s="14">
        <f t="shared" si="173"/>
        <v>2.136562777003313E-12</v>
      </c>
      <c r="CW194" s="22">
        <f t="shared" si="174"/>
        <v>3.9806453659427267E-12</v>
      </c>
      <c r="CX194" s="62">
        <f t="shared" si="122"/>
        <v>290.09305636891082</v>
      </c>
      <c r="CY194" s="62">
        <f ca="1">AVERAGE(OFFSET($CX$3,0,0,'Données projet'!$E$13+1,1))-AVERAGE(OFFSET($H$3,0,0,'Données projet'!$E$13+1,1))</f>
        <v>304.35088214287919</v>
      </c>
      <c r="CZ194" s="62">
        <f t="shared" si="150"/>
        <v>288.72611053217599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6.5620042732916778E-14</v>
      </c>
      <c r="DQ194" s="14">
        <f t="shared" si="176"/>
        <v>1.0353460337118015E-12</v>
      </c>
      <c r="DR194" s="22">
        <f t="shared" si="177"/>
        <v>1.9175159164745509E-12</v>
      </c>
      <c r="DS194" s="62">
        <f t="shared" si="125"/>
        <v>290.09305636890878</v>
      </c>
      <c r="DT194" s="62">
        <f ca="1">AVERAGE(OFFSET($DS$3,0,0,'Données projet'!$E$14+1,1))-AVERAGE(OFFSET($H$3,0,0,'Données projet'!$E$14+1,1))</f>
        <v>172.86120068224633</v>
      </c>
      <c r="DU194" s="62">
        <f t="shared" si="152"/>
        <v>269.4995727085078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1.9895196601282805E-13</v>
      </c>
      <c r="EK194" s="18">
        <f>EJ194*VLOOKUP('Données projet'!$B$15,Paramètres!$A$1:$I$89,3,0)*VLOOKUP('Données projet'!$B$15,Paramètres!$A$1:$I$89,5,0)</f>
        <v>1.6759713616920637E-13</v>
      </c>
      <c r="EL194" s="14">
        <f t="shared" si="179"/>
        <v>2.3709043131075133E-12</v>
      </c>
      <c r="EM194" s="22">
        <f t="shared" si="180"/>
        <v>4.4212233574902864E-12</v>
      </c>
      <c r="EN194" s="62">
        <f t="shared" si="128"/>
        <v>290.09305636891128</v>
      </c>
      <c r="EO194" s="62">
        <f ca="1">AVERAGE(OFFSET($EN$3,0,0,'Données projet'!$E$15+1,1))-AVERAGE(OFFSET($H$3,0,0,'Données projet'!$E$15+1,1))</f>
        <v>346.97972840139914</v>
      </c>
      <c r="EP194" s="62">
        <f t="shared" si="154"/>
        <v>158.41433650660613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-1.1368683772161603E-13</v>
      </c>
      <c r="FF194" s="18">
        <f>FE194*VLOOKUP('Données projet'!$B$16,Paramètres!$A$1:$I$89,3,0)*VLOOKUP('Données projet'!$B$16,Paramètres!$A$1:$I$89,5,0)</f>
        <v>-7.4487616075202823E-14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235.88453308732235</v>
      </c>
      <c r="FK194" s="62">
        <f t="shared" si="156"/>
        <v>220.72810812053521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-8.1404323282185943E-13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442.98179778678298</v>
      </c>
      <c r="T195" s="62">
        <f t="shared" si="142"/>
        <v>251.96153561746942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1.4897523215040565E-13</v>
      </c>
      <c r="AK195" s="14">
        <f t="shared" si="164"/>
        <v>2.136562777003313E-12</v>
      </c>
      <c r="AL195" s="22">
        <f t="shared" si="165"/>
        <v>3.9806453659427267E-12</v>
      </c>
      <c r="AM195" s="62">
        <f t="shared" si="113"/>
        <v>290.14926793006964</v>
      </c>
      <c r="AN195" s="62">
        <f ca="1">AVERAGE(OFFSET($AM$3,0,0,'Données projet'!$E$10+1,1))-AVERAGE(OFFSET($H$3,0,0,'Données projet'!$E$10+1,1))</f>
        <v>304.35088214287919</v>
      </c>
      <c r="AO195" s="62">
        <f t="shared" si="144"/>
        <v>288.72611053217599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3.6357050703372803E-14</v>
      </c>
      <c r="BF195" s="14">
        <f t="shared" si="167"/>
        <v>6.1445232567661395E-13</v>
      </c>
      <c r="BG195" s="22">
        <f t="shared" si="168"/>
        <v>1.1334929971951436E-12</v>
      </c>
      <c r="BH195" s="62">
        <f t="shared" si="116"/>
        <v>290.1492679300668</v>
      </c>
      <c r="BI195" s="62">
        <f ca="1">AVERAGE(OFFSET($BH$3,0,0,'Données projet'!$E$11+1,1))-AVERAGE(OFFSET($H$3,0,0,'Données projet'!$E$11+1,1))</f>
        <v>285.09561428624352</v>
      </c>
      <c r="BJ195" s="62">
        <f t="shared" si="146"/>
        <v>261.05678516705564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-9.2222762759774927E-14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272.69564942740931</v>
      </c>
      <c r="CE195" s="62">
        <f t="shared" si="148"/>
        <v>316.57989180609252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2.2737367544323206E-13</v>
      </c>
      <c r="CU195" s="18">
        <f>CT195*VLOOKUP('Données projet'!$B$13,Paramètres!$A$1:$I$89,3,0)*VLOOKUP('Données projet'!$B$13,Paramètres!$A$1:$I$89,5,0)</f>
        <v>1.4897523215040565E-13</v>
      </c>
      <c r="CV195" s="14">
        <f t="shared" si="173"/>
        <v>2.136562777003313E-12</v>
      </c>
      <c r="CW195" s="22">
        <f t="shared" si="174"/>
        <v>3.9806453659427267E-12</v>
      </c>
      <c r="CX195" s="62">
        <f t="shared" si="122"/>
        <v>290.14926793006964</v>
      </c>
      <c r="CY195" s="62">
        <f ca="1">AVERAGE(OFFSET($CX$3,0,0,'Données projet'!$E$13+1,1))-AVERAGE(OFFSET($H$3,0,0,'Données projet'!$E$13+1,1))</f>
        <v>304.35088214287919</v>
      </c>
      <c r="CZ195" s="62">
        <f t="shared" si="150"/>
        <v>288.72611053217599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6.5620042732916778E-14</v>
      </c>
      <c r="DQ195" s="14">
        <f t="shared" si="176"/>
        <v>1.0353460337118015E-12</v>
      </c>
      <c r="DR195" s="22">
        <f t="shared" si="177"/>
        <v>1.9175159164745509E-12</v>
      </c>
      <c r="DS195" s="62">
        <f t="shared" si="125"/>
        <v>290.14926793006759</v>
      </c>
      <c r="DT195" s="62">
        <f ca="1">AVERAGE(OFFSET($DS$3,0,0,'Données projet'!$E$14+1,1))-AVERAGE(OFFSET($H$3,0,0,'Données projet'!$E$14+1,1))</f>
        <v>172.86120068224633</v>
      </c>
      <c r="DU195" s="62">
        <f t="shared" si="152"/>
        <v>269.4995727085078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1.9895196601282805E-13</v>
      </c>
      <c r="EK195" s="18">
        <f>EJ195*VLOOKUP('Données projet'!$B$15,Paramètres!$A$1:$I$89,3,0)*VLOOKUP('Données projet'!$B$15,Paramètres!$A$1:$I$89,5,0)</f>
        <v>1.6759713616920637E-13</v>
      </c>
      <c r="EL195" s="14">
        <f t="shared" si="179"/>
        <v>2.3709043131075133E-12</v>
      </c>
      <c r="EM195" s="22">
        <f t="shared" si="180"/>
        <v>4.4212233574902864E-12</v>
      </c>
      <c r="EN195" s="62">
        <f t="shared" si="128"/>
        <v>290.1492679300701</v>
      </c>
      <c r="EO195" s="62">
        <f ca="1">AVERAGE(OFFSET($EN$3,0,0,'Données projet'!$E$15+1,1))-AVERAGE(OFFSET($H$3,0,0,'Données projet'!$E$15+1,1))</f>
        <v>346.97972840139914</v>
      </c>
      <c r="EP195" s="62">
        <f t="shared" si="154"/>
        <v>158.41433650660613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-1.1368683772161603E-13</v>
      </c>
      <c r="FF195" s="18">
        <f>FE195*VLOOKUP('Données projet'!$B$16,Paramètres!$A$1:$I$89,3,0)*VLOOKUP('Données projet'!$B$16,Paramètres!$A$1:$I$89,5,0)</f>
        <v>-7.4487616075202823E-14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235.88453308732235</v>
      </c>
      <c r="FK195" s="62">
        <f t="shared" si="156"/>
        <v>220.72810812053521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-8.1404323282185943E-13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442.98179778678298</v>
      </c>
      <c r="T196" s="62">
        <f t="shared" si="142"/>
        <v>251.96153561746942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1.4897523215040565E-13</v>
      </c>
      <c r="AK196" s="14">
        <f t="shared" si="164"/>
        <v>2.136562777003313E-12</v>
      </c>
      <c r="AL196" s="22">
        <f t="shared" si="165"/>
        <v>3.9806453659427267E-12</v>
      </c>
      <c r="AM196" s="62">
        <f t="shared" ref="AM196:AM203" si="193">AL196+(AD196+AE196)*44/12</f>
        <v>290.20450434631249</v>
      </c>
      <c r="AN196" s="62">
        <f ca="1">AVERAGE(OFFSET($AM$3,0,0,'Données projet'!$E$10+1,1))-AVERAGE(OFFSET($H$3,0,0,'Données projet'!$E$10+1,1))</f>
        <v>304.35088214287919</v>
      </c>
      <c r="AO196" s="62">
        <f t="shared" si="144"/>
        <v>288.72611053217599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3.6357050703372803E-14</v>
      </c>
      <c r="BF196" s="14">
        <f t="shared" si="167"/>
        <v>6.1445232567661395E-13</v>
      </c>
      <c r="BG196" s="22">
        <f t="shared" si="168"/>
        <v>1.1334929971951436E-12</v>
      </c>
      <c r="BH196" s="62">
        <f t="shared" ref="BH196:BH203" si="194">BG196+(AY196+AZ196)*44/12</f>
        <v>290.20450434630965</v>
      </c>
      <c r="BI196" s="62">
        <f ca="1">AVERAGE(OFFSET($BH$3,0,0,'Données projet'!$E$11+1,1))-AVERAGE(OFFSET($H$3,0,0,'Données projet'!$E$11+1,1))</f>
        <v>285.09561428624352</v>
      </c>
      <c r="BJ196" s="62">
        <f t="shared" si="146"/>
        <v>261.05678516705564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-9.2222762759774927E-14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272.69564942740931</v>
      </c>
      <c r="CE196" s="62">
        <f t="shared" si="148"/>
        <v>316.57989180609252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2.2737367544323206E-13</v>
      </c>
      <c r="CU196" s="18">
        <f>CT196*VLOOKUP('Données projet'!$B$13,Paramètres!$A$1:$I$89,3,0)*VLOOKUP('Données projet'!$B$13,Paramètres!$A$1:$I$89,5,0)</f>
        <v>1.4897523215040565E-13</v>
      </c>
      <c r="CV196" s="14">
        <f t="shared" si="173"/>
        <v>2.136562777003313E-12</v>
      </c>
      <c r="CW196" s="22">
        <f t="shared" si="174"/>
        <v>3.9806453659427267E-12</v>
      </c>
      <c r="CX196" s="62">
        <f t="shared" ref="CX196:CX203" si="196">CW196+(CO196+CP196)*44/12</f>
        <v>290.20450434631249</v>
      </c>
      <c r="CY196" s="62">
        <f ca="1">AVERAGE(OFFSET($CX$3,0,0,'Données projet'!$E$13+1,1))-AVERAGE(OFFSET($H$3,0,0,'Données projet'!$E$13+1,1))</f>
        <v>304.35088214287919</v>
      </c>
      <c r="CZ196" s="62">
        <f t="shared" si="150"/>
        <v>288.72611053217599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6.5620042732916778E-14</v>
      </c>
      <c r="DQ196" s="14">
        <f t="shared" si="176"/>
        <v>1.0353460337118015E-12</v>
      </c>
      <c r="DR196" s="22">
        <f t="shared" si="177"/>
        <v>1.9175159164745509E-12</v>
      </c>
      <c r="DS196" s="62">
        <f t="shared" ref="DS196:DS203" si="197">DR196+(DJ196+DK196)*44/12</f>
        <v>290.20450434631044</v>
      </c>
      <c r="DT196" s="62">
        <f ca="1">AVERAGE(OFFSET($DS$3,0,0,'Données projet'!$E$14+1,1))-AVERAGE(OFFSET($H$3,0,0,'Données projet'!$E$14+1,1))</f>
        <v>172.86120068224633</v>
      </c>
      <c r="DU196" s="62">
        <f t="shared" si="152"/>
        <v>269.4995727085078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1.9895196601282805E-13</v>
      </c>
      <c r="EK196" s="18">
        <f>EJ196*VLOOKUP('Données projet'!$B$15,Paramètres!$A$1:$I$89,3,0)*VLOOKUP('Données projet'!$B$15,Paramètres!$A$1:$I$89,5,0)</f>
        <v>1.6759713616920637E-13</v>
      </c>
      <c r="EL196" s="14">
        <f t="shared" si="179"/>
        <v>2.3709043131075133E-12</v>
      </c>
      <c r="EM196" s="22">
        <f t="shared" si="180"/>
        <v>4.4212233574902864E-12</v>
      </c>
      <c r="EN196" s="62">
        <f t="shared" ref="EN196:EN203" si="198">EM196+(EE196+EF196)*44/12</f>
        <v>290.20450434631294</v>
      </c>
      <c r="EO196" s="62">
        <f ca="1">AVERAGE(OFFSET($EN$3,0,0,'Données projet'!$E$15+1,1))-AVERAGE(OFFSET($H$3,0,0,'Données projet'!$E$15+1,1))</f>
        <v>346.97972840139914</v>
      </c>
      <c r="EP196" s="62">
        <f t="shared" si="154"/>
        <v>158.41433650660613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-1.1368683772161603E-13</v>
      </c>
      <c r="FF196" s="18">
        <f>FE196*VLOOKUP('Données projet'!$B$16,Paramètres!$A$1:$I$89,3,0)*VLOOKUP('Données projet'!$B$16,Paramètres!$A$1:$I$89,5,0)</f>
        <v>-7.4487616075202823E-14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235.88453308732235</v>
      </c>
      <c r="FK196" s="62">
        <f t="shared" si="156"/>
        <v>220.72810812053521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-8.1404323282185943E-13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442.98179778678298</v>
      </c>
      <c r="T197" s="62">
        <f t="shared" ref="T197:T203" si="204">$T$3</f>
        <v>251.96153561746942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1.4897523215040565E-13</v>
      </c>
      <c r="AK197" s="14">
        <f t="shared" si="164"/>
        <v>2.136562777003313E-12</v>
      </c>
      <c r="AL197" s="22">
        <f t="shared" si="165"/>
        <v>3.9806453659427267E-12</v>
      </c>
      <c r="AM197" s="62">
        <f t="shared" si="193"/>
        <v>290.25878253422371</v>
      </c>
      <c r="AN197" s="62">
        <f ca="1">AVERAGE(OFFSET($AM$3,0,0,'Données projet'!$E$10+1,1))-AVERAGE(OFFSET($H$3,0,0,'Données projet'!$E$10+1,1))</f>
        <v>304.35088214287919</v>
      </c>
      <c r="AO197" s="62">
        <f t="shared" ref="AO197:AO203" si="205">$AO$3</f>
        <v>288.72611053217599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3.6357050703372803E-14</v>
      </c>
      <c r="BF197" s="14">
        <f t="shared" si="167"/>
        <v>6.1445232567661395E-13</v>
      </c>
      <c r="BG197" s="22">
        <f t="shared" si="168"/>
        <v>1.1334929971951436E-12</v>
      </c>
      <c r="BH197" s="62">
        <f t="shared" si="194"/>
        <v>290.25878253422087</v>
      </c>
      <c r="BI197" s="62">
        <f ca="1">AVERAGE(OFFSET($BH$3,0,0,'Données projet'!$E$11+1,1))-AVERAGE(OFFSET($H$3,0,0,'Données projet'!$E$11+1,1))</f>
        <v>285.09561428624352</v>
      </c>
      <c r="BJ197" s="62">
        <f t="shared" ref="BJ197:BJ203" si="206">$BJ$3</f>
        <v>261.05678516705564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-9.2222762759774927E-14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272.69564942740931</v>
      </c>
      <c r="CE197" s="62">
        <f t="shared" ref="CE197:CE203" si="207">$CE$3</f>
        <v>316.57989180609252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2.2737367544323206E-13</v>
      </c>
      <c r="CU197" s="18">
        <f>CT197*VLOOKUP('Données projet'!$B$13,Paramètres!$A$1:$I$89,3,0)*VLOOKUP('Données projet'!$B$13,Paramètres!$A$1:$I$89,5,0)</f>
        <v>1.4897523215040565E-13</v>
      </c>
      <c r="CV197" s="14">
        <f t="shared" si="173"/>
        <v>2.136562777003313E-12</v>
      </c>
      <c r="CW197" s="22">
        <f t="shared" si="174"/>
        <v>3.9806453659427267E-12</v>
      </c>
      <c r="CX197" s="62">
        <f t="shared" si="196"/>
        <v>290.25878253422371</v>
      </c>
      <c r="CY197" s="62">
        <f ca="1">AVERAGE(OFFSET($CX$3,0,0,'Données projet'!$E$13+1,1))-AVERAGE(OFFSET($H$3,0,0,'Données projet'!$E$13+1,1))</f>
        <v>304.35088214287919</v>
      </c>
      <c r="CZ197" s="62">
        <f t="shared" ref="CZ197:CZ203" si="208">$CZ$3</f>
        <v>288.72611053217599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6.5620042732916778E-14</v>
      </c>
      <c r="DQ197" s="14">
        <f t="shared" si="176"/>
        <v>1.0353460337118015E-12</v>
      </c>
      <c r="DR197" s="22">
        <f t="shared" si="177"/>
        <v>1.9175159164745509E-12</v>
      </c>
      <c r="DS197" s="62">
        <f t="shared" si="197"/>
        <v>290.25878253422167</v>
      </c>
      <c r="DT197" s="62">
        <f ca="1">AVERAGE(OFFSET($DS$3,0,0,'Données projet'!$E$14+1,1))-AVERAGE(OFFSET($H$3,0,0,'Données projet'!$E$14+1,1))</f>
        <v>172.86120068224633</v>
      </c>
      <c r="DU197" s="62">
        <f t="shared" ref="DU197:DU203" si="209">$DU$3</f>
        <v>269.4995727085078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1.9895196601282805E-13</v>
      </c>
      <c r="EK197" s="18">
        <f>EJ197*VLOOKUP('Données projet'!$B$15,Paramètres!$A$1:$I$89,3,0)*VLOOKUP('Données projet'!$B$15,Paramètres!$A$1:$I$89,5,0)</f>
        <v>1.6759713616920637E-13</v>
      </c>
      <c r="EL197" s="14">
        <f t="shared" si="179"/>
        <v>2.3709043131075133E-12</v>
      </c>
      <c r="EM197" s="22">
        <f t="shared" si="180"/>
        <v>4.4212233574902864E-12</v>
      </c>
      <c r="EN197" s="62">
        <f t="shared" si="198"/>
        <v>290.25878253422417</v>
      </c>
      <c r="EO197" s="62">
        <f ca="1">AVERAGE(OFFSET($EN$3,0,0,'Données projet'!$E$15+1,1))-AVERAGE(OFFSET($H$3,0,0,'Données projet'!$E$15+1,1))</f>
        <v>346.97972840139914</v>
      </c>
      <c r="EP197" s="62">
        <f t="shared" ref="EP197:EP203" si="210">$EP$3</f>
        <v>158.41433650660613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-1.1368683772161603E-13</v>
      </c>
      <c r="FF197" s="18">
        <f>FE197*VLOOKUP('Données projet'!$B$16,Paramètres!$A$1:$I$89,3,0)*VLOOKUP('Données projet'!$B$16,Paramètres!$A$1:$I$89,5,0)</f>
        <v>-7.4487616075202823E-14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235.88453308732235</v>
      </c>
      <c r="FK197" s="62">
        <f t="shared" ref="FK197:FK203" si="211">$FK$3</f>
        <v>220.72810812053521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-8.1404323282185943E-13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442.98179778678298</v>
      </c>
      <c r="T198" s="62">
        <f t="shared" si="204"/>
        <v>251.96153561746942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1.4897523215040565E-13</v>
      </c>
      <c r="AK198" s="14">
        <f t="shared" si="164"/>
        <v>2.136562777003313E-12</v>
      </c>
      <c r="AL198" s="22">
        <f t="shared" si="165"/>
        <v>3.9806453659427267E-12</v>
      </c>
      <c r="AM198" s="62">
        <f t="shared" si="193"/>
        <v>290.31211911692247</v>
      </c>
      <c r="AN198" s="62">
        <f ca="1">AVERAGE(OFFSET($AM$3,0,0,'Données projet'!$E$10+1,1))-AVERAGE(OFFSET($H$3,0,0,'Données projet'!$E$10+1,1))</f>
        <v>304.35088214287919</v>
      </c>
      <c r="AO198" s="62">
        <f t="shared" si="205"/>
        <v>288.72611053217599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3.6357050703372803E-14</v>
      </c>
      <c r="BF198" s="14">
        <f t="shared" si="167"/>
        <v>6.1445232567661395E-13</v>
      </c>
      <c r="BG198" s="22">
        <f t="shared" si="168"/>
        <v>1.1334929971951436E-12</v>
      </c>
      <c r="BH198" s="62">
        <f t="shared" si="194"/>
        <v>290.31211911691963</v>
      </c>
      <c r="BI198" s="62">
        <f ca="1">AVERAGE(OFFSET($BH$3,0,0,'Données projet'!$E$11+1,1))-AVERAGE(OFFSET($H$3,0,0,'Données projet'!$E$11+1,1))</f>
        <v>285.09561428624352</v>
      </c>
      <c r="BJ198" s="62">
        <f t="shared" si="206"/>
        <v>261.05678516705564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-9.2222762759774927E-14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272.69564942740931</v>
      </c>
      <c r="CE198" s="62">
        <f t="shared" si="207"/>
        <v>316.57989180609252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2.2737367544323206E-13</v>
      </c>
      <c r="CU198" s="18">
        <f>CT198*VLOOKUP('Données projet'!$B$13,Paramètres!$A$1:$I$89,3,0)*VLOOKUP('Données projet'!$B$13,Paramètres!$A$1:$I$89,5,0)</f>
        <v>1.4897523215040565E-13</v>
      </c>
      <c r="CV198" s="14">
        <f t="shared" si="173"/>
        <v>2.136562777003313E-12</v>
      </c>
      <c r="CW198" s="22">
        <f t="shared" si="174"/>
        <v>3.9806453659427267E-12</v>
      </c>
      <c r="CX198" s="62">
        <f t="shared" si="196"/>
        <v>290.31211911692247</v>
      </c>
      <c r="CY198" s="62">
        <f ca="1">AVERAGE(OFFSET($CX$3,0,0,'Données projet'!$E$13+1,1))-AVERAGE(OFFSET($H$3,0,0,'Données projet'!$E$13+1,1))</f>
        <v>304.35088214287919</v>
      </c>
      <c r="CZ198" s="62">
        <f t="shared" si="208"/>
        <v>288.72611053217599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6.5620042732916778E-14</v>
      </c>
      <c r="DQ198" s="14">
        <f t="shared" si="176"/>
        <v>1.0353460337118015E-12</v>
      </c>
      <c r="DR198" s="22">
        <f t="shared" si="177"/>
        <v>1.9175159164745509E-12</v>
      </c>
      <c r="DS198" s="62">
        <f t="shared" si="197"/>
        <v>290.31211911692043</v>
      </c>
      <c r="DT198" s="62">
        <f ca="1">AVERAGE(OFFSET($DS$3,0,0,'Données projet'!$E$14+1,1))-AVERAGE(OFFSET($H$3,0,0,'Données projet'!$E$14+1,1))</f>
        <v>172.86120068224633</v>
      </c>
      <c r="DU198" s="62">
        <f t="shared" si="209"/>
        <v>269.4995727085078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1.9895196601282805E-13</v>
      </c>
      <c r="EK198" s="18">
        <f>EJ198*VLOOKUP('Données projet'!$B$15,Paramètres!$A$1:$I$89,3,0)*VLOOKUP('Données projet'!$B$15,Paramètres!$A$1:$I$89,5,0)</f>
        <v>1.6759713616920637E-13</v>
      </c>
      <c r="EL198" s="14">
        <f t="shared" si="179"/>
        <v>2.3709043131075133E-12</v>
      </c>
      <c r="EM198" s="22">
        <f t="shared" si="180"/>
        <v>4.4212233574902864E-12</v>
      </c>
      <c r="EN198" s="62">
        <f t="shared" si="198"/>
        <v>290.31211911692293</v>
      </c>
      <c r="EO198" s="62">
        <f ca="1">AVERAGE(OFFSET($EN$3,0,0,'Données projet'!$E$15+1,1))-AVERAGE(OFFSET($H$3,0,0,'Données projet'!$E$15+1,1))</f>
        <v>346.97972840139914</v>
      </c>
      <c r="EP198" s="62">
        <f t="shared" si="210"/>
        <v>158.41433650660613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-1.1368683772161603E-13</v>
      </c>
      <c r="FF198" s="18">
        <f>FE198*VLOOKUP('Données projet'!$B$16,Paramètres!$A$1:$I$89,3,0)*VLOOKUP('Données projet'!$B$16,Paramètres!$A$1:$I$89,5,0)</f>
        <v>-7.4487616075202823E-14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235.88453308732235</v>
      </c>
      <c r="FK198" s="62">
        <f t="shared" si="211"/>
        <v>220.72810812053521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-8.1404323282185943E-13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442.98179778678298</v>
      </c>
      <c r="T199" s="62">
        <f t="shared" si="204"/>
        <v>251.96153561746942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1.4897523215040565E-13</v>
      </c>
      <c r="AK199" s="14">
        <f t="shared" si="164"/>
        <v>2.136562777003313E-12</v>
      </c>
      <c r="AL199" s="22">
        <f t="shared" si="165"/>
        <v>3.9806453659427267E-12</v>
      </c>
      <c r="AM199" s="62">
        <f t="shared" si="193"/>
        <v>290.36453042915417</v>
      </c>
      <c r="AN199" s="62">
        <f ca="1">AVERAGE(OFFSET($AM$3,0,0,'Données projet'!$E$10+1,1))-AVERAGE(OFFSET($H$3,0,0,'Données projet'!$E$10+1,1))</f>
        <v>304.35088214287919</v>
      </c>
      <c r="AO199" s="62">
        <f t="shared" si="205"/>
        <v>288.72611053217599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3.6357050703372803E-14</v>
      </c>
      <c r="BF199" s="14">
        <f t="shared" si="167"/>
        <v>6.1445232567661395E-13</v>
      </c>
      <c r="BG199" s="22">
        <f t="shared" si="168"/>
        <v>1.1334929971951436E-12</v>
      </c>
      <c r="BH199" s="62">
        <f t="shared" si="194"/>
        <v>290.36453042915133</v>
      </c>
      <c r="BI199" s="62">
        <f ca="1">AVERAGE(OFFSET($BH$3,0,0,'Données projet'!$E$11+1,1))-AVERAGE(OFFSET($H$3,0,0,'Données projet'!$E$11+1,1))</f>
        <v>285.09561428624352</v>
      </c>
      <c r="BJ199" s="62">
        <f t="shared" si="206"/>
        <v>261.05678516705564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-9.2222762759774927E-14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272.69564942740931</v>
      </c>
      <c r="CE199" s="62">
        <f t="shared" si="207"/>
        <v>316.57989180609252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2.2737367544323206E-13</v>
      </c>
      <c r="CU199" s="18">
        <f>CT199*VLOOKUP('Données projet'!$B$13,Paramètres!$A$1:$I$89,3,0)*VLOOKUP('Données projet'!$B$13,Paramètres!$A$1:$I$89,5,0)</f>
        <v>1.4897523215040565E-13</v>
      </c>
      <c r="CV199" s="14">
        <f t="shared" si="173"/>
        <v>2.136562777003313E-12</v>
      </c>
      <c r="CW199" s="22">
        <f t="shared" si="174"/>
        <v>3.9806453659427267E-12</v>
      </c>
      <c r="CX199" s="62">
        <f t="shared" si="196"/>
        <v>290.36453042915417</v>
      </c>
      <c r="CY199" s="62">
        <f ca="1">AVERAGE(OFFSET($CX$3,0,0,'Données projet'!$E$13+1,1))-AVERAGE(OFFSET($H$3,0,0,'Données projet'!$E$13+1,1))</f>
        <v>304.35088214287919</v>
      </c>
      <c r="CZ199" s="62">
        <f t="shared" si="208"/>
        <v>288.72611053217599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6.5620042732916778E-14</v>
      </c>
      <c r="DQ199" s="14">
        <f t="shared" si="176"/>
        <v>1.0353460337118015E-12</v>
      </c>
      <c r="DR199" s="22">
        <f t="shared" si="177"/>
        <v>1.9175159164745509E-12</v>
      </c>
      <c r="DS199" s="62">
        <f t="shared" si="197"/>
        <v>290.36453042915213</v>
      </c>
      <c r="DT199" s="62">
        <f ca="1">AVERAGE(OFFSET($DS$3,0,0,'Données projet'!$E$14+1,1))-AVERAGE(OFFSET($H$3,0,0,'Données projet'!$E$14+1,1))</f>
        <v>172.86120068224633</v>
      </c>
      <c r="DU199" s="62">
        <f t="shared" si="209"/>
        <v>269.4995727085078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1.9895196601282805E-13</v>
      </c>
      <c r="EK199" s="18">
        <f>EJ199*VLOOKUP('Données projet'!$B$15,Paramètres!$A$1:$I$89,3,0)*VLOOKUP('Données projet'!$B$15,Paramètres!$A$1:$I$89,5,0)</f>
        <v>1.6759713616920637E-13</v>
      </c>
      <c r="EL199" s="14">
        <f t="shared" si="179"/>
        <v>2.3709043131075133E-12</v>
      </c>
      <c r="EM199" s="22">
        <f t="shared" si="180"/>
        <v>4.4212233574902864E-12</v>
      </c>
      <c r="EN199" s="62">
        <f t="shared" si="198"/>
        <v>290.36453042915463</v>
      </c>
      <c r="EO199" s="62">
        <f ca="1">AVERAGE(OFFSET($EN$3,0,0,'Données projet'!$E$15+1,1))-AVERAGE(OFFSET($H$3,0,0,'Données projet'!$E$15+1,1))</f>
        <v>346.97972840139914</v>
      </c>
      <c r="EP199" s="62">
        <f t="shared" si="210"/>
        <v>158.41433650660613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-1.1368683772161603E-13</v>
      </c>
      <c r="FF199" s="18">
        <f>FE199*VLOOKUP('Données projet'!$B$16,Paramètres!$A$1:$I$89,3,0)*VLOOKUP('Données projet'!$B$16,Paramètres!$A$1:$I$89,5,0)</f>
        <v>-7.4487616075202823E-14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235.88453308732235</v>
      </c>
      <c r="FK199" s="62">
        <f t="shared" si="211"/>
        <v>220.72810812053521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-8.1404323282185943E-13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442.98179778678298</v>
      </c>
      <c r="T200" s="62">
        <f t="shared" si="204"/>
        <v>251.96153561746942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1.4897523215040565E-13</v>
      </c>
      <c r="AK200" s="14">
        <f t="shared" si="164"/>
        <v>2.136562777003313E-12</v>
      </c>
      <c r="AL200" s="22">
        <f t="shared" si="165"/>
        <v>3.9806453659427267E-12</v>
      </c>
      <c r="AM200" s="62">
        <f t="shared" si="193"/>
        <v>290.41603252229277</v>
      </c>
      <c r="AN200" s="62">
        <f ca="1">AVERAGE(OFFSET($AM$3,0,0,'Données projet'!$E$10+1,1))-AVERAGE(OFFSET($H$3,0,0,'Données projet'!$E$10+1,1))</f>
        <v>304.35088214287919</v>
      </c>
      <c r="AO200" s="62">
        <f t="shared" si="205"/>
        <v>288.72611053217599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3.6357050703372803E-14</v>
      </c>
      <c r="BF200" s="14">
        <f t="shared" si="167"/>
        <v>6.1445232567661395E-13</v>
      </c>
      <c r="BG200" s="22">
        <f t="shared" si="168"/>
        <v>1.1334929971951436E-12</v>
      </c>
      <c r="BH200" s="62">
        <f t="shared" si="194"/>
        <v>290.41603252228992</v>
      </c>
      <c r="BI200" s="62">
        <f ca="1">AVERAGE(OFFSET($BH$3,0,0,'Données projet'!$E$11+1,1))-AVERAGE(OFFSET($H$3,0,0,'Données projet'!$E$11+1,1))</f>
        <v>285.09561428624352</v>
      </c>
      <c r="BJ200" s="62">
        <f t="shared" si="206"/>
        <v>261.05678516705564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-9.2222762759774927E-14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272.69564942740931</v>
      </c>
      <c r="CE200" s="62">
        <f t="shared" si="207"/>
        <v>316.57989180609252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2.2737367544323206E-13</v>
      </c>
      <c r="CU200" s="18">
        <f>CT200*VLOOKUP('Données projet'!$B$13,Paramètres!$A$1:$I$89,3,0)*VLOOKUP('Données projet'!$B$13,Paramètres!$A$1:$I$89,5,0)</f>
        <v>1.4897523215040565E-13</v>
      </c>
      <c r="CV200" s="14">
        <f t="shared" si="173"/>
        <v>2.136562777003313E-12</v>
      </c>
      <c r="CW200" s="22">
        <f t="shared" si="174"/>
        <v>3.9806453659427267E-12</v>
      </c>
      <c r="CX200" s="62">
        <f t="shared" si="196"/>
        <v>290.41603252229277</v>
      </c>
      <c r="CY200" s="62">
        <f ca="1">AVERAGE(OFFSET($CX$3,0,0,'Données projet'!$E$13+1,1))-AVERAGE(OFFSET($H$3,0,0,'Données projet'!$E$13+1,1))</f>
        <v>304.35088214287919</v>
      </c>
      <c r="CZ200" s="62">
        <f t="shared" si="208"/>
        <v>288.72611053217599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6.5620042732916778E-14</v>
      </c>
      <c r="DQ200" s="14">
        <f t="shared" si="176"/>
        <v>1.0353460337118015E-12</v>
      </c>
      <c r="DR200" s="22">
        <f t="shared" si="177"/>
        <v>1.9175159164745509E-12</v>
      </c>
      <c r="DS200" s="62">
        <f t="shared" si="197"/>
        <v>290.41603252229072</v>
      </c>
      <c r="DT200" s="62">
        <f ca="1">AVERAGE(OFFSET($DS$3,0,0,'Données projet'!$E$14+1,1))-AVERAGE(OFFSET($H$3,0,0,'Données projet'!$E$14+1,1))</f>
        <v>172.86120068224633</v>
      </c>
      <c r="DU200" s="62">
        <f t="shared" si="209"/>
        <v>269.4995727085078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1.9895196601282805E-13</v>
      </c>
      <c r="EK200" s="18">
        <f>EJ200*VLOOKUP('Données projet'!$B$15,Paramètres!$A$1:$I$89,3,0)*VLOOKUP('Données projet'!$B$15,Paramètres!$A$1:$I$89,5,0)</f>
        <v>1.6759713616920637E-13</v>
      </c>
      <c r="EL200" s="14">
        <f t="shared" si="179"/>
        <v>2.3709043131075133E-12</v>
      </c>
      <c r="EM200" s="22">
        <f t="shared" si="180"/>
        <v>4.4212233574902864E-12</v>
      </c>
      <c r="EN200" s="62">
        <f t="shared" si="198"/>
        <v>290.41603252229322</v>
      </c>
      <c r="EO200" s="62">
        <f ca="1">AVERAGE(OFFSET($EN$3,0,0,'Données projet'!$E$15+1,1))-AVERAGE(OFFSET($H$3,0,0,'Données projet'!$E$15+1,1))</f>
        <v>346.97972840139914</v>
      </c>
      <c r="EP200" s="62">
        <f t="shared" si="210"/>
        <v>158.41433650660613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-1.1368683772161603E-13</v>
      </c>
      <c r="FF200" s="18">
        <f>FE200*VLOOKUP('Données projet'!$B$16,Paramètres!$A$1:$I$89,3,0)*VLOOKUP('Données projet'!$B$16,Paramètres!$A$1:$I$89,5,0)</f>
        <v>-7.4487616075202823E-14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235.88453308732235</v>
      </c>
      <c r="FK200" s="62">
        <f t="shared" si="211"/>
        <v>220.72810812053521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-8.1404323282185943E-13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442.98179778678298</v>
      </c>
      <c r="T201" s="62">
        <f t="shared" si="204"/>
        <v>251.96153561746942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1.4897523215040565E-13</v>
      </c>
      <c r="AK201" s="14">
        <f t="shared" si="164"/>
        <v>2.136562777003313E-12</v>
      </c>
      <c r="AL201" s="22">
        <f t="shared" si="165"/>
        <v>3.9806453659427267E-12</v>
      </c>
      <c r="AM201" s="62">
        <f t="shared" si="193"/>
        <v>290.46664116925689</v>
      </c>
      <c r="AN201" s="62">
        <f ca="1">AVERAGE(OFFSET($AM$3,0,0,'Données projet'!$E$10+1,1))-AVERAGE(OFFSET($H$3,0,0,'Données projet'!$E$10+1,1))</f>
        <v>304.35088214287919</v>
      </c>
      <c r="AO201" s="62">
        <f t="shared" si="205"/>
        <v>288.72611053217599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3.6357050703372803E-14</v>
      </c>
      <c r="BF201" s="14">
        <f t="shared" si="167"/>
        <v>6.1445232567661395E-13</v>
      </c>
      <c r="BG201" s="22">
        <f t="shared" si="168"/>
        <v>1.1334929971951436E-12</v>
      </c>
      <c r="BH201" s="62">
        <f t="shared" si="194"/>
        <v>290.46664116925405</v>
      </c>
      <c r="BI201" s="62">
        <f ca="1">AVERAGE(OFFSET($BH$3,0,0,'Données projet'!$E$11+1,1))-AVERAGE(OFFSET($H$3,0,0,'Données projet'!$E$11+1,1))</f>
        <v>285.09561428624352</v>
      </c>
      <c r="BJ201" s="62">
        <f t="shared" si="206"/>
        <v>261.05678516705564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-9.2222762759774927E-14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272.69564942740931</v>
      </c>
      <c r="CE201" s="62">
        <f t="shared" si="207"/>
        <v>316.57989180609252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2.2737367544323206E-13</v>
      </c>
      <c r="CU201" s="18">
        <f>CT201*VLOOKUP('Données projet'!$B$13,Paramètres!$A$1:$I$89,3,0)*VLOOKUP('Données projet'!$B$13,Paramètres!$A$1:$I$89,5,0)</f>
        <v>1.4897523215040565E-13</v>
      </c>
      <c r="CV201" s="14">
        <f t="shared" si="173"/>
        <v>2.136562777003313E-12</v>
      </c>
      <c r="CW201" s="22">
        <f t="shared" si="174"/>
        <v>3.9806453659427267E-12</v>
      </c>
      <c r="CX201" s="62">
        <f t="shared" si="196"/>
        <v>290.46664116925689</v>
      </c>
      <c r="CY201" s="62">
        <f ca="1">AVERAGE(OFFSET($CX$3,0,0,'Données projet'!$E$13+1,1))-AVERAGE(OFFSET($H$3,0,0,'Données projet'!$E$13+1,1))</f>
        <v>304.35088214287919</v>
      </c>
      <c r="CZ201" s="62">
        <f t="shared" si="208"/>
        <v>288.72611053217599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6.5620042732916778E-14</v>
      </c>
      <c r="DQ201" s="14">
        <f t="shared" si="176"/>
        <v>1.0353460337118015E-12</v>
      </c>
      <c r="DR201" s="22">
        <f t="shared" si="177"/>
        <v>1.9175159164745509E-12</v>
      </c>
      <c r="DS201" s="62">
        <f t="shared" si="197"/>
        <v>290.46664116925484</v>
      </c>
      <c r="DT201" s="62">
        <f ca="1">AVERAGE(OFFSET($DS$3,0,0,'Données projet'!$E$14+1,1))-AVERAGE(OFFSET($H$3,0,0,'Données projet'!$E$14+1,1))</f>
        <v>172.86120068224633</v>
      </c>
      <c r="DU201" s="62">
        <f t="shared" si="209"/>
        <v>269.4995727085078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1.9895196601282805E-13</v>
      </c>
      <c r="EK201" s="18">
        <f>EJ201*VLOOKUP('Données projet'!$B$15,Paramètres!$A$1:$I$89,3,0)*VLOOKUP('Données projet'!$B$15,Paramètres!$A$1:$I$89,5,0)</f>
        <v>1.6759713616920637E-13</v>
      </c>
      <c r="EL201" s="14">
        <f t="shared" si="179"/>
        <v>2.3709043131075133E-12</v>
      </c>
      <c r="EM201" s="22">
        <f t="shared" si="180"/>
        <v>4.4212233574902864E-12</v>
      </c>
      <c r="EN201" s="62">
        <f t="shared" si="198"/>
        <v>290.46664116925734</v>
      </c>
      <c r="EO201" s="62">
        <f ca="1">AVERAGE(OFFSET($EN$3,0,0,'Données projet'!$E$15+1,1))-AVERAGE(OFFSET($H$3,0,0,'Données projet'!$E$15+1,1))</f>
        <v>346.97972840139914</v>
      </c>
      <c r="EP201" s="62">
        <f t="shared" si="210"/>
        <v>158.41433650660613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-1.1368683772161603E-13</v>
      </c>
      <c r="FF201" s="18">
        <f>FE201*VLOOKUP('Données projet'!$B$16,Paramètres!$A$1:$I$89,3,0)*VLOOKUP('Données projet'!$B$16,Paramètres!$A$1:$I$89,5,0)</f>
        <v>-7.4487616075202823E-14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235.88453308732235</v>
      </c>
      <c r="FK201" s="62">
        <f t="shared" si="211"/>
        <v>220.72810812053521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-8.1404323282185943E-13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442.98179778678298</v>
      </c>
      <c r="T202" s="62">
        <f t="shared" si="204"/>
        <v>251.96153561746942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1.4897523215040565E-13</v>
      </c>
      <c r="AK202" s="14">
        <f t="shared" si="164"/>
        <v>2.136562777003313E-12</v>
      </c>
      <c r="AL202" s="22">
        <f t="shared" si="165"/>
        <v>3.9806453659427267E-12</v>
      </c>
      <c r="AM202" s="62">
        <f t="shared" si="193"/>
        <v>290.51637186934011</v>
      </c>
      <c r="AN202" s="62">
        <f ca="1">AVERAGE(OFFSET($AM$3,0,0,'Données projet'!$E$10+1,1))-AVERAGE(OFFSET($H$3,0,0,'Données projet'!$E$10+1,1))</f>
        <v>304.35088214287919</v>
      </c>
      <c r="AO202" s="62">
        <f t="shared" si="205"/>
        <v>288.72611053217599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3.6357050703372803E-14</v>
      </c>
      <c r="BF202" s="14">
        <f t="shared" si="167"/>
        <v>6.1445232567661395E-13</v>
      </c>
      <c r="BG202" s="22">
        <f t="shared" si="168"/>
        <v>1.1334929971951436E-12</v>
      </c>
      <c r="BH202" s="62">
        <f t="shared" si="194"/>
        <v>290.51637186933726</v>
      </c>
      <c r="BI202" s="62">
        <f ca="1">AVERAGE(OFFSET($BH$3,0,0,'Données projet'!$E$11+1,1))-AVERAGE(OFFSET($H$3,0,0,'Données projet'!$E$11+1,1))</f>
        <v>285.09561428624352</v>
      </c>
      <c r="BJ202" s="62">
        <f t="shared" si="206"/>
        <v>261.05678516705564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-9.2222762759774927E-14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272.69564942740931</v>
      </c>
      <c r="CE202" s="62">
        <f t="shared" si="207"/>
        <v>316.57989180609252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2.2737367544323206E-13</v>
      </c>
      <c r="CU202" s="18">
        <f>CT202*VLOOKUP('Données projet'!$B$13,Paramètres!$A$1:$I$89,3,0)*VLOOKUP('Données projet'!$B$13,Paramètres!$A$1:$I$89,5,0)</f>
        <v>1.4897523215040565E-13</v>
      </c>
      <c r="CV202" s="14">
        <f t="shared" si="173"/>
        <v>2.136562777003313E-12</v>
      </c>
      <c r="CW202" s="22">
        <f t="shared" si="174"/>
        <v>3.9806453659427267E-12</v>
      </c>
      <c r="CX202" s="62">
        <f t="shared" si="196"/>
        <v>290.51637186934011</v>
      </c>
      <c r="CY202" s="62">
        <f ca="1">AVERAGE(OFFSET($CX$3,0,0,'Données projet'!$E$13+1,1))-AVERAGE(OFFSET($H$3,0,0,'Données projet'!$E$13+1,1))</f>
        <v>304.35088214287919</v>
      </c>
      <c r="CZ202" s="62">
        <f t="shared" si="208"/>
        <v>288.72611053217599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6.5620042732916778E-14</v>
      </c>
      <c r="DQ202" s="14">
        <f t="shared" si="176"/>
        <v>1.0353460337118015E-12</v>
      </c>
      <c r="DR202" s="22">
        <f t="shared" si="177"/>
        <v>1.9175159164745509E-12</v>
      </c>
      <c r="DS202" s="62">
        <f t="shared" si="197"/>
        <v>290.51637186933806</v>
      </c>
      <c r="DT202" s="62">
        <f ca="1">AVERAGE(OFFSET($DS$3,0,0,'Données projet'!$E$14+1,1))-AVERAGE(OFFSET($H$3,0,0,'Données projet'!$E$14+1,1))</f>
        <v>172.86120068224633</v>
      </c>
      <c r="DU202" s="62">
        <f t="shared" si="209"/>
        <v>269.4995727085078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1.9895196601282805E-13</v>
      </c>
      <c r="EK202" s="18">
        <f>EJ202*VLOOKUP('Données projet'!$B$15,Paramètres!$A$1:$I$89,3,0)*VLOOKUP('Données projet'!$B$15,Paramètres!$A$1:$I$89,5,0)</f>
        <v>1.6759713616920637E-13</v>
      </c>
      <c r="EL202" s="14">
        <f t="shared" si="179"/>
        <v>2.3709043131075133E-12</v>
      </c>
      <c r="EM202" s="22">
        <f t="shared" si="180"/>
        <v>4.4212233574902864E-12</v>
      </c>
      <c r="EN202" s="62">
        <f t="shared" si="198"/>
        <v>290.51637186934056</v>
      </c>
      <c r="EO202" s="62">
        <f ca="1">AVERAGE(OFFSET($EN$3,0,0,'Données projet'!$E$15+1,1))-AVERAGE(OFFSET($H$3,0,0,'Données projet'!$E$15+1,1))</f>
        <v>346.97972840139914</v>
      </c>
      <c r="EP202" s="62">
        <f t="shared" si="210"/>
        <v>158.41433650660613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-1.1368683772161603E-13</v>
      </c>
      <c r="FF202" s="18">
        <f>FE202*VLOOKUP('Données projet'!$B$16,Paramètres!$A$1:$I$89,3,0)*VLOOKUP('Données projet'!$B$16,Paramètres!$A$1:$I$89,5,0)</f>
        <v>-7.4487616075202823E-14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235.88453308732235</v>
      </c>
      <c r="FK202" s="62">
        <f t="shared" si="211"/>
        <v>220.72810812053521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-8.1404323282185943E-13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442.98179778678298</v>
      </c>
      <c r="T203" s="62">
        <f t="shared" si="204"/>
        <v>251.96153561746942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1.4897523215040565E-13</v>
      </c>
      <c r="AK203" s="14">
        <f t="shared" si="164"/>
        <v>2.136562777003313E-12</v>
      </c>
      <c r="AL203" s="22">
        <f t="shared" si="165"/>
        <v>3.9806453659427267E-12</v>
      </c>
      <c r="AM203" s="62">
        <f t="shared" si="193"/>
        <v>290.56523985295809</v>
      </c>
      <c r="AN203" s="62">
        <f ca="1">AVERAGE(OFFSET($AM$3,0,0,'Données projet'!$E$10+1,1))-AVERAGE(OFFSET($H$3,0,0,'Données projet'!$E$10+1,1))</f>
        <v>304.35088214287919</v>
      </c>
      <c r="AO203" s="62">
        <f t="shared" si="205"/>
        <v>288.72611053217599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3.6357050703372803E-14</v>
      </c>
      <c r="BF203" s="14">
        <f t="shared" si="167"/>
        <v>6.1445232567661395E-13</v>
      </c>
      <c r="BG203" s="22">
        <f t="shared" si="168"/>
        <v>1.1334929971951436E-12</v>
      </c>
      <c r="BH203" s="62">
        <f t="shared" si="194"/>
        <v>290.56523985295524</v>
      </c>
      <c r="BI203" s="62">
        <f ca="1">AVERAGE(OFFSET($BH$3,0,0,'Données projet'!$E$11+1,1))-AVERAGE(OFFSET($H$3,0,0,'Données projet'!$E$11+1,1))</f>
        <v>285.09561428624352</v>
      </c>
      <c r="BJ203" s="62">
        <f t="shared" si="206"/>
        <v>261.05678516705564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-9.2222762759774927E-14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272.69564942740931</v>
      </c>
      <c r="CE203" s="62">
        <f t="shared" si="207"/>
        <v>316.57989180609252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2.2737367544323206E-13</v>
      </c>
      <c r="CU203" s="18">
        <f>CT203*VLOOKUP('Données projet'!$B$13,Paramètres!$A$1:$I$89,3,0)*VLOOKUP('Données projet'!$B$13,Paramètres!$A$1:$I$89,5,0)</f>
        <v>1.4897523215040565E-13</v>
      </c>
      <c r="CV203" s="14">
        <f t="shared" si="173"/>
        <v>2.136562777003313E-12</v>
      </c>
      <c r="CW203" s="22">
        <f t="shared" si="174"/>
        <v>3.9806453659427267E-12</v>
      </c>
      <c r="CX203" s="62">
        <f t="shared" si="196"/>
        <v>290.56523985295809</v>
      </c>
      <c r="CY203" s="62">
        <f ca="1">AVERAGE(OFFSET($CX$3,0,0,'Données projet'!$E$13+1,1))-AVERAGE(OFFSET($H$3,0,0,'Données projet'!$E$13+1,1))</f>
        <v>304.35088214287919</v>
      </c>
      <c r="CZ203" s="62">
        <f t="shared" si="208"/>
        <v>288.72611053217599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6.5620042732916778E-14</v>
      </c>
      <c r="DQ203" s="14">
        <f t="shared" si="176"/>
        <v>1.0353460337118015E-12</v>
      </c>
      <c r="DR203" s="22">
        <f t="shared" si="177"/>
        <v>1.9175159164745509E-12</v>
      </c>
      <c r="DS203" s="62">
        <f t="shared" si="197"/>
        <v>290.56523985295604</v>
      </c>
      <c r="DT203" s="62">
        <f ca="1">AVERAGE(OFFSET($DS$3,0,0,'Données projet'!$E$14+1,1))-AVERAGE(OFFSET($H$3,0,0,'Données projet'!$E$14+1,1))</f>
        <v>172.86120068224633</v>
      </c>
      <c r="DU203" s="62">
        <f t="shared" si="209"/>
        <v>269.4995727085078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1.9895196601282805E-13</v>
      </c>
      <c r="EK203" s="18">
        <f>EJ203*VLOOKUP('Données projet'!$B$15,Paramètres!$A$1:$I$89,3,0)*VLOOKUP('Données projet'!$B$15,Paramètres!$A$1:$I$89,5,0)</f>
        <v>1.6759713616920637E-13</v>
      </c>
      <c r="EL203" s="14">
        <f t="shared" si="179"/>
        <v>2.3709043131075133E-12</v>
      </c>
      <c r="EM203" s="22">
        <f t="shared" si="180"/>
        <v>4.4212233574902864E-12</v>
      </c>
      <c r="EN203" s="62">
        <f t="shared" si="198"/>
        <v>290.56523985295854</v>
      </c>
      <c r="EO203" s="62">
        <f ca="1">AVERAGE(OFFSET($EN$3,0,0,'Données projet'!$E$15+1,1))-AVERAGE(OFFSET($H$3,0,0,'Données projet'!$E$15+1,1))</f>
        <v>346.97972840139914</v>
      </c>
      <c r="EP203" s="62">
        <f t="shared" si="210"/>
        <v>158.41433650660613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-1.1368683772161603E-13</v>
      </c>
      <c r="FF203" s="18">
        <f>FE203*VLOOKUP('Données projet'!$B$16,Paramètres!$A$1:$I$89,3,0)*VLOOKUP('Données projet'!$B$16,Paramètres!$A$1:$I$89,5,0)</f>
        <v>-7.4487616075202823E-14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235.88453308732235</v>
      </c>
      <c r="FK203" s="62">
        <f t="shared" si="211"/>
        <v>220.72810812053521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1.2709816152101407</v>
      </c>
      <c r="BA205" s="88">
        <f>EXP(LN('Données projet'!B88)/'Données projet'!A88)</f>
        <v>1.2551904803974363</v>
      </c>
      <c r="BV205" s="88">
        <f>EXP(LN('Données projet'!B114)/'Données projet'!A114)</f>
        <v>1.2457309396155174</v>
      </c>
      <c r="CQ205" s="88">
        <f>EXP(LN('Données projet'!B140)/'Données projet'!A140)</f>
        <v>1.2709816152101407</v>
      </c>
      <c r="DL205" s="88">
        <f>EXP(LN('Données projet'!B166)/'Données projet'!A166)</f>
        <v>1.751249345176924</v>
      </c>
      <c r="EG205" s="88">
        <f>EXP(LN('Données projet'!B192)/'Données projet'!A192)</f>
        <v>1.1457367676485573</v>
      </c>
      <c r="FB205" s="88">
        <f>EXP(LN('Données projet'!B218)/'Données projet'!A218)</f>
        <v>1.2516796742016716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30" zoomScale="90" zoomScaleNormal="90" workbookViewId="0">
      <selection activeCell="N160" sqref="N16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pédonculé</v>
      </c>
      <c r="B6" s="155">
        <f>'Données projet'!D9</f>
        <v>1.6349339999999999</v>
      </c>
      <c r="C6" s="156">
        <f ca="1">IF(OR('Données projet'!B9="",'Données projet'!C9="",'Données projet'!C9=0%),0,Calculateur!S3)</f>
        <v>442.98179778678298</v>
      </c>
      <c r="D6" s="156">
        <f>IF(OR('Données projet'!B9="",'Données projet'!C9="",'Données projet'!C9=0%),0,Calculateur!T3)</f>
        <v>251.96153561746942</v>
      </c>
      <c r="E6" s="156">
        <f ca="1">MIN(C6,D6)</f>
        <v>251.96153561746942</v>
      </c>
      <c r="F6" s="156">
        <f ca="1">E6*B6</f>
        <v>411.94048127321173</v>
      </c>
      <c r="G6" s="156">
        <f ca="1">F6*(100%-'Données projet'!$C$24)*(100%-'Données projet'!$C$25)*(100%-'Données projet'!$C$26)*(100%-'Données projet'!$C$27)</f>
        <v>370.74643314589059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11.8532715</v>
      </c>
      <c r="K6" s="160">
        <f>J6*(100%-'Données projet'!$C$24)*(100%-'Données projet'!$C$25)*(100%-'Données projet'!$C$26)*(100%-'Données projet'!$C$27)</f>
        <v>10.667944350000001</v>
      </c>
      <c r="L6" s="161">
        <f ca="1">G6+I6+K6</f>
        <v>381.41437749589062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Aulne glutineux</v>
      </c>
      <c r="B7" s="163">
        <f>'Données projet'!D10</f>
        <v>0.65405400000000002</v>
      </c>
      <c r="C7" s="156">
        <f ca="1">IF(OR('Données projet'!B10="",'Données projet'!C10="",'Données projet'!C10=0%),0,Calculateur!AN3)</f>
        <v>304.35088214287919</v>
      </c>
      <c r="D7" s="156">
        <f>IF(OR('Données projet'!B10="",'Données projet'!C10="",'Données projet'!C10=0%),0,Calculateur!AO3)</f>
        <v>288.72611053217599</v>
      </c>
      <c r="E7" s="156">
        <f t="shared" ref="E7:E15" ca="1" si="0">MIN(C7,D7)</f>
        <v>288.72611053217599</v>
      </c>
      <c r="F7" s="156">
        <f t="shared" ref="F7:F15" ca="1" si="1">E7*B7</f>
        <v>188.84246749801184</v>
      </c>
      <c r="G7" s="156">
        <f ca="1">F7*(100%-'Données projet'!$C$24)*(100%-'Données projet'!$C$25)*(100%-'Données projet'!$C$26)*(100%-'Données projet'!$C$27)</f>
        <v>169.95822074821066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5.8864860000000006</v>
      </c>
      <c r="K7" s="160">
        <f>J7*(100%-'Données projet'!$C$24)*(100%-'Données projet'!$C$25)*(100%-'Données projet'!$C$26)*(100%-'Données projet'!$C$27)</f>
        <v>5.2978374000000006</v>
      </c>
      <c r="L7" s="161">
        <f t="shared" ref="L7:L15" ca="1" si="2">G7+I7+K7</f>
        <v>175.25605814821066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Tulipier de Virginie</v>
      </c>
      <c r="B8" s="163">
        <f>'Données projet'!D11</f>
        <v>0.49043999999999993</v>
      </c>
      <c r="C8" s="156">
        <f ca="1">IF(OR('Données projet'!B11="",'Données projet'!C11="",'Données projet'!C11=0%),0,Calculateur!BI3)</f>
        <v>285.09561428624352</v>
      </c>
      <c r="D8" s="156">
        <f>IF(OR('Données projet'!B11="",'Données projet'!C11="",'Données projet'!C11=0%),0,Calculateur!BJ3)</f>
        <v>261.05678516705564</v>
      </c>
      <c r="E8" s="156">
        <f t="shared" ca="1" si="0"/>
        <v>261.05678516705564</v>
      </c>
      <c r="F8" s="156">
        <f t="shared" ca="1" si="1"/>
        <v>128.03268971733075</v>
      </c>
      <c r="G8" s="156">
        <f ca="1">F8*(100%-'Données projet'!$C$24)*(100%-'Données projet'!$C$25)*(100%-'Données projet'!$C$26)*(100%-'Données projet'!$C$27)</f>
        <v>115.22942074559768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6.4983299999999993</v>
      </c>
      <c r="K8" s="160">
        <f>J8*(100%-'Données projet'!$C$24)*(100%-'Données projet'!$C$25)*(100%-'Données projet'!$C$26)*(100%-'Données projet'!$C$27)</f>
        <v>5.8484969999999992</v>
      </c>
      <c r="L8" s="161">
        <f t="shared" ca="1" si="2"/>
        <v>121.07791774559767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Bouleau verruqueux</v>
      </c>
      <c r="B9" s="163">
        <f>'Données projet'!D12</f>
        <v>0.32682599999999995</v>
      </c>
      <c r="C9" s="156">
        <f ca="1">IF(OR('Données projet'!B12="",'Données projet'!C12="",'Données projet'!C12=0%),0,Calculateur!CD3)</f>
        <v>272.69564942740931</v>
      </c>
      <c r="D9" s="156">
        <f>IF(OR('Données projet'!B12="",'Données projet'!C12="",'Données projet'!C12=0%),0,Calculateur!CE3)</f>
        <v>316.57989180609252</v>
      </c>
      <c r="E9" s="156">
        <f t="shared" ca="1" si="0"/>
        <v>272.69564942740931</v>
      </c>
      <c r="F9" s="156">
        <f t="shared" ca="1" si="1"/>
        <v>89.124028319762459</v>
      </c>
      <c r="G9" s="156">
        <f ca="1">F9*(100%-'Données projet'!$C$24)*(100%-'Données projet'!$C$25)*(100%-'Données projet'!$C$26)*(100%-'Données projet'!$C$27)</f>
        <v>80.211625487786222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3.2682599999999997</v>
      </c>
      <c r="K9" s="160">
        <f>J9*(100%-'Données projet'!$C$24)*(100%-'Données projet'!$C$25)*(100%-'Données projet'!$C$26)*(100%-'Données projet'!$C$27)</f>
        <v>2.9414339999999997</v>
      </c>
      <c r="L9" s="161">
        <f t="shared" ca="1" si="2"/>
        <v>83.153059487786223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Aulne à feuilles en cœur</v>
      </c>
      <c r="B10" s="163">
        <f>'Données projet'!D13</f>
        <v>0.16361399999999998</v>
      </c>
      <c r="C10" s="156">
        <f ca="1">IF(OR('Données projet'!B13="",'Données projet'!C13="",'Données projet'!C13=0%),0,Calculateur!CY3)</f>
        <v>304.35088214287919</v>
      </c>
      <c r="D10" s="156">
        <f>IF(OR('Données projet'!B13="",'Données projet'!C13="",'Données projet'!C13=0%),0,Calculateur!CZ3)</f>
        <v>288.72611053217599</v>
      </c>
      <c r="E10" s="156">
        <f t="shared" ca="1" si="0"/>
        <v>288.72611053217599</v>
      </c>
      <c r="F10" s="156">
        <f t="shared" ca="1" si="1"/>
        <v>47.23963384861144</v>
      </c>
      <c r="G10" s="156">
        <f ca="1">F10*(100%-'Données projet'!$C$24)*(100%-'Données projet'!$C$25)*(100%-'Données projet'!$C$26)*(100%-'Données projet'!$C$27)</f>
        <v>42.515670463750297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1.4725259999999998</v>
      </c>
      <c r="K10" s="160">
        <f>J10*(100%-'Données projet'!$C$24)*(100%-'Données projet'!$C$25)*(100%-'Données projet'!$C$26)*(100%-'Données projet'!$C$27)</f>
        <v>1.3252733999999999</v>
      </c>
      <c r="L10" s="161">
        <f t="shared" ca="1" si="2"/>
        <v>43.840943863750297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Saule</v>
      </c>
      <c r="B11" s="163">
        <f>'Données projet'!D14</f>
        <v>7.5173999999999991E-2</v>
      </c>
      <c r="C11" s="156">
        <f ca="1">IF(OR('Données projet'!B14="",'Données projet'!C14="",'Données projet'!C14=0%),0,Calculateur!DT3)</f>
        <v>172.86120068224633</v>
      </c>
      <c r="D11" s="156">
        <f>IF(OR('Données projet'!B14="",'Données projet'!C14="",'Données projet'!C14=0%),0,Calculateur!DU3)</f>
        <v>269.4995727085078</v>
      </c>
      <c r="E11" s="156">
        <f t="shared" ca="1" si="0"/>
        <v>172.86120068224633</v>
      </c>
      <c r="F11" s="156">
        <f t="shared" ca="1" si="1"/>
        <v>12.994667900087185</v>
      </c>
      <c r="G11" s="156">
        <f ca="1">F11*(100%-'Données projet'!$C$24)*(100%-'Données projet'!$C$25)*(100%-'Données projet'!$C$26)*(100%-'Données projet'!$C$27)</f>
        <v>11.695201110078466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1.7829730769230767</v>
      </c>
      <c r="K11" s="160">
        <f>J11*(100%-'Données projet'!$C$24)*(100%-'Données projet'!$C$25)*(100%-'Données projet'!$C$26)*(100%-'Données projet'!$C$27)</f>
        <v>1.6046757692307692</v>
      </c>
      <c r="L11" s="161">
        <f t="shared" ca="1" si="2"/>
        <v>13.299876879309235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Chêne pédonculé</v>
      </c>
      <c r="B12" s="163">
        <f>'Données projet'!D15</f>
        <v>0.22511999999999999</v>
      </c>
      <c r="C12" s="156">
        <f ca="1">IF(OR('Données projet'!B15="",'Données projet'!C15="",'Données projet'!C15=0%),0,Calculateur!EO3)</f>
        <v>346.97972840139914</v>
      </c>
      <c r="D12" s="156">
        <f>IF(OR('Données projet'!B15="",'Données projet'!C15="",'Données projet'!C15=0%),0,Calculateur!EP3)</f>
        <v>158.41433650660613</v>
      </c>
      <c r="E12" s="156">
        <f t="shared" ca="1" si="0"/>
        <v>158.41433650660613</v>
      </c>
      <c r="F12" s="156">
        <f t="shared" ca="1" si="1"/>
        <v>35.662235434367169</v>
      </c>
      <c r="G12" s="156">
        <f ca="1">F12*(100%-'Données projet'!$C$24)*(100%-'Données projet'!$C$25)*(100%-'Données projet'!$C$26)*(100%-'Données projet'!$C$27)</f>
        <v>32.096011890930455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32.096011890930455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Aulne glutineux</v>
      </c>
      <c r="B13" s="163">
        <f>'Données projet'!D16</f>
        <v>0.44983799999999996</v>
      </c>
      <c r="C13" s="156">
        <f ca="1">IF(OR('Données projet'!B16="",'Données projet'!C16="",'Données projet'!C16=0%),0,Calculateur!FJ3)</f>
        <v>235.88453308732235</v>
      </c>
      <c r="D13" s="156">
        <f>IF(OR('Données projet'!B16="",'Données projet'!C16="",'Données projet'!C16=0%),0,Calculateur!FK3)</f>
        <v>220.72810812053521</v>
      </c>
      <c r="E13" s="156">
        <f t="shared" ca="1" si="0"/>
        <v>220.72810812053521</v>
      </c>
      <c r="F13" s="156">
        <f t="shared" ca="1" si="1"/>
        <v>99.291890700725304</v>
      </c>
      <c r="G13" s="156">
        <f ca="1">F13*(100%-'Données projet'!$C$24)*(100%-'Données projet'!$C$25)*(100%-'Données projet'!$C$26)*(100%-'Données projet'!$C$27)</f>
        <v>89.362701630652779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2.6990279999999998</v>
      </c>
      <c r="K13" s="160">
        <f>J13*(100%-'Données projet'!$C$24)*(100%-'Données projet'!$C$25)*(100%-'Données projet'!$C$26)*(100%-'Données projet'!$C$27)</f>
        <v>2.4291251999999997</v>
      </c>
      <c r="L13" s="161">
        <f t="shared" ca="1" si="2"/>
        <v>91.791826830652781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1013.1280946921079</v>
      </c>
      <c r="G16" s="175">
        <f t="shared" ca="1" si="3"/>
        <v>911.81528522289716</v>
      </c>
      <c r="H16" s="176">
        <f t="shared" si="3"/>
        <v>0</v>
      </c>
      <c r="I16" s="176">
        <f t="shared" si="3"/>
        <v>0</v>
      </c>
      <c r="J16" s="177">
        <f t="shared" si="3"/>
        <v>33.460874576923075</v>
      </c>
      <c r="K16" s="177">
        <f t="shared" si="3"/>
        <v>30.114787119230769</v>
      </c>
      <c r="L16" s="178">
        <f t="shared" ca="1" si="3"/>
        <v>941.93007234212791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pédonculé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Aulne glutineux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Tulipier de Virginie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Bouleau verruqueux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Aulne à feuilles en cœur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Saule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Chêne pédonculé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Aulne glutineux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L10" zoomScale="80" zoomScaleNormal="8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pédonculé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663.20320739521912</v>
      </c>
      <c r="U10" s="190">
        <f>'Données projet'!D9</f>
        <v>1.6349339999999999</v>
      </c>
      <c r="V10" s="189">
        <f>U10*T10</f>
        <v>1084.2934726794952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Aulne glutineux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664.20516109476398</v>
      </c>
      <c r="U11" s="190">
        <f>'Données projet'!D10</f>
        <v>0.65405400000000002</v>
      </c>
      <c r="V11" s="189">
        <f>U11*T11</f>
        <v>434.4260424346748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Tulipier de Virginie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1588.4890374231845</v>
      </c>
      <c r="U12" s="190">
        <f>'Données projet'!D11</f>
        <v>0.49043999999999993</v>
      </c>
      <c r="V12" s="189">
        <f t="shared" ref="V12:V19" si="0">U12*T12</f>
        <v>779.05856351382647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Bouleau verruqueux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1274.1299879559954</v>
      </c>
      <c r="U13" s="190">
        <f>'Données projet'!D12</f>
        <v>0.32682599999999995</v>
      </c>
      <c r="V13" s="189">
        <f t="shared" si="0"/>
        <v>416.4188074437061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pédonculé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Aulne à feuilles en cœur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664.20516109476398</v>
      </c>
      <c r="U14" s="190">
        <f>'Données projet'!D13</f>
        <v>0.16361399999999998</v>
      </c>
      <c r="V14" s="189">
        <f t="shared" si="0"/>
        <v>108.6732632273587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6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Saule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1076.202860481779</v>
      </c>
      <c r="U15" s="190">
        <f>'Données projet'!D14</f>
        <v>7.5173999999999991E-2</v>
      </c>
      <c r="V15" s="189">
        <f t="shared" si="0"/>
        <v>80.902473833857243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6"/>
      <c r="H16" s="203"/>
      <c r="I16" s="204"/>
      <c r="J16" s="216"/>
      <c r="K16" s="225"/>
      <c r="L16" s="322" t="s">
        <v>254</v>
      </c>
      <c r="M16" s="323"/>
      <c r="N16" s="2"/>
      <c r="O16" s="25"/>
      <c r="P16" s="25"/>
      <c r="Q16" s="265"/>
      <c r="R16" s="25"/>
      <c r="S16" s="185" t="str">
        <f>B200</f>
        <v>Chêne pédonculé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0.22511999999999999</v>
      </c>
      <c r="V16" s="189">
        <f t="shared" si="0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6"/>
      <c r="J17" s="216"/>
      <c r="K17" s="225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Aulne glutineux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0.44983799999999996</v>
      </c>
      <c r="V17" s="189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6"/>
      <c r="J18" s="216"/>
      <c r="K18" s="225"/>
      <c r="L18" s="293" t="s">
        <v>255</v>
      </c>
      <c r="M18" s="295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6"/>
      <c r="H19" s="232" t="s">
        <v>178</v>
      </c>
      <c r="I19" s="232" t="s">
        <v>287</v>
      </c>
      <c r="J19" s="260"/>
      <c r="K19" s="183"/>
      <c r="L19" s="322" t="s">
        <v>288</v>
      </c>
      <c r="M19" s="323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6"/>
      <c r="H20" s="203">
        <v>0</v>
      </c>
      <c r="I20" s="204">
        <v>7000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4" t="s">
        <v>260</v>
      </c>
      <c r="M23" s="324"/>
      <c r="N23" s="324"/>
      <c r="O23" s="25"/>
      <c r="P23" s="25"/>
      <c r="Q23" s="265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-25236.227376867078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0</v>
      </c>
      <c r="C24" s="206"/>
      <c r="D24" s="194">
        <f t="shared" ref="D24:D42" si="1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14038.986486514481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29</v>
      </c>
      <c r="C25" s="206">
        <v>10</v>
      </c>
      <c r="D25" s="194">
        <f t="shared" si="1"/>
        <v>290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180</v>
      </c>
      <c r="Q25" s="265"/>
      <c r="R25" s="25"/>
      <c r="S25" s="198" t="s">
        <v>266</v>
      </c>
      <c r="T25" s="340">
        <f ca="1">T23-T24</f>
        <v>-39275.213863381563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0</v>
      </c>
      <c r="C26" s="206"/>
      <c r="D26" s="194">
        <f t="shared" si="1"/>
        <v>0</v>
      </c>
      <c r="E26" s="206"/>
      <c r="F26" s="264"/>
      <c r="G26" s="259"/>
      <c r="H26" s="203"/>
      <c r="I26" s="204"/>
      <c r="K26" s="225"/>
      <c r="L26" s="327" t="s">
        <v>258</v>
      </c>
      <c r="M26" s="328"/>
      <c r="N26" s="328"/>
      <c r="O26" s="328"/>
      <c r="P26" s="329"/>
      <c r="Q26" s="265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42</v>
      </c>
      <c r="C27" s="206">
        <v>15</v>
      </c>
      <c r="D27" s="194">
        <f t="shared" si="1"/>
        <v>630</v>
      </c>
      <c r="E27" s="206"/>
      <c r="F27" s="264"/>
      <c r="G27" s="259"/>
      <c r="H27" s="203"/>
      <c r="I27" s="204"/>
      <c r="K27" s="225"/>
      <c r="L27" s="330"/>
      <c r="M27" s="331"/>
      <c r="N27" s="331"/>
      <c r="O27" s="331"/>
      <c r="P27" s="332"/>
      <c r="Q27" s="265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0</v>
      </c>
      <c r="C28" s="206"/>
      <c r="D28" s="194">
        <f t="shared" si="1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42</v>
      </c>
      <c r="C29" s="206">
        <v>20</v>
      </c>
      <c r="D29" s="194">
        <f t="shared" si="1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0</v>
      </c>
      <c r="C30" s="206"/>
      <c r="D30" s="194">
        <f t="shared" si="1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3492.2851956503687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42</v>
      </c>
      <c r="C31" s="206">
        <v>25</v>
      </c>
      <c r="D31" s="194">
        <f t="shared" si="1"/>
        <v>1050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42</v>
      </c>
      <c r="C33" s="206">
        <v>30</v>
      </c>
      <c r="D33" s="194">
        <f t="shared" si="1"/>
        <v>1260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180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2"/>
        <v>172.2488038277512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42</v>
      </c>
      <c r="C35" s="206">
        <v>40</v>
      </c>
      <c r="D35" s="194">
        <f t="shared" si="1"/>
        <v>1680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2"/>
        <v>164.83139122272846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42</v>
      </c>
      <c r="C36" s="206">
        <v>50</v>
      </c>
      <c r="D36" s="194">
        <f t="shared" si="1"/>
        <v>2100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157.73338872988367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100</v>
      </c>
      <c r="B37" s="193">
        <f>'Données projet'!D50</f>
        <v>42</v>
      </c>
      <c r="C37" s="206">
        <v>60</v>
      </c>
      <c r="D37" s="194">
        <f t="shared" si="1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150.94104184677869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110</v>
      </c>
      <c r="B38" s="193">
        <f>'Données projet'!D51</f>
        <v>39</v>
      </c>
      <c r="C38" s="206">
        <v>70</v>
      </c>
      <c r="D38" s="194">
        <f t="shared" si="1"/>
        <v>2730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144.44118837012314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120</v>
      </c>
      <c r="B39" s="193">
        <f>'Données projet'!D52</f>
        <v>35</v>
      </c>
      <c r="C39" s="206">
        <v>80</v>
      </c>
      <c r="D39" s="194">
        <f t="shared" si="1"/>
        <v>2800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138.22123289007001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130</v>
      </c>
      <c r="B40" s="193">
        <f>'Données projet'!D53</f>
        <v>31</v>
      </c>
      <c r="C40" s="206">
        <v>90</v>
      </c>
      <c r="D40" s="194">
        <f t="shared" si="1"/>
        <v>2790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132.26912238284211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140</v>
      </c>
      <c r="B41" s="193">
        <f>'Données projet'!D54</f>
        <v>27</v>
      </c>
      <c r="C41" s="206">
        <v>120</v>
      </c>
      <c r="D41" s="194">
        <f t="shared" si="1"/>
        <v>3240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126.57332285439441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293</v>
      </c>
      <c r="C42" s="206">
        <v>200</v>
      </c>
      <c r="D42" s="194">
        <f t="shared" si="1"/>
        <v>58600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121.12279698985112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115.90698276540779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110.91577298125148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Aulne glutineux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106.13949567583876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101.56889538357775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97.195115199595961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93.009679616838227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89.00447810223757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85.171749380131644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81.504066392470492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77.994321906670336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74.635714743225222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71.42173659638776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15</v>
      </c>
      <c r="B55" s="193">
        <f>'Données projet'!D63</f>
        <v>0</v>
      </c>
      <c r="C55" s="204"/>
      <c r="D55" s="191">
        <f t="shared" ref="D55:D73" si="3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68.346159422380651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20</v>
      </c>
      <c r="B56" s="193">
        <f>'Données projet'!D64</f>
        <v>0</v>
      </c>
      <c r="C56" s="206"/>
      <c r="D56" s="191">
        <f t="shared" si="3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65.403023370699188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25</v>
      </c>
      <c r="B57" s="193">
        <f>'Données projet'!D65</f>
        <v>36</v>
      </c>
      <c r="C57" s="206">
        <v>10</v>
      </c>
      <c r="D57" s="191">
        <f t="shared" si="3"/>
        <v>360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62.586625235118852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30</v>
      </c>
      <c r="B58" s="193">
        <f>'Données projet'!D66</f>
        <v>0</v>
      </c>
      <c r="C58" s="206"/>
      <c r="D58" s="191">
        <f t="shared" si="3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59.891507402027614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35</v>
      </c>
      <c r="B59" s="193">
        <f>'Données projet'!D67</f>
        <v>48</v>
      </c>
      <c r="C59" s="206">
        <v>10</v>
      </c>
      <c r="D59" s="191">
        <f t="shared" si="3"/>
        <v>480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57.312447274667591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40</v>
      </c>
      <c r="B60" s="193">
        <f>'Données projet'!D68</f>
        <v>0</v>
      </c>
      <c r="C60" s="206"/>
      <c r="D60" s="191">
        <f t="shared" si="3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54.84444715279195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45</v>
      </c>
      <c r="B61" s="193">
        <f>'Données projet'!D69</f>
        <v>50</v>
      </c>
      <c r="C61" s="206">
        <v>15</v>
      </c>
      <c r="D61" s="191">
        <f t="shared" si="3"/>
        <v>750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52.482724548126285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50</v>
      </c>
      <c r="B62" s="193">
        <f>'Données projet'!D70</f>
        <v>0</v>
      </c>
      <c r="C62" s="206"/>
      <c r="D62" s="191">
        <f t="shared" si="3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50.222702916867249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55</v>
      </c>
      <c r="B63" s="193">
        <f>'Données projet'!D71</f>
        <v>47</v>
      </c>
      <c r="C63" s="206">
        <v>20</v>
      </c>
      <c r="D63" s="191">
        <f t="shared" si="3"/>
        <v>940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48.060002791260544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60</v>
      </c>
      <c r="B64" s="193">
        <f>'Données projet'!D72</f>
        <v>0</v>
      </c>
      <c r="C64" s="206"/>
      <c r="D64" s="191">
        <f t="shared" si="3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2"/>
        <v>45.990433293072279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65</v>
      </c>
      <c r="B65" s="193">
        <f>'Données projet'!D73</f>
        <v>42</v>
      </c>
      <c r="C65" s="204">
        <v>25</v>
      </c>
      <c r="D65" s="191">
        <f t="shared" si="3"/>
        <v>1050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4">$P$25/(1+$M$4)^O65</f>
        <v>44.009984012509385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70</v>
      </c>
      <c r="B66" s="193">
        <f>'Données projet'!D74</f>
        <v>0</v>
      </c>
      <c r="C66" s="204"/>
      <c r="D66" s="191">
        <f t="shared" si="3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4"/>
        <v>42.114817236851088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75</v>
      </c>
      <c r="B67" s="193">
        <f>'Données projet'!D75</f>
        <v>37</v>
      </c>
      <c r="C67" s="204">
        <v>25</v>
      </c>
      <c r="D67" s="191">
        <f t="shared" si="3"/>
        <v>925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4"/>
        <v>40.301260513733105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80</v>
      </c>
      <c r="B68" s="193">
        <f>'Données projet'!D76</f>
        <v>0</v>
      </c>
      <c r="C68" s="206"/>
      <c r="D68" s="191">
        <f t="shared" si="3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4"/>
        <v>38.565799534672827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85</v>
      </c>
      <c r="B69" s="193">
        <f>'Données projet'!D77</f>
        <v>0</v>
      </c>
      <c r="C69" s="206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4"/>
        <v>36.905071325045775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90</v>
      </c>
      <c r="B70" s="193">
        <f>'Données projet'!D78</f>
        <v>281</v>
      </c>
      <c r="C70" s="206">
        <v>30</v>
      </c>
      <c r="D70" s="191">
        <f t="shared" si="3"/>
        <v>8430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4"/>
        <v>35.315857727316533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4"/>
        <v>33.795079164896208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3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4"/>
        <v>32.339788674541829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4"/>
        <v>30.947166195733814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str">
        <f>IF(O73+1&lt;=MIN('Données projet'!$E$9:$E$18),O73+1,"STOP")</f>
        <v>STOP</v>
      </c>
      <c r="P74" s="197" t="e">
        <f t="shared" si="4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4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Tulipier de Virginie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4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4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4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4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4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4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4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4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4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53</v>
      </c>
      <c r="C85" s="206">
        <v>10</v>
      </c>
      <c r="D85" s="191">
        <f>B85*C85</f>
        <v>530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4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5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4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40</v>
      </c>
      <c r="B87" s="193">
        <f>'Données projet'!D90</f>
        <v>135</v>
      </c>
      <c r="C87" s="204">
        <v>15</v>
      </c>
      <c r="D87" s="191">
        <f t="shared" si="5"/>
        <v>2025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4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50</v>
      </c>
      <c r="B88" s="193">
        <f>'Données projet'!D91</f>
        <v>57</v>
      </c>
      <c r="C88" s="204">
        <v>20</v>
      </c>
      <c r="D88" s="191">
        <f t="shared" si="5"/>
        <v>1140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4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60</v>
      </c>
      <c r="B89" s="193">
        <f>'Données projet'!D92</f>
        <v>0</v>
      </c>
      <c r="C89" s="204"/>
      <c r="D89" s="191">
        <f t="shared" si="5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4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70</v>
      </c>
      <c r="B90" s="193">
        <f>'Données projet'!D93</f>
        <v>0</v>
      </c>
      <c r="C90" s="204"/>
      <c r="D90" s="191">
        <f t="shared" si="5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4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80</v>
      </c>
      <c r="B91" s="193">
        <f>'Données projet'!D94</f>
        <v>378.20512820512818</v>
      </c>
      <c r="C91" s="204">
        <v>80</v>
      </c>
      <c r="D91" s="191">
        <f t="shared" si="5"/>
        <v>30256.410256410254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4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5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4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5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4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5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4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5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4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5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4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5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6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5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6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5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6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5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6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5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6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5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6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5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6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5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Bouleau verruqueux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15</v>
      </c>
      <c r="B117" s="193">
        <f>'Données projet'!D115</f>
        <v>0</v>
      </c>
      <c r="C117" s="204"/>
      <c r="D117" s="191">
        <f t="shared" ref="D117:D135" si="7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20</v>
      </c>
      <c r="B118" s="193">
        <f>'Données projet'!D116</f>
        <v>40</v>
      </c>
      <c r="C118" s="204">
        <v>10</v>
      </c>
      <c r="D118" s="191">
        <f t="shared" si="7"/>
        <v>400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25</v>
      </c>
      <c r="B119" s="193">
        <f>'Données projet'!D117</f>
        <v>0</v>
      </c>
      <c r="C119" s="204"/>
      <c r="D119" s="191">
        <f t="shared" si="7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30</v>
      </c>
      <c r="B120" s="193">
        <f>'Données projet'!D118</f>
        <v>0</v>
      </c>
      <c r="C120" s="204"/>
      <c r="D120" s="191">
        <f t="shared" si="7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35</v>
      </c>
      <c r="B121" s="193">
        <f>'Données projet'!D119</f>
        <v>76</v>
      </c>
      <c r="C121" s="204">
        <v>15</v>
      </c>
      <c r="D121" s="191">
        <f t="shared" si="7"/>
        <v>1140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40</v>
      </c>
      <c r="B122" s="193">
        <f>'Données projet'!D120</f>
        <v>0</v>
      </c>
      <c r="C122" s="204"/>
      <c r="D122" s="191">
        <f t="shared" si="7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45</v>
      </c>
      <c r="B123" s="193">
        <f>'Données projet'!D121</f>
        <v>0</v>
      </c>
      <c r="C123" s="204"/>
      <c r="D123" s="191">
        <f t="shared" si="7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50</v>
      </c>
      <c r="B124" s="193">
        <f>'Données projet'!D122</f>
        <v>0</v>
      </c>
      <c r="C124" s="204"/>
      <c r="D124" s="191">
        <f t="shared" si="7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55</v>
      </c>
      <c r="B125" s="193">
        <f>'Données projet'!D123</f>
        <v>0</v>
      </c>
      <c r="C125" s="204"/>
      <c r="D125" s="191">
        <f t="shared" si="7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60</v>
      </c>
      <c r="B126" s="193">
        <f>'Données projet'!D124</f>
        <v>303</v>
      </c>
      <c r="C126" s="204">
        <v>40</v>
      </c>
      <c r="D126" s="191">
        <f t="shared" si="7"/>
        <v>12120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7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7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7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7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7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7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7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7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7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Aulne à feuilles en cœur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8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20</v>
      </c>
      <c r="B149" s="187">
        <f>'Données projet'!D142</f>
        <v>0</v>
      </c>
      <c r="C149" s="204"/>
      <c r="D149" s="194">
        <f t="shared" si="8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25</v>
      </c>
      <c r="B150" s="187">
        <f>'Données projet'!D143</f>
        <v>36</v>
      </c>
      <c r="C150" s="206">
        <v>10</v>
      </c>
      <c r="D150" s="194">
        <f t="shared" si="8"/>
        <v>360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7">
        <f>'Données projet'!D144</f>
        <v>0</v>
      </c>
      <c r="C151" s="206"/>
      <c r="D151" s="194">
        <f t="shared" si="8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35</v>
      </c>
      <c r="B152" s="187">
        <f>'Données projet'!D145</f>
        <v>48</v>
      </c>
      <c r="C152" s="206">
        <v>10</v>
      </c>
      <c r="D152" s="194">
        <f t="shared" si="8"/>
        <v>480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40</v>
      </c>
      <c r="B153" s="187">
        <f>'Données projet'!D146</f>
        <v>0</v>
      </c>
      <c r="C153" s="206"/>
      <c r="D153" s="194">
        <f t="shared" si="8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45</v>
      </c>
      <c r="B154" s="187">
        <f>'Données projet'!D147</f>
        <v>50</v>
      </c>
      <c r="C154" s="206">
        <v>15</v>
      </c>
      <c r="D154" s="194">
        <f t="shared" si="8"/>
        <v>750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50</v>
      </c>
      <c r="B155" s="187">
        <f>'Données projet'!D148</f>
        <v>0</v>
      </c>
      <c r="C155" s="206"/>
      <c r="D155" s="194">
        <f t="shared" si="8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55</v>
      </c>
      <c r="B156" s="187">
        <f>'Données projet'!D149</f>
        <v>47</v>
      </c>
      <c r="C156" s="206">
        <v>20</v>
      </c>
      <c r="D156" s="194">
        <f t="shared" si="8"/>
        <v>940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60</v>
      </c>
      <c r="B157" s="187">
        <f>'Données projet'!D150</f>
        <v>0</v>
      </c>
      <c r="C157" s="206"/>
      <c r="D157" s="194">
        <f t="shared" si="8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65</v>
      </c>
      <c r="B158" s="187">
        <f>'Données projet'!D151</f>
        <v>42</v>
      </c>
      <c r="C158" s="204">
        <v>25</v>
      </c>
      <c r="D158" s="194">
        <f t="shared" si="8"/>
        <v>1050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70</v>
      </c>
      <c r="B159" s="187">
        <f>'Données projet'!D152</f>
        <v>0</v>
      </c>
      <c r="C159" s="204"/>
      <c r="D159" s="194">
        <f t="shared" si="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75</v>
      </c>
      <c r="B160" s="187">
        <f>'Données projet'!D153</f>
        <v>37</v>
      </c>
      <c r="C160" s="204">
        <v>25</v>
      </c>
      <c r="D160" s="194">
        <f t="shared" si="8"/>
        <v>925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80</v>
      </c>
      <c r="B161" s="187">
        <f>'Données projet'!D154</f>
        <v>0</v>
      </c>
      <c r="C161" s="206"/>
      <c r="D161" s="194">
        <f t="shared" si="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85</v>
      </c>
      <c r="B162" s="187">
        <f>'Données projet'!D155</f>
        <v>0</v>
      </c>
      <c r="C162" s="206"/>
      <c r="D162" s="194">
        <f t="shared" si="8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90</v>
      </c>
      <c r="B163" s="187">
        <f>'Données projet'!D156</f>
        <v>281</v>
      </c>
      <c r="C163" s="206">
        <v>30</v>
      </c>
      <c r="D163" s="194">
        <f t="shared" si="8"/>
        <v>8430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8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8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8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Saule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6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8</v>
      </c>
      <c r="B179" s="193">
        <f>'Données projet'!D167</f>
        <v>0</v>
      </c>
      <c r="C179" s="206"/>
      <c r="D179" s="191">
        <f t="shared" ref="D179:D197" si="9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10</v>
      </c>
      <c r="B180" s="193">
        <f>'Données projet'!D168</f>
        <v>15.384615384615383</v>
      </c>
      <c r="C180" s="206">
        <v>5</v>
      </c>
      <c r="D180" s="191">
        <f t="shared" si="9"/>
        <v>76.92307692307692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12</v>
      </c>
      <c r="B181" s="193">
        <f>'Données projet'!D169</f>
        <v>0</v>
      </c>
      <c r="C181" s="206"/>
      <c r="D181" s="191">
        <f t="shared" si="9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14</v>
      </c>
      <c r="B182" s="193">
        <f>'Données projet'!D170</f>
        <v>16.025641025641026</v>
      </c>
      <c r="C182" s="206">
        <v>10</v>
      </c>
      <c r="D182" s="191">
        <f t="shared" si="9"/>
        <v>160.25641025641025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16</v>
      </c>
      <c r="B183" s="193">
        <f>'Données projet'!D171</f>
        <v>0</v>
      </c>
      <c r="C183" s="206"/>
      <c r="D183" s="191">
        <f t="shared" si="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18</v>
      </c>
      <c r="B184" s="193">
        <f>'Données projet'!D172</f>
        <v>16.666666666666668</v>
      </c>
      <c r="C184" s="206">
        <v>10</v>
      </c>
      <c r="D184" s="191">
        <f t="shared" si="9"/>
        <v>166.66666666666669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20</v>
      </c>
      <c r="B185" s="193">
        <f>'Données projet'!D173</f>
        <v>0</v>
      </c>
      <c r="C185" s="206"/>
      <c r="D185" s="191">
        <f t="shared" si="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22</v>
      </c>
      <c r="B186" s="193">
        <f>'Données projet'!D174</f>
        <v>16.666666666666668</v>
      </c>
      <c r="C186" s="206">
        <v>10</v>
      </c>
      <c r="D186" s="191">
        <f t="shared" si="9"/>
        <v>166.66666666666669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24</v>
      </c>
      <c r="B187" s="193">
        <f>'Données projet'!D175</f>
        <v>0</v>
      </c>
      <c r="C187" s="206"/>
      <c r="D187" s="191">
        <f t="shared" si="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26</v>
      </c>
      <c r="B188" s="193">
        <f>'Données projet'!D176</f>
        <v>15.384615384615383</v>
      </c>
      <c r="C188" s="206">
        <v>10</v>
      </c>
      <c r="D188" s="191">
        <f t="shared" si="9"/>
        <v>153.84615384615384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28</v>
      </c>
      <c r="B189" s="193">
        <f>'Données projet'!D177</f>
        <v>0</v>
      </c>
      <c r="C189" s="206"/>
      <c r="D189" s="191">
        <f t="shared" si="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30</v>
      </c>
      <c r="B190" s="193">
        <f>'Données projet'!D178</f>
        <v>14.743589743589743</v>
      </c>
      <c r="C190" s="206">
        <v>10</v>
      </c>
      <c r="D190" s="191">
        <f t="shared" si="9"/>
        <v>147.43589743589743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32</v>
      </c>
      <c r="B191" s="193">
        <f>'Données projet'!D179</f>
        <v>0</v>
      </c>
      <c r="C191" s="206"/>
      <c r="D191" s="191">
        <f t="shared" si="9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34</v>
      </c>
      <c r="B192" s="193">
        <f>'Données projet'!D180</f>
        <v>14.102564102564102</v>
      </c>
      <c r="C192" s="206">
        <v>15</v>
      </c>
      <c r="D192" s="191">
        <f t="shared" si="9"/>
        <v>211.53846153846155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36</v>
      </c>
      <c r="B193" s="193">
        <f>'Données projet'!D181</f>
        <v>0</v>
      </c>
      <c r="C193" s="206"/>
      <c r="D193" s="191">
        <f t="shared" si="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38</v>
      </c>
      <c r="B194" s="193">
        <f>'Données projet'!D182</f>
        <v>0</v>
      </c>
      <c r="C194" s="206"/>
      <c r="D194" s="191">
        <f t="shared" si="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40</v>
      </c>
      <c r="B195" s="193">
        <f>'Données projet'!D183</f>
        <v>193.58974358974359</v>
      </c>
      <c r="C195" s="206">
        <v>20</v>
      </c>
      <c r="D195" s="191">
        <f t="shared" si="9"/>
        <v>3871.7948717948721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Chêne pédonculé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25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30</v>
      </c>
      <c r="B210" s="193">
        <f>'Données projet'!D193</f>
        <v>0</v>
      </c>
      <c r="C210" s="206"/>
      <c r="D210" s="191">
        <f t="shared" ref="D210:D228" si="10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35</v>
      </c>
      <c r="B211" s="193">
        <f>'Données projet'!D194</f>
        <v>13</v>
      </c>
      <c r="C211" s="206"/>
      <c r="D211" s="191">
        <f t="shared" si="10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40</v>
      </c>
      <c r="B212" s="193">
        <f>'Données projet'!D195</f>
        <v>0</v>
      </c>
      <c r="C212" s="206"/>
      <c r="D212" s="191">
        <f t="shared" si="10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45</v>
      </c>
      <c r="B213" s="193">
        <f>'Données projet'!D196</f>
        <v>27</v>
      </c>
      <c r="C213" s="206"/>
      <c r="D213" s="191">
        <f t="shared" si="10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50</v>
      </c>
      <c r="B214" s="193">
        <f>'Données projet'!D197</f>
        <v>0</v>
      </c>
      <c r="C214" s="206"/>
      <c r="D214" s="191">
        <f t="shared" si="10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55</v>
      </c>
      <c r="B215" s="193">
        <f>'Données projet'!D198</f>
        <v>28</v>
      </c>
      <c r="C215" s="206"/>
      <c r="D215" s="191">
        <f t="shared" si="10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60</v>
      </c>
      <c r="B216" s="193">
        <f>'Données projet'!D199</f>
        <v>0</v>
      </c>
      <c r="C216" s="206"/>
      <c r="D216" s="191">
        <f t="shared" si="10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65</v>
      </c>
      <c r="B217" s="193">
        <f>'Données projet'!D200</f>
        <v>28</v>
      </c>
      <c r="C217" s="206"/>
      <c r="D217" s="191">
        <f t="shared" si="1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70</v>
      </c>
      <c r="B218" s="193">
        <f>'Données projet'!D201</f>
        <v>0</v>
      </c>
      <c r="C218" s="206"/>
      <c r="D218" s="191">
        <f t="shared" si="10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75</v>
      </c>
      <c r="B219" s="193">
        <f>'Données projet'!D202</f>
        <v>28</v>
      </c>
      <c r="C219" s="206"/>
      <c r="D219" s="191">
        <f t="shared" si="10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80</v>
      </c>
      <c r="B220" s="193">
        <f>'Données projet'!D203</f>
        <v>0</v>
      </c>
      <c r="C220" s="206"/>
      <c r="D220" s="191">
        <f t="shared" si="10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85</v>
      </c>
      <c r="B221" s="193">
        <f>'Données projet'!D204</f>
        <v>28</v>
      </c>
      <c r="C221" s="206"/>
      <c r="D221" s="191">
        <f t="shared" si="1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90</v>
      </c>
      <c r="B222" s="193">
        <f>'Données projet'!D205</f>
        <v>0</v>
      </c>
      <c r="C222" s="206"/>
      <c r="D222" s="191">
        <f t="shared" si="10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95</v>
      </c>
      <c r="B223" s="193">
        <f>'Données projet'!D206</f>
        <v>28</v>
      </c>
      <c r="C223" s="206"/>
      <c r="D223" s="191">
        <f t="shared" si="10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105</v>
      </c>
      <c r="B224" s="193">
        <f>'Données projet'!D207</f>
        <v>28</v>
      </c>
      <c r="C224" s="206"/>
      <c r="D224" s="191">
        <f t="shared" si="10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115</v>
      </c>
      <c r="B225" s="193">
        <f>'Données projet'!D208</f>
        <v>26</v>
      </c>
      <c r="C225" s="206"/>
      <c r="D225" s="191">
        <f t="shared" si="10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125</v>
      </c>
      <c r="B226" s="193">
        <f>'Données projet'!D209</f>
        <v>23</v>
      </c>
      <c r="C226" s="206"/>
      <c r="D226" s="191">
        <f t="shared" si="10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135</v>
      </c>
      <c r="B227" s="193">
        <f>'Données projet'!D210</f>
        <v>19</v>
      </c>
      <c r="C227" s="206"/>
      <c r="D227" s="191">
        <f t="shared" si="10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150</v>
      </c>
      <c r="B228" s="193">
        <f>'Données projet'!D211</f>
        <v>232</v>
      </c>
      <c r="C228" s="206"/>
      <c r="D228" s="191">
        <f t="shared" si="10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Aulne glutineux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20</v>
      </c>
      <c r="B241" s="193">
        <f>'Données projet'!D219</f>
        <v>0</v>
      </c>
      <c r="C241" s="206"/>
      <c r="D241" s="191">
        <f t="shared" ref="D241:D259" si="1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25</v>
      </c>
      <c r="B242" s="193">
        <f>'Données projet'!D220</f>
        <v>24</v>
      </c>
      <c r="C242" s="206"/>
      <c r="D242" s="191">
        <f t="shared" si="11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30</v>
      </c>
      <c r="B243" s="193">
        <f>'Données projet'!D221</f>
        <v>0</v>
      </c>
      <c r="C243" s="206"/>
      <c r="D243" s="191">
        <f t="shared" si="11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35</v>
      </c>
      <c r="B244" s="193">
        <f>'Données projet'!D222</f>
        <v>35</v>
      </c>
      <c r="C244" s="206"/>
      <c r="D244" s="191">
        <f t="shared" si="11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40</v>
      </c>
      <c r="B245" s="193">
        <f>'Données projet'!D223</f>
        <v>0</v>
      </c>
      <c r="C245" s="206"/>
      <c r="D245" s="191">
        <f t="shared" si="1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45</v>
      </c>
      <c r="B246" s="193">
        <f>'Données projet'!D224</f>
        <v>38</v>
      </c>
      <c r="C246" s="206"/>
      <c r="D246" s="191">
        <f t="shared" si="11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50</v>
      </c>
      <c r="B247" s="193">
        <f>'Données projet'!D225</f>
        <v>0</v>
      </c>
      <c r="C247" s="206"/>
      <c r="D247" s="191">
        <f t="shared" si="1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55</v>
      </c>
      <c r="B248" s="193">
        <f>'Données projet'!D226</f>
        <v>35</v>
      </c>
      <c r="C248" s="206"/>
      <c r="D248" s="191">
        <f t="shared" si="11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60</v>
      </c>
      <c r="B249" s="193">
        <f>'Données projet'!D227</f>
        <v>0</v>
      </c>
      <c r="C249" s="206"/>
      <c r="D249" s="191">
        <f t="shared" si="1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65</v>
      </c>
      <c r="B250" s="193">
        <f>'Données projet'!D228</f>
        <v>33</v>
      </c>
      <c r="C250" s="206"/>
      <c r="D250" s="191">
        <f t="shared" si="11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70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75</v>
      </c>
      <c r="B252" s="193">
        <f>'Données projet'!D230</f>
        <v>29</v>
      </c>
      <c r="C252" s="206"/>
      <c r="D252" s="191">
        <f t="shared" si="1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80</v>
      </c>
      <c r="B253" s="193">
        <f>'Données projet'!D231</f>
        <v>0</v>
      </c>
      <c r="C253" s="206"/>
      <c r="D253" s="191">
        <f t="shared" si="1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85</v>
      </c>
      <c r="B254" s="193">
        <f>'Données projet'!D232</f>
        <v>0</v>
      </c>
      <c r="C254" s="206"/>
      <c r="D254" s="191">
        <f t="shared" si="1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90</v>
      </c>
      <c r="B255" s="193">
        <f>'Données projet'!D233</f>
        <v>207</v>
      </c>
      <c r="C255" s="206"/>
      <c r="D255" s="191">
        <f t="shared" si="1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2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2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2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2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2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2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3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3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3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3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3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3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3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2025-05-27T11:52:32Z</dcterms:modified>
</cp:coreProperties>
</file>